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за КазНИИСА 04.2026" sheetId="1" r:id="rId5"/>
  </sheets>
  <definedNames>
    <definedName hidden="1" localSheetId="0" name="_xlnm._FilterDatabase">'База КазНИИСА 04.2026'!$A$1:$Z$5195</definedName>
  </definedNames>
  <calcPr/>
</workbook>
</file>

<file path=xl/sharedStrings.xml><?xml version="1.0" encoding="utf-8"?>
<sst xmlns="http://schemas.openxmlformats.org/spreadsheetml/2006/main" count="17650" uniqueCount="12267">
  <si>
    <t>Код</t>
  </si>
  <si>
    <t>Наименование</t>
  </si>
  <si>
    <t>Описание</t>
  </si>
  <si>
    <t>Единица измерения</t>
  </si>
  <si>
    <t>Класс груза</t>
  </si>
  <si>
    <t>Масса брутто, кг</t>
  </si>
  <si>
    <t>Сметная цена, тенге</t>
  </si>
  <si>
    <t>поисковый текст</t>
  </si>
  <si>
    <t>Оборудование, мебель и инвентарь для объектов образования Отдел 52. Технологическое оборудование, мебель и инвентарь
Раздел 521. Оборудование и мебель организаций образования
Подраздел 521-1. Оборудование и мебель организации дошкольного образования</t>
  </si>
  <si>
    <t>Группа 521-101. Оборудование, мебель, технические средства обучения, пособия и инвентарь</t>
  </si>
  <si>
    <t>521-101-0100</t>
  </si>
  <si>
    <t>Оборудования игровое</t>
  </si>
  <si>
    <t>521-101-0121</t>
  </si>
  <si>
    <t>Ширма для кукольного театра</t>
  </si>
  <si>
    <t>шт.</t>
  </si>
  <si>
    <t>521-101-0131</t>
  </si>
  <si>
    <t>Манеж детский</t>
  </si>
  <si>
    <t>521-101-0131-0001</t>
  </si>
  <si>
    <t>Манеж детский размерами 830х680 мм</t>
  </si>
  <si>
    <t>521-101-0131-0002</t>
  </si>
  <si>
    <t>Манеж детский размерами 840х840х680 мм</t>
  </si>
  <si>
    <t>521-101-0131-0003</t>
  </si>
  <si>
    <t>Корзина для игрушек размерами 420х840х680 мм</t>
  </si>
  <si>
    <t>521-101-0300</t>
  </si>
  <si>
    <t>Мебель для организации учебной деятельности</t>
  </si>
  <si>
    <t>521-101-0301</t>
  </si>
  <si>
    <t>Полка для книг</t>
  </si>
  <si>
    <t>521-101-0301-0001</t>
  </si>
  <si>
    <t>Полка книжная 1300х200х550</t>
  </si>
  <si>
    <t>521-101-0302</t>
  </si>
  <si>
    <t>Стол рабочий на 4 детей. Размер 900*900*570(В) мм, опоры металлические и регулируются по высоте, столешница из мдф толщиной 18 мм</t>
  </si>
  <si>
    <t>521-101-0303</t>
  </si>
  <si>
    <t>Стол для дидактических занятий</t>
  </si>
  <si>
    <t>521-101-0303-0001</t>
  </si>
  <si>
    <t>Дидактический стол с набором игрушек, размер: L180 W50 H46</t>
  </si>
  <si>
    <t>521-101-0304</t>
  </si>
  <si>
    <t>Стенка для игрушек</t>
  </si>
  <si>
    <t>521-101-0304-0001</t>
  </si>
  <si>
    <t>Стенка для игрушек "Пирамида" 2900*350*950</t>
  </si>
  <si>
    <t>521-101-0304-0002</t>
  </si>
  <si>
    <t>Стенка для игрушек 1900*350*1200</t>
  </si>
  <si>
    <t>521-101-0304-0003</t>
  </si>
  <si>
    <t>Стенка для игрушек "Домик" 1680*340*1200</t>
  </si>
  <si>
    <t>521-101-0304-0004</t>
  </si>
  <si>
    <t>Стенка для игрушек "Домик" 1185*350*1200</t>
  </si>
  <si>
    <t>521-101-0304-0005</t>
  </si>
  <si>
    <t>Стенка для игрушек «Кухня» 1200*400*1100</t>
  </si>
  <si>
    <t>521-101-0304-0006</t>
  </si>
  <si>
    <t>Стенка в игровую "Кухня" 1160х380х900 мм</t>
  </si>
  <si>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</si>
  <si>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521-101-0304-0007</t>
  </si>
  <si>
    <t>Стенка в игровую "Парикмахерская" 1200х300х1300 мм</t>
  </si>
  <si>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</si>
  <si>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521-101-0304-0008</t>
  </si>
  <si>
    <t>Стенка в игровую "Магазин" 1200х500х960 мм</t>
  </si>
  <si>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</si>
  <si>
    <t>521-101-0304-0009</t>
  </si>
  <si>
    <t>Стенка модульная, материал ЛДСП 16 мм, кромка ПВХ, размеры 3600х470х2030 мм</t>
  </si>
  <si>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</si>
  <si>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521-101-0304-0010</t>
  </si>
  <si>
    <t>Стенка "Домик", материал из ЛДСП 16 мм,
размеры 1800х450х1318 мм</t>
  </si>
  <si>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</si>
  <si>
    <t>521-101-0304-0011</t>
  </si>
  <si>
    <t>Стенка под пуфы на 12 ячеек, материал ЛДСП 16 мм, размеры 1324х400х1790 мм</t>
  </si>
  <si>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</si>
  <si>
    <t>521-101-0305</t>
  </si>
  <si>
    <t>Мебель для игрушек</t>
  </si>
  <si>
    <t>Мебель для игрушек. Состоит из стеллажей с пластиковыми лотками, изготовлены из ЛДСП, задняя стенка ХДФ, размеры
520/930/1340/930/520*2300*350мм.</t>
  </si>
  <si>
    <t>комплект</t>
  </si>
  <si>
    <t>521-101-0307</t>
  </si>
  <si>
    <t>Стеллаж для игрушек и пособий</t>
  </si>
  <si>
    <t>521-101-0307-0001</t>
  </si>
  <si>
    <t>Шкаф стеллаж для игрушек и пособий,
ЛДСП 16 мм, размеры 2572х425х1230мм</t>
  </si>
  <si>
    <t>Шкаф стеллаж для игрушек и пособий, ЛДСП 16 мм, ножки регулируемые.
Размеры 2572х425х1230мм</t>
  </si>
  <si>
    <t>521-101-0400</t>
  </si>
  <si>
    <t>Средства обучения технические</t>
  </si>
  <si>
    <t>521-101-0401</t>
  </si>
  <si>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</si>
  <si>
    <t>521-101-0401-0001</t>
  </si>
  <si>
    <t>Персональный компьютер Acer Aspire TC-1660 (DG.BGZMC.005)</t>
  </si>
  <si>
    <t>521-101-0401-0002</t>
  </si>
  <si>
    <t>Материнская плата ASRock H470M-HDV, LGA1200</t>
  </si>
  <si>
    <t>521-101-0401-0003</t>
  </si>
  <si>
    <t>Системный блок Acer Veriton N4670G (i3-10100, 8GB RAM, 128GB SSD, DOS)</t>
  </si>
  <si>
    <t>521-101-0401-0004</t>
  </si>
  <si>
    <t>Системный блок Acer Aspire TC-1660, Core i3
10105-3.7GHz/8Gb/1TbHDD+256GbSSD/GT X1650, 4Gb/GLAN/DOS</t>
  </si>
  <si>
    <t>521-101-0401-0005</t>
  </si>
  <si>
    <t>Системный блок HP Pavilion Gaming TG01-2087ur (60Q91EA), AMD Ryzen 5
5600G-3.9GHz/16Gb/512GbSSD/RX6600XT,8
Gb/DOS</t>
  </si>
  <si>
    <t>521-101-0401-0006</t>
  </si>
  <si>
    <t>Системный блок HP Pavilion TP01-2037ur (60Q92EA), Ryzen 7
5700G-3.8GHz/16Gb/256Gb SSD/GF RTX3060,12Gb/WL/BT/DOS</t>
  </si>
  <si>
    <t>521-101-0401-0007</t>
  </si>
  <si>
    <t>Системный блок Lenovo IdeaCentre G5, Core i5 11400F-2.6Hz/16Gb/512SSD/GF GTX 1660S, 6Gb/GLAN/WL/BT/DOS</t>
  </si>
  <si>
    <t>521-101-0401-0008</t>
  </si>
  <si>
    <t>Системный блок Lenovo IdeaCentre G5, Core i5 11400F-2.6Hz/8Gb/512GbSSD/GF GTX1650S, 4Gb/GLAN/WL/BT/DOS</t>
  </si>
  <si>
    <t>521-101-0401-0009</t>
  </si>
  <si>
    <t>Клавиатура A4Tech
3000N(GK-85+G3-200N), Black, Wireless, Multimed, Mouse Wireless,1000dpi,USB + мышь</t>
  </si>
  <si>
    <t>521-101-0401-0010</t>
  </si>
  <si>
    <t>Клавиатура Defender Annihilator GK-013, Black-Grey, Wired, Gaming, Multimedia, RGB-backlight, USB</t>
  </si>
  <si>
    <t>521-101-0401-0011</t>
  </si>
  <si>
    <t>Клавиатура Delux DLK-150GB, Wireless, Black, 1xAAA</t>
  </si>
  <si>
    <t>521-101-0401-0012</t>
  </si>
  <si>
    <t>Клавиатура Genius KM-125, Black, USB,
+мышь DX-120</t>
  </si>
  <si>
    <t>521-101-0401-0013</t>
  </si>
  <si>
    <t>Клавиатура Logitech K230, Wireless, Black, USB, 2 х AAA</t>
  </si>
  <si>
    <t>521-101-0401-0014</t>
  </si>
  <si>
    <t>Мышь 2E MF110, White, Wired, Optical, 3200dpi, USB</t>
  </si>
  <si>
    <t>521-101-0401-0015</t>
  </si>
  <si>
    <t>Мышь A4Tech Bloody Q50, Battlefield, Wired, Gaming, Optical, 3200dpi, Neon backlight, USB</t>
  </si>
  <si>
    <t>521-101-0401-0016</t>
  </si>
  <si>
    <t>Мышь Canyon Eclector GM-3, Black, Wired, Gaming, Optical, 3200dpi, RGB backlight, USB</t>
  </si>
  <si>
    <t>521-101-0401-0017</t>
  </si>
  <si>
    <t>Мышь Defender Killem All GM-480L, Black, Wired, Gaming, Optical, 3200dpi, Backlight, USB</t>
  </si>
  <si>
    <t>521-101-0401-0018</t>
  </si>
  <si>
    <t>Мышь Genius NX-7005, Black, Wireless, Optical, 1600dpi, 1 x AA, USB</t>
  </si>
  <si>
    <t>521-101-0401-0019</t>
  </si>
  <si>
    <t>Мышь Logitech M110 Silent, Blue, Wired, Optical, 1000dpi, USB</t>
  </si>
  <si>
    <t>521-101-0401-0020</t>
  </si>
  <si>
    <t>Колонки Accesstyle Pumpkin BTL (1.0) - Black, 5Вт RMS, 90Hz-20kHz, SD, Bluetooth, backlight</t>
  </si>
  <si>
    <t>521-101-0401-0021</t>
  </si>
  <si>
    <t>Колонки Defender Eclipse (2.1) - Black, 40Вт (2х10+20) RMS, 40Hz-20kHz, SD, USB, FM, MP3, LED</t>
  </si>
  <si>
    <t>521-101-0401-0022</t>
  </si>
  <si>
    <t>Колонки Defender Rage (2.0) - Black, 50Вт RMS, 45Hz-22kHz, AUX, USB, microSD, FM,
Bluetooth</t>
  </si>
  <si>
    <t>521-101-0401-0023</t>
  </si>
  <si>
    <t>Колонки Microlab FINECone 530U (2.1) - Wood, 64Вт(2х18+28)RMS, 35Hz-20kHz,
USB/SD/FM, +wireless RC</t>
  </si>
  <si>
    <t>521-101-0401-0024</t>
  </si>
  <si>
    <t>Источник бесперебойного питания UPS SVC V600-L-LCD, 600VA, 360W, 1x12V/7.5Ah, AVR 138-292V, 2 розет., 1xIEC C13, Black</t>
  </si>
  <si>
    <t>521-101-0401-0025</t>
  </si>
  <si>
    <t>Источник бесперебойного питания UPS SVC V1200-L-LCD, 1200VA, 720W, 2x12V/7 Ah, AVR 145-290V, 3 розет.</t>
  </si>
  <si>
    <t>521-101-0401-0026</t>
  </si>
  <si>
    <t>Источник бесперебойного питания UPS SVC V1500-L, 1500 VA, 900W, 2x12V/9 Ah, AVR
145-290 V, 3 розет.</t>
  </si>
  <si>
    <t>521-101-0401-0027</t>
  </si>
  <si>
    <t>Источник бесперебойного питания UPS SVC V2000-L, 2000VA, 1200W, 2x12v/9 Ah, AVR
175-275V, 2 розет.</t>
  </si>
  <si>
    <t>521-101-0401-0028</t>
  </si>
  <si>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</si>
  <si>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</si>
  <si>
    <t>521-101-0401-0030</t>
  </si>
  <si>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</si>
  <si>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</si>
  <si>
    <t>521-101-0401-0031</t>
  </si>
  <si>
    <t>Lenovo Neo 50s/Core™ i5-12400 Processor (P-cores 2.50 GHz up to 4.40 GHz)/256 GB SSD M.2 2280/4 GB DDR4-3200MHz+
монитор Lenovo C24-40</t>
  </si>
  <si>
    <t>-Компьютер Lenovo Neo 50s, Core™ i5-12400/Processor (P-cores 2.50 GHz up to 4.40 GHz)/256 GB SSD M.2 2280/4 GB DDR4-3200MHz (UDIMM)
-Монитор
Lenovo C24-40, 23.8"/VA/1920x1080/16:9/75 Hz</t>
  </si>
  <si>
    <t>521-101-0401-0032</t>
  </si>
  <si>
    <t>Гарнитура Genius HS-400A, тип крепления: дуговые, подключение 3,5 MiniJack, длина кабеля 1,2 м</t>
  </si>
  <si>
    <t>521-101-0401-0033</t>
  </si>
  <si>
    <t>Гарнитура Rapoo H100,  тип крепления: дуговые, выходная мощность 50мВт, 3.5MiniJack, длина кабеля 2.2м</t>
  </si>
  <si>
    <t>521-101-0401-0034</t>
  </si>
  <si>
    <t>Гарнитура Genius HS-05A, тип крепления: дуговые, подключение 3,5 MiniJack</t>
  </si>
  <si>
    <t>521-101-0401-0035</t>
  </si>
  <si>
    <t>Сетевой фильтр SVC ZP4S-50M, 5 м.220 в, 4 розетки, 5 метров, 220-250В, 10A</t>
  </si>
  <si>
    <t>521-101-0401-0036</t>
  </si>
  <si>
    <t>Системный блок ASUS Expert Center D5 / Intel® Core™ i3-13100 / 8Gb DDR4 / 256 Gb SSD + 1Tb HDD / Win 11 Edu / USB+MS</t>
  </si>
  <si>
    <t>521-101-0401-0037</t>
  </si>
  <si>
    <t>Системный блок ASUS Expert Center D5 / Intel® Core™ i5-13400 / 8Gb DDR4 / 256 Gb SSD + 1Tb HDD / Win 11 Edu / USB+MS</t>
  </si>
  <si>
    <t>521-101-0401-0038</t>
  </si>
  <si>
    <t>Системный блок ASUS Expert Center D7 / Intel® Core™ i3-13100 / 8Gb DDR4 / 256 Gb SSD + 1Tb HDD / Win 11 Edu / USB+MS</t>
  </si>
  <si>
    <t>521-101-0401-0039</t>
  </si>
  <si>
    <t>Системный блок ASUS Expert Center D7 / Intel® Core™ i5-13400 / 8Gb DDR4 / 256 Gb SSD + 1Tb HDD / Win 11Edu / USB+MS</t>
  </si>
  <si>
    <t>521-101-0401-0040</t>
  </si>
  <si>
    <t>Системный блок ASUS Expert Center D5 / Intel® Core™ i3-12100 / NV RTX3050 / 8Gb DDR4 / 256 Gb SSD + 1Tb HDD / Win 11 Edu
/ USB+MS</t>
  </si>
  <si>
    <t>521-101-0401-0041</t>
  </si>
  <si>
    <t>Системный блок ASUS Expert Center D5 / Intel® Core™ i5-12400 / NV RTX3060 / 16Gb DDR4 / 256 Gb SSD + 1Tb HDD / Win 11 Edu
/ USB+MS</t>
  </si>
  <si>
    <t>521-101-0401-0042</t>
  </si>
  <si>
    <t>Системный блок ASUS Workstation PD5 / Intel® Core™ i7-13700 / NV RTX4070 / 32Gb DDR4 / 512 Gb SSD + 2Tb HDD / Win 11 Pro
/ USB+MS</t>
  </si>
  <si>
    <t>521-101-0401-0043</t>
  </si>
  <si>
    <t>Системный блок Acer Veriton X2720G (Системный блок Veriton X2720G, клавиатура, мышь), конфигурация компьютера: процессор i5-13400, ОЗУ 16GB DDR4, диск 512GB SSD, ОС Win11ProEdu, и
Acer Classroom Manager⁠</t>
  </si>
  <si>
    <t>521-101-0401-0044</t>
  </si>
  <si>
    <t>Системный блок Acer Veriton S2720G (Системный блок Veriton S2720G, клавиатура, мышь),конфигурация компьютера: процессор i5-13400, ОЗУ 16GB DDR4, диск 512GB SSD, ОС Win11ProEdu, и Acer Classroom Manager</t>
  </si>
  <si>
    <t>521-101-0401-0045</t>
  </si>
  <si>
    <t>Портативный компьютер Acer Veriton N4690G/Core i3 12100/8гб 256 гб.
SSD/Монитор Vero B247 23.8 IPS/ОС Win11 Pro 64/с клавиатурой и сенсорной мышкой</t>
  </si>
  <si>
    <t>521-101-0401-0046</t>
  </si>
  <si>
    <t>Системный блок TC M90t G3 #1 Intel Core™ i5-12500 Processor (P-cores 3.00 GHz up to 4.60 GHz)/ 16 GB/RTX™ 3060 12GB/512 GB
SSD/Windows 11 для образовательныхучреждений</t>
  </si>
  <si>
    <t>521-101-0401-0047</t>
  </si>
  <si>
    <t>Системный блок TC M90t G3 #2 Intel® Core™ i7-12700 Processor (E-cores up to 3.60 GHz P-cores up to 4.80 GHz)/16 GB/RTX™ 3060 12GB/256 GB SSD/Windows 11 для образовательных учреждений</t>
  </si>
  <si>
    <t>521-101-0401-0048</t>
  </si>
  <si>
    <t>Системный блок Lenovo Neo 50t G4 #1 Intel® Core™ i5-12500 Processor (P-cores 3.00 GHz up to 4.60 GHz)/4 GB/256 GB
SSD/Windows 11 для образовательных учреждений</t>
  </si>
  <si>
    <t>521-101-0401-0049</t>
  </si>
  <si>
    <t>Системный блок Lenovo Neo 50t G4 #2 Intel® Core™ i3-12100 Processor (P-cores 3.30 GHz up to 4.30 GHz)/8 GB/256 GB
SSD/Windows 11 для образовательных учреждений</t>
  </si>
  <si>
    <t>521-101-0401-0050</t>
  </si>
  <si>
    <t>Системный блок Lenovo TC ThinkCentre Neo 50t G4 #3/Intel® Core™ i3-13100 Processor
(P-cores 3.40 GHz up to 4.50 GHz)/8 GB DDR4-3200MHz (UDIMM)/1 TB 7200rpm HDD 3.5" SATA/256 GB SSD M.2 2280 PCIe
Gen4 TLC Opal/USB/Windows 11 для образовательных учреждений</t>
  </si>
  <si>
    <t>521-101-0401-0051</t>
  </si>
  <si>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</si>
  <si>
    <t>521-101-0401-0052</t>
  </si>
  <si>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</si>
  <si>
    <t>521-101-0401-0053</t>
  </si>
  <si>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</si>
  <si>
    <t>521-101-0401-0054</t>
  </si>
  <si>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</si>
  <si>
    <t>521-101-0401-0055</t>
  </si>
  <si>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</si>
  <si>
    <t>521-101-0401-0056</t>
  </si>
  <si>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</si>
  <si>
    <t>521-101-0401-0057</t>
  </si>
  <si>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</si>
  <si>
    <t>521-101-0401-0058</t>
  </si>
  <si>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</si>
  <si>
    <t>521-101-0401-0059</t>
  </si>
  <si>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</si>
  <si>
    <t>521-101-0401-0060</t>
  </si>
  <si>
    <t>Системный блок AVTECH, Intel Core
i3/8GB/SSD 256GB/ Windows 10</t>
  </si>
  <si>
    <t>521-101-0401-0061</t>
  </si>
  <si>
    <t>Монитор AVTECH SD40IF-V 23", 1920х1080/LED/60 Гц/5 мс/3000:1/HDMI, VGA (D-Sub)</t>
  </si>
  <si>
    <t>521-101-0401-0062</t>
  </si>
  <si>
    <t>Клавиатура+мышь AVTECH C304</t>
  </si>
  <si>
    <t>521-101-0401-0063</t>
  </si>
  <si>
    <t>Сетевой фильтр Defender M518, 1,8 м, 5
розеток</t>
  </si>
  <si>
    <t>521-101-0401-0064</t>
  </si>
  <si>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</si>
  <si>
    <t>521-101-0401-0066</t>
  </si>
  <si>
    <t>Персональный компьютер Smart SSP, монитор Smart IPS 23,8/ i5-12400/8GB/SSD 240GB</t>
  </si>
  <si>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</si>
  <si>
    <t>521-101-0401-0067</t>
  </si>
  <si>
    <t>Сетевой фильтр типа Surge Protector</t>
  </si>
  <si>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</si>
  <si>
    <t>521-101-0401-0069</t>
  </si>
  <si>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</si>
  <si>
    <t>521-101-0401-0070</t>
  </si>
  <si>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</si>
  <si>
    <t>521-101-0401-0071</t>
  </si>
  <si>
    <t>Гарнитура Logitech H390 (USB, элементы управления на кабеле, кабель 2,33м)</t>
  </si>
  <si>
    <t>521-101-0401-0072</t>
  </si>
  <si>
    <t>Мышь HP 125 Wired Mouse</t>
  </si>
  <si>
    <t>521-101-0401-0076</t>
  </si>
  <si>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</si>
  <si>
    <t>521-101-0401-0077</t>
  </si>
  <si>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</si>
  <si>
    <t>521-101-0401-0078</t>
  </si>
  <si>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</si>
  <si>
    <t>521-101-0401-0079</t>
  </si>
  <si>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</si>
  <si>
    <t>521-101-0401-0080</t>
  </si>
  <si>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</si>
  <si>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</si>
  <si>
    <t>521-101-0402</t>
  </si>
  <si>
    <t>Проектор</t>
  </si>
  <si>
    <t>521-101-0402-0001</t>
  </si>
  <si>
    <t>Проектор Epson EB-E01, LCD, 3300lm, 15000:1, XGA, 1024x768, 6000hr, 0.58-8.89m,
2.37kg</t>
  </si>
  <si>
    <t>521-101-0402-0002</t>
  </si>
  <si>
    <t>Проектор Acer P6200, DLP,3D, 5000lm, XGA, 1024x768, 0.43-7.62m, 3000hr, 1-11.4m,
4.6kg</t>
  </si>
  <si>
    <t>521-101-0402-0003</t>
  </si>
  <si>
    <t>Проектор Acer Predator Z650, DLP,3D, 2200lm,20000:1, Full HD, 1920x1080,
0.9-4.6m, 3000hr, 3.6kg</t>
  </si>
  <si>
    <t>521-101-0402-0004</t>
  </si>
  <si>
    <t>Проектор Xiaomi Mi 4K Laser Project 150", Full HD,1920x1080</t>
  </si>
  <si>
    <t>521-101-0402-0005</t>
  </si>
  <si>
    <t>Экран проекционный моторизованный Deluxe DLS-ERC203xW, 1:1, 195 x 195 см</t>
  </si>
  <si>
    <t>521-101-0402-0006</t>
  </si>
  <si>
    <t>Экран проекционный моторизованный Mr.Pixel MSPSAB135V2, 1:1, 244x244 см</t>
  </si>
  <si>
    <t>521-101-0402-0007</t>
  </si>
  <si>
    <t>Экран проекционный моторизованный Deluxe DLS-ERC350x270W, 16:9, 342 x 262
см, белый матовый</t>
  </si>
  <si>
    <t>521-101-0402-0008</t>
  </si>
  <si>
    <t>Экран проекционный настенный Xiaomi Mi Ambient Light Rejecting Projector Screen 100"</t>
  </si>
  <si>
    <t>521-101-0402-0009</t>
  </si>
  <si>
    <t>Проектор Epson CO-FD01, 3LCD, 3000 ANSI Lm, 1080p, 300:1</t>
  </si>
  <si>
    <t>521-101-0402-0010</t>
  </si>
  <si>
    <t>Проектор Epson CO-WX01, 3LCD, 3000 ANSI Lm, WXGA, 300:1</t>
  </si>
  <si>
    <t>521-101-0402-0011</t>
  </si>
  <si>
    <t>Проектор Epson EB-685W, 3LCD, 3500 ANSI Lm, WXGA, 14000:1</t>
  </si>
  <si>
    <t>521-101-0402-0012</t>
  </si>
  <si>
    <t>Проектор Epson EB-770F, 3LCD, 4100 ANSI Lm, 1080p, 2500000:1</t>
  </si>
  <si>
    <t>521-101-0402-0013</t>
  </si>
  <si>
    <t>Интерактивный проектор Epson EB-770Fi, 3LCD, 4100 ANSI Lm, 1080p, 2500000:1</t>
  </si>
  <si>
    <t>521-101-0402-0014</t>
  </si>
  <si>
    <t>Проектор Epson EB-810E, 3LCD, 5000 ANSI Lm, 4K, 2500000:1</t>
  </si>
  <si>
    <t>521-101-0402-0015</t>
  </si>
  <si>
    <t>Проектор Epson EB-E20, 3LCD, 3400 ANSI Lm, XGA, 15000:1</t>
  </si>
  <si>
    <t>521-101-0402-0016</t>
  </si>
  <si>
    <t>Проектор Epson EB-W49, 3LCD, 3800 ANSI Lm, WXGA, 16000:1</t>
  </si>
  <si>
    <t>521-101-0402-0017</t>
  </si>
  <si>
    <t>Проектор Epson EB-X49, 3LCD, 3600 ANSI Lm, XGA, 16000:1</t>
  </si>
  <si>
    <t>521-101-0402-0018</t>
  </si>
  <si>
    <t>Проектор Epson EF-11, 3LCD, 2000 ANSI Lm, 1080p, 2500000:1</t>
  </si>
  <si>
    <t>521-101-0402-0019</t>
  </si>
  <si>
    <t>Проектор Epson EB-2250U, 3LCD, 5000 ANSI Lm, WUXGA, 15000:1</t>
  </si>
  <si>
    <t>521-101-0402-0020</t>
  </si>
  <si>
    <t>Проектор Epson EB-L260F,3LCD, 4600 ANSI Lm, 1080p, 2500000:1</t>
  </si>
  <si>
    <t>521-101-0402-0021</t>
  </si>
  <si>
    <t>Проектор Epson EB-L520U, 3LCD, 5200 ANSI Lm, WUXGA, 2500000:1</t>
  </si>
  <si>
    <t>521-101-0402-0022</t>
  </si>
  <si>
    <t>Проектор Epson EB-L720U, 3LCD, 7000 ANSI Lm, WUXGA, 2500000:1</t>
  </si>
  <si>
    <t>521-101-0402-0023</t>
  </si>
  <si>
    <t>Проектор Epson EB-PU1008W, 3LCD, 8500ANSI Lm, WUXGA + 4K  Enhancement, 2500000:1 с ультракороткофокусным
объективом EpsonELPLX01WS, 0.35:1"</t>
  </si>
  <si>
    <t>521-101-0402-0024</t>
  </si>
  <si>
    <t>Проектор Epson EB-PU2010W, 3LCD, 10000 ANSI Lm, WUXGA + 4K Enhancement, 2500000:1 с короткофокусным объективом Epson ELPLU03S, 0.48-0.57:1</t>
  </si>
  <si>
    <t>521-101-0402-0025</t>
  </si>
  <si>
    <t>Проектор Epson EB-PU2113W, 3LCD, 13000 ANSI Lm, WUXGA + 4K Enhancement, 2500000:1 со среднефокусным объективом Epson ELPLM15, 1.57-2.56:1</t>
  </si>
  <si>
    <t>521-101-0410</t>
  </si>
  <si>
    <t>Ноутбук</t>
  </si>
  <si>
    <t>521-101-0410-0002</t>
  </si>
  <si>
    <t>Ноутбук HP 16-d0000ur, Core i5 11400-2.7GHz/16.1"FHD/512GB
SSD/8GB/GTX 1650, 4GB/WL/BT/Cam/DOS</t>
  </si>
  <si>
    <t>521-101-0410-0003</t>
  </si>
  <si>
    <t>Ноутбук HP ENVY x360 15-es0009ur, Core i5-1135G7-2.4GHz/15.6"FHD/512GB
SSD/16GB/Intel Iris Xe/WL/W10</t>
  </si>
  <si>
    <t>521-101-0410-0004</t>
  </si>
  <si>
    <t>Ноутбук HP 16-d0021ur, Core i7 11800H-2.3GHz/16.1"FHD/1TB SSD/16GB/RTX3050Ti,
4GB/WL/BT/Cam/DOS</t>
  </si>
  <si>
    <t>521-101-0410-0007</t>
  </si>
  <si>
    <t>Ноутбук Lenovo ideapad 15S/Core
i5-1155G7/1920/1080 Full HD/2.5 GHz/4.5
GHz (Turbo) max/Windows 10/MS Office/Not32/DDR4/8GB/RAM: SSD 512 GB/Web Camera 720P</t>
  </si>
  <si>
    <t>521-101-0410-0008</t>
  </si>
  <si>
    <t>Ноутбук Lenovo ThinkBook 15 G4/Core™ i3-1215U Processor/256 GB SSD+мышь Lenovo ThinkPad Essential Wireless Mouse</t>
  </si>
  <si>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</si>
  <si>
    <t>521-101-0410-0009</t>
  </si>
  <si>
    <t>Ноутбук Tactus t-book / 11.6" / 4Gb / SSD M.2 128GB 4 ядерный 4 потока / 2.0 ГГц / WiFi 802.11b/g/n/ac и wifi6 2.4G/5G, Bluetooth 4.2.
/ батарея 37 Вт*ч</t>
  </si>
  <si>
    <t>521-101-0410-0010</t>
  </si>
  <si>
    <t>Ноутбук Tactus t-book 15 / 15.6" / 8Gb / SSD
M.2 256Gb 2 ядерный, 4 потока / 3.4 ГГц / WiFi 2.4G, Bluetooth / батарея 3600 мАч</t>
  </si>
  <si>
    <t>521-101-0410-0011</t>
  </si>
  <si>
    <t>Ноутбук ASUS B1402CVA, Core i3 1315U/14"FHD/8GB/256GB SSD/Intel
UHD/WL/BT/Cam/W11Edu</t>
  </si>
  <si>
    <t>521-101-0410-0012</t>
  </si>
  <si>
    <t>Ноутбук ASUS B1402CVA, Core
i5-1335U/14"FHD/8GB/256GB SSD/Intel
UHD/WL/BT/Cam/W11Edu</t>
  </si>
  <si>
    <t>521-101-0410-0013</t>
  </si>
  <si>
    <t>Ноутбук ASUS B1402CVA, Core i7 1355U/14"FHD/8GB/256GB SSD/Intel
UHD/WL/BT/Cam/W11Pro</t>
  </si>
  <si>
    <t>521-101-0410-0014</t>
  </si>
  <si>
    <t>Ноутбук ASUS B1502CVA, Core i3 1315U/15,6"FHD/8GB/256GB SSD/Intel
UHD/WL/BT/Cam/W11Pro</t>
  </si>
  <si>
    <t>521-101-0410-0015</t>
  </si>
  <si>
    <t>Ноутбук ASUS B1502CVA, Core
i5-1335U/15,6"FHD/8GB/256GB SSD/Intel
UHD/WL/BT/Cam/W11Pro</t>
  </si>
  <si>
    <t>521-101-0410-0016</t>
  </si>
  <si>
    <t>Ноутбук ASUS B1502CVA, Core i7 1355U/15,6"FHD/8GB/256GB SSD/Intel
UHD/WL/BT/Cam/W11Pro</t>
  </si>
  <si>
    <t>521-101-0410-0017</t>
  </si>
  <si>
    <t>Ноутбук EX215-33 15.6FHD / i3 N305/ 8гб DDR4/ 256Gb SSD / Win11Pro/Acer Classroom Manager</t>
  </si>
  <si>
    <t>521-101-0410-0018</t>
  </si>
  <si>
    <t>Ноутбук TMP215-54/15.6" FHD /  i3-1215U/
8 гб DDR4/ 256GB SSD / Win11Pro EDU/Acer Classroom Manager</t>
  </si>
  <si>
    <t>521-101-0410-0019</t>
  </si>
  <si>
    <t>Ноутбук Acer EX215-55 (15.6FHD IPS/ i3 1215U/ 8/ 256 SSD/ Win11 EDU/ Office STd EDU/Acer Classroom Manager</t>
  </si>
  <si>
    <t>521-101-0410-0020</t>
  </si>
  <si>
    <t>Ноутбук Acer TMB514-31 (14FHD IPS / i3 N305 / 8Gb / 256Gb SSD / Win11Pro EDU/Acer Classroom Manager</t>
  </si>
  <si>
    <t>521-101-0410-0021</t>
  </si>
  <si>
    <t>Ноутбук Acer TMP215-54 (15.6FHD IPS / i3 1215U / 8Gb / 128Gb SSD +1Tb HDD/
Win11Pro EDU/Acer Classroom Manager</t>
  </si>
  <si>
    <t>521-101-0410-0022</t>
  </si>
  <si>
    <t>Ноутбук Acer TMP214-54 (15.6FHD IPS / i3 1215U / 8Gb / 256Gb SSD/Type-C 65W/ Win11Pro EDU/Type-C 65W/Acer Classroom Manager</t>
  </si>
  <si>
    <t>521-101-0410-0023</t>
  </si>
  <si>
    <t>Ноутбук TMP215-54/15.6" FHD/  i5-1235U/8
Гб DDR4 /512GB SSD/ Win11Pro Edu/Acer Classroom Manager</t>
  </si>
  <si>
    <t>521-101-0410-0024</t>
  </si>
  <si>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</si>
  <si>
    <t>521-101-0410-0025</t>
  </si>
  <si>
    <t>Тележка Acer Charging Car для хранения и зарядки до 32 ноутбуков</t>
  </si>
  <si>
    <t>521-101-0410-0026</t>
  </si>
  <si>
    <t>Ноутбук Lenovo P16v #1  Intel® Core™
i7-13700H Processor (E-cores up to 3.70 GHz P-cores up to 5.00 GHz)/16"FHD/512 GB SSD/ 8 GB/  RTX™ A500 Laptop GPU
4GB/WL/BT/Cam 1080P FHD/Windows 11 для образовательных учреждений</t>
  </si>
  <si>
    <t>521-101-0410-0027</t>
  </si>
  <si>
    <t>Ноутбук Lenovo L13 Yoga G4 #1  Intel® Core™ i5-1335U Processor (E-cores up to 3.40 GHz P-cores up to 4.60 GHz)/13.3"FHD/512 GB SSD/16 GB/Enabled Discrete TPM2.0/WL/BT/Windows 11 для
образовательных учреждений</t>
  </si>
  <si>
    <t>521-101-0410-0028</t>
  </si>
  <si>
    <t>Ноутбук Lenovo P16v #2 Intel® Core™
i7-13700H Processor (E-cores up to 3.70 GHz P-cores up to 5.00 GHz)/16""FHD/1 TB SSD/16 GB/RTX™ A1000 Laptop GPU
6GB/WL/BT/Cam FHD/Windows 11 для образовательныхучреждений</t>
  </si>
  <si>
    <t>521-101-0410-0029</t>
  </si>
  <si>
    <t>Ноутбук Lenovo ThinkBook 16 G6 #1 Intel® Core™ i3-1315U Processor (E-cores up to 3.30 GHz P-cores up to 4.50 GHz)/16"FHD/8 GB/256 GB SSD/Integrated Intel® UHD Graphics/WL/BT/Cam FHD/Windows 11 для образовательных учреждений</t>
  </si>
  <si>
    <t>521-101-0410-0030</t>
  </si>
  <si>
    <t>Ноутбук Lenovo ThinkBook 14 G6 #1/Intel® Core™ i3-1315U Processor (E-cores up to 3.30 GHz P-cores up to 4.50 GHz)/14" FHD/8 GB DDR5-5200MHz (SODIMM)/256 GB SSD
M.2 2242 PCIe Gen4 TLC/Intel® UHD Graphics/WL/BL/Cam FHD/Windows 11 для образовательных учреждений</t>
  </si>
  <si>
    <t>521-101-0410-0031</t>
  </si>
  <si>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</si>
  <si>
    <t>521-101-0410-0032</t>
  </si>
  <si>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</si>
  <si>
    <t>521-101-0410-0034</t>
  </si>
  <si>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</si>
  <si>
    <t>521-101-0410-0035</t>
  </si>
  <si>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</si>
  <si>
    <t>521-101-0410-0036</t>
  </si>
  <si>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</si>
  <si>
    <t>521-101-0410-0037</t>
  </si>
  <si>
    <t>Ноутбук Lenovo M90t G3 #5/Intel® Core™ i5-12400F Processor (P-cores 2.50 GHz up to 4.40 GHz)/16 GB DDR5-4400MHz (UDIMM)/512 GB SSD M.2 2280 PCIe Gen4
TLC Opal/GeForce® GTX 1660 SUPER™ 6GB GDDR6/WL/BT/Windows 11 для образовательных учреждений</t>
  </si>
  <si>
    <t>521-101-0410-0038</t>
  </si>
  <si>
    <t>Ноутбук Ubook Ubook Lite 15.6" IPS FHD
/i5-1240P / 8Gb / 256Gb SSD / Win11Edu</t>
  </si>
  <si>
    <t>521-101-0410-0039</t>
  </si>
  <si>
    <t>Ноутбук Ubook Ubook Pro 15.6" IPS FHD
/i5-1240P / 16Gb / 512Gb SSD / Win11Edu</t>
  </si>
  <si>
    <t>521-101-0410-0040</t>
  </si>
  <si>
    <t>Ноутбук Ubook Quantumflare 15.6" IPS FHD
/i7-1260P / 8Gb / 256Gb SSD / Win11Edu</t>
  </si>
  <si>
    <t>521-101-0410-0041</t>
  </si>
  <si>
    <t>Ноутбук Ubook ThundercoreX 15.6" IPS FHD
/i7-1260P / 16Gb / 512Gb SSD / Win11Edu</t>
  </si>
  <si>
    <t>521-101-0410-0042</t>
  </si>
  <si>
    <t>Ноутбук Ubook NovaSpectre 15.6" IPS QHD
/I3-1135G4 / 8Gb / 256Gb SSD / Win11Edu</t>
  </si>
  <si>
    <t>521-101-0410-0043</t>
  </si>
  <si>
    <t>Ноутбук Ubook NovaSpectre Y 15.6" IPS QHD /I3-1135G4 / 16Gb / 512Gb SSD /
Win11Edu</t>
  </si>
  <si>
    <t>521-101-0410-0045</t>
  </si>
  <si>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</si>
  <si>
    <t>521-101-0410-0046</t>
  </si>
  <si>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</si>
  <si>
    <t>521-101-0410-0049</t>
  </si>
  <si>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</si>
  <si>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</si>
  <si>
    <t>521-101-0411</t>
  </si>
  <si>
    <t>Монитор</t>
  </si>
  <si>
    <t>521-101-0411-0002</t>
  </si>
  <si>
    <t>Монитор 27" Acer EI272URPbmiiipx, Black,VA,2560x1440@144Hz,320кд/м2,DC10 0M:1,H:178/V:178,4m,3HDMI,DP</t>
  </si>
  <si>
    <t>521-101-0411-0003</t>
  </si>
  <si>
    <t>Монитор 27" ASUS ProArt PA278CV,
Black-Silver,IPS,2560x1440@75Hz,350кд/м2, H/V:178,5ms,2xDP,HDMI</t>
  </si>
  <si>
    <t>521-101-0411-0004</t>
  </si>
  <si>
    <t>Монитор 27" Dell S2722DGM, Black, VA, 2560x1440@165Hz, 350кд/м2,3000:1, H/V:178, 2ms, 2xHDMI,DP</t>
  </si>
  <si>
    <t>521-101-0411-0005</t>
  </si>
  <si>
    <t>Монитор 27" HP U27 4K Wireless,
Silver-Black, 3840x2160@60Hz,300кд/м2, DC10M:1, H/V:178, 5ms,DP,HDMI</t>
  </si>
  <si>
    <t>521-101-0411-0006</t>
  </si>
  <si>
    <t>Монитор 27" Philips 272E1SA, Black, IPS, 1920x1080@75Hz, 300кд/м2, 1000:1, 1ms, HDMI, VGA, DP, Audio</t>
  </si>
  <si>
    <t>521-101-0411-0007</t>
  </si>
  <si>
    <t>Монитор 27" SAMSUNG F27T850QWI,
Black, IPS, 2560x1440@75Hz, 350кд/м2, H/V:178, 4ms, DP, HDMI, 3xUSB</t>
  </si>
  <si>
    <t>521-101-0411-0008</t>
  </si>
  <si>
    <t>Монитор HP Series 3 Pro 21.5 inch FHD Monitor - 322pf</t>
  </si>
  <si>
    <t>521-101-0411-0009</t>
  </si>
  <si>
    <t>Монитор HP Series 3 Pro 23.8 inch FHD Monitor - 324pf</t>
  </si>
  <si>
    <t>521-101-0411-0010</t>
  </si>
  <si>
    <t>Монитор 23.8" ASUS VA24EHE, black, IPS, 1920x1080 (16:9 ), 75 Гц, 250cd/m2, H178°/V178°, 1000:1, 8M:1, 5ms, VGA, HDMI, D-SUB</t>
  </si>
  <si>
    <t>521-101-0411-0011</t>
  </si>
  <si>
    <t>Монитор 23.8" ASUS VA24EHF, black, IPS, 1920x1080 (16:9 ), 100 Гц, 250cd/m2, H178°/V178°, 1000:1, 8M:1, 5ms,1xHDMI, D-SUB</t>
  </si>
  <si>
    <t>521-101-0411-0012</t>
  </si>
  <si>
    <t>Монитор 23.8" ASUS VA24DQ, black, IPS, 1920x1080 (16:9 ), 75, 250cd/m2, H178°/V178°, 1000:1, 8M:1, 5ms,VGA, HDMI, D-SUB</t>
  </si>
  <si>
    <t>521-101-0411-0013</t>
  </si>
  <si>
    <t>Монитор 27" ASUS ProArt PA278QV,
Black-Silver,IPS,2560x1440@60Hz,350кд/м2, H/V:178,5ms,DP, MiniDP, HDMI, DVI,
4xUSB 3,0, 2x2W Audio</t>
  </si>
  <si>
    <t>521-101-0411-0014</t>
  </si>
  <si>
    <t>Монитор 27" ASUS VA27AQSB,
Black,IPS,2560x1440@75Hz,350кд/м2, H/V:178,5ms,DP,HDMI,2xUSB 2.0, 2x2W
Audio</t>
  </si>
  <si>
    <t>521-101-0411-0015</t>
  </si>
  <si>
    <t>Монитор 27" ASUS VA27DQ,
Black,IPS,1920x1080@75Hz,250кд/м2, H/V:178,5ms,DP,HDMI, D Sub, 2x2W Audio</t>
  </si>
  <si>
    <t>521-101-0411-0016</t>
  </si>
  <si>
    <t>Монитор 27" ASUS VP27EHE,
Black,VA,1920x1080@75Hz,250кд/м2, H/V:178,5ms, HDMI, D Sub, 2x2W Audio</t>
  </si>
  <si>
    <t>521-101-0411-0017</t>
  </si>
  <si>
    <t>Монитор 24" Acer Vero B247Wbmiprxv, 16:10 ZeroFrame IPS LED 4ms 100M:1 ACM
300nits HDMI DP MM Audio Out Height adj. Pivot EUEMEA TCO Black Acer EcoDisplay</t>
  </si>
  <si>
    <t>521-101-0411-0018</t>
  </si>
  <si>
    <t>Монитор 27" Lenovo  ThinkVision
T27p-30/4K Wireless/3840x2160@60Hz/350 nits/16:9/HDMI/USB/1300:1/4ms</t>
  </si>
  <si>
    <t>521-101-0411-0019</t>
  </si>
  <si>
    <t>Монитор 21.5" Lenovo ThinkVision S22e-20/1920x1080 FHD/75Hz/250
nits/16:9/HDMI/VGA/3000:1/4ms</t>
  </si>
  <si>
    <t>521-101-0411-0020</t>
  </si>
  <si>
    <t>Монитор 23.8" Lenovo  ThinkVision S24i-30/1920x1080 FHD/100Hz/250
nits/16:9/HDMI/VGA/1300:1/4ms</t>
  </si>
  <si>
    <t>521-101-0411-0021</t>
  </si>
  <si>
    <t>Монитор 27" Lenovo  ThinkVision
P27h-28/2560x1440/16:9/60Hz/350 nits/1x HDMI 1.4, 1x DP 1.2, 1x DP out, 1x USB-C
3.2 Gen 1 (DP 1.2 Alt Mode)/4x USB 3.2 Gen
1 (1x BC 1.2), 1x USB-C 3.2 Gen 1/4ms</t>
  </si>
  <si>
    <t>521-101-0411-0023</t>
  </si>
  <si>
    <t>Монитор 23.8" Lenovo ThinkVision
E24-28/1920x1080/60Hz/250 nits/1x HDMI 1.4, 1x DP 1.2, 1x VGA/4ms</t>
  </si>
  <si>
    <t>521-101-0411-0025</t>
  </si>
  <si>
    <t>Монитор 27" Lenovo ThinkVision
T27q-20/2560x1440/16:9/60Hz/350 nits/1x HDMI 1.4, 1x DP 1.2/4x USB 3.1 Gen 1 (1x BC), 1x USB-B 3.1 Gen 1/4ms</t>
  </si>
  <si>
    <t>521-101-0411-0026</t>
  </si>
  <si>
    <t>Монитор 27" Lenovo ThinkVision
S27i-30/1920x1080/100Hz/300 nits/2x HDMI 1.4, 1x VGA/4ms</t>
  </si>
  <si>
    <t>521-101-0411-0027</t>
  </si>
  <si>
    <t>Монитор 27" Lenovo ThinkVision
E27q-20/2560x1440/16:9/75Hz/350 nits/1x HDMI 1.4, 1x DP 1.2/4ms</t>
  </si>
  <si>
    <t>521-101-0411-0029</t>
  </si>
  <si>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</si>
  <si>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521-101-0411-0030</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</si>
  <si>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</si>
  <si>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521-101-0411-0031</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</si>
  <si>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</si>
  <si>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521-101-0411-0032</t>
  </si>
  <si>
    <t>Монитор; диагональ: 23,8 дюйма; технология: IPS; соотношение сторон: 16:9; разрешение: Full HD (1920 x 1080); яркость: 250 кд/м²; порты: 2 x HDMI, выход для наушников</t>
  </si>
  <si>
    <t>521-101-0411-0033</t>
  </si>
  <si>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</si>
  <si>
    <t>521-101-0411-0034</t>
  </si>
  <si>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</si>
  <si>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521-101-0411-0035</t>
  </si>
  <si>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</si>
  <si>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521-101-0411-0036</t>
  </si>
  <si>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</si>
  <si>
    <t>521-101-0411-0037</t>
  </si>
  <si>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</si>
  <si>
    <t>521-101-0411-0038</t>
  </si>
  <si>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</si>
  <si>
    <t>521-101-0414</t>
  </si>
  <si>
    <t>МР-3 плеер</t>
  </si>
  <si>
    <t>521-101-0414-0001</t>
  </si>
  <si>
    <t>MP3 Player FiiO M3K, MP3/WMA/FLAC/DSD, LCD, VoiceRec, Equalizer, USB, Silver</t>
  </si>
  <si>
    <t>521-101-0414-0002</t>
  </si>
  <si>
    <t>MP3 Player Sony NW-E394, 8Gb, MP3/WMA/AAC, TFT, Radio, Equalizer, 35 hours, Black</t>
  </si>
  <si>
    <t>521-101-0417</t>
  </si>
  <si>
    <t>Телевизор</t>
  </si>
  <si>
    <t>521-101-0417-0001</t>
  </si>
  <si>
    <t>LED Телевизор Kivi 32F710KB, 32"(81.2см), Full HD(1920x1080), 3xHDMI, 2xUSB, Smart, BT, Wi-Fi</t>
  </si>
  <si>
    <t>521-101-0417-0002</t>
  </si>
  <si>
    <t>LED Телевизор Xiaomi Mi TV P1, 32" (80см), HD(1366x768), 3xHDMI, 2xUSB, Wi-Fi,
LAN, BT, Smart</t>
  </si>
  <si>
    <t>521-101-0417-0003</t>
  </si>
  <si>
    <t>LED Телевизор Kivi 40F740LB, 40"(102 см), Full HD(1920x1080), 3xHDMI, 2xUSB, Wi-Fi,
LAN, Smart, BT</t>
  </si>
  <si>
    <t>521-101-0417-0004</t>
  </si>
  <si>
    <t>LED Телевизор Saturn LED50UHD800U4K, 50"(127см), Ultral HD(3840x2160), 60Hz,
3xHDMI, 3xUSB</t>
  </si>
  <si>
    <t>521-101-0417-0005</t>
  </si>
  <si>
    <t>LED Телевизор Samsung UE55AU8000UXCE, 55"(140 см), UHD (3840x2160), 3хHDMI,2xUSB,WL,BT,LAN,Smart</t>
  </si>
  <si>
    <t>521-101-0417-0006</t>
  </si>
  <si>
    <t>Телевизор WADE 55L23100 4K, 55" (139
см), Ultra HD 4K (3840x2160), DLED, Smart TV</t>
  </si>
  <si>
    <t>521-101-0417-0007</t>
  </si>
  <si>
    <t>Телевизор WADE 50L23100 4K, 50" (127
см), Ultra HD 4K (3840x2160), DLED, Smart TV</t>
  </si>
  <si>
    <t>521-101-0417-0008</t>
  </si>
  <si>
    <t>Телевизор WADE 43L23100 2K, 43" (109
см), DLED, Smart TV</t>
  </si>
  <si>
    <t>521-101-0417-0009</t>
  </si>
  <si>
    <t>Коммерческий телевизор - 86UN640S, 86
дюймов типа LG</t>
  </si>
  <si>
    <t>Базовая комплектация: пульт дистанционного управления L-Con, кабель питания (2 м, прилагается) Дополнительный противоугонный аксессуар Chromecast</t>
  </si>
  <si>
    <t>521-101-0417-0010</t>
  </si>
  <si>
    <t>Коммерческий телевизор - 75UN640S, 75
дюймов типа LG</t>
  </si>
  <si>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</si>
  <si>
    <t>521-101-0417-0011</t>
  </si>
  <si>
    <t>Коммерческий телевизор - 65UN640S, 65
дюймов типа LG</t>
  </si>
  <si>
    <t>Базовая комплектация: пульт дистанционного управления типа S-can, отсоединенный кабель питания (1,5 м, прямой), противоугонная крышка для ключа Chromecast</t>
  </si>
  <si>
    <t>521-101-0417-0012</t>
  </si>
  <si>
    <t>Коммерческий телевизор - 55UN640S, 55
дюймов типа LG</t>
  </si>
  <si>
    <t>521-101-0417-0013</t>
  </si>
  <si>
    <t>Коммерческий телевизор - 50UN640S, 50
дюймов типа LG</t>
  </si>
  <si>
    <t>521-101-0417-0014</t>
  </si>
  <si>
    <t>Коммерческий телевизор - 43UN640S, 43
дюйма типа LG</t>
  </si>
  <si>
    <t>521-101-0419</t>
  </si>
  <si>
    <t>Принтер</t>
  </si>
  <si>
    <t>521-101-0419-0001</t>
  </si>
  <si>
    <t>Принтер А3 цветной HP Color LaserJet Ent M751dn Prntr</t>
  </si>
  <si>
    <t>521-101-0419-0002</t>
  </si>
  <si>
    <t>Принтер A3 цветной Xerox VersaLink C7000N,HiQ LED, 35/35 стр/мин (A4)/ 19/19 стр/мин (A3), 520+100 стр., 1.05GHz DualCore, 2GB, PostScript 3, PCL5c/6, USB 3.0, 10/100/1000 ethernet, optional wi-fi, 1200x2400DPI, VersaLink C7000 (C7000EUD)</t>
  </si>
  <si>
    <t>521-101-0419-0003</t>
  </si>
  <si>
    <t>Принтер А4 цветной Epson L8058, CD/DVD, USB Type B, Wi-Fi, 5760 x 1440 dpi, 0х15см ("draft"), CD Windows и OS X</t>
  </si>
  <si>
    <t>521-101-0419-0004</t>
  </si>
  <si>
    <t>Принтер А3 цветной Xerox VersaLink C8000DT, LED, 45 стр/мин (A4)/ 22 стр/мин (A3), дуплекс, нагрузка (max) 205K в месяц, 1040+100 стр.- емкость лотков подачи, 1.6GHz, 4GB, PostScript 3, PCL5c/6, USB 3.0,
Gigabit Ethernet</t>
  </si>
  <si>
    <t>521-101-0419-0006</t>
  </si>
  <si>
    <t>Принтер А3 цветной Epson L11160 USB, LAN, Wi-Fi, tray 250, duplex</t>
  </si>
  <si>
    <t>521-101-0419-0007</t>
  </si>
  <si>
    <t>Принтер А4 матричный Epson LX-350II USB, до 357 зн./сек.</t>
  </si>
  <si>
    <t>521-101-0419-0008</t>
  </si>
  <si>
    <t>Принтер А4 матричный Epson FX-890II USB, до 738 зн./сек.</t>
  </si>
  <si>
    <t>521-101-0419-0009</t>
  </si>
  <si>
    <t>"Принтер Epson M1170, A4, 20ppm,1200 x 2400dpi, USB, LAN, Wi¬Fi, tray"</t>
  </si>
  <si>
    <t>521-101-0419-0010</t>
  </si>
  <si>
    <t>"Принтер WF- C5390DW, A4 25/25 pm, 4.800
x 1.200 dpi, USB, LAN, tray 250"</t>
  </si>
  <si>
    <t>521-101-0419-0012</t>
  </si>
  <si>
    <t>Принтер Катюша P247, монохромный лазерный, 47 стр/мин, А4 Ч/Б, 1200 dpi, CPU 800 МГц, 512 Мб RAM, Ethernet, USB,
USB-host, Wi-Fi, PS3, PCL5/6, PDF, GDI</t>
  </si>
  <si>
    <t>2,2" экран, клавиатура. Тонер 3 000 отп., заменяемый 13 000 отп.</t>
  </si>
  <si>
    <t>521-101-0419-0013</t>
  </si>
  <si>
    <t>Принтер Катюша P247e, монохромный лазерный, 47 стр/мин, А4 Ч/Б, 1200 dpi, CPU 1 ГГц, 2 ГБ RAM, Ethernet, USB, USB-host, Wi-Fi. PS3, PCL5/6, PDF, GDI</t>
  </si>
  <si>
    <t>2,2" экран, клавиатура. Тонер 3 000 отп., 13 000 отп.</t>
  </si>
  <si>
    <t>521-101-0419-0014</t>
  </si>
  <si>
    <t>Принтер Катюша P133, монохромный лазерный, 33 стр/мин А4 Ч/Б, 1200 dpi. 256 МБ RAM, Ethernet, USB, USB-host</t>
  </si>
  <si>
    <t>Тонер в комплекте на 700 отп</t>
  </si>
  <si>
    <t>521-101-0419-0015</t>
  </si>
  <si>
    <t>Принтер Катюша P140, монохромный светодиодный, 40 стр/мин А4 Ч/Б, 1 ГБ RAM, Ethernet, USB</t>
  </si>
  <si>
    <t>521-101-0419-0016</t>
  </si>
  <si>
    <t>Принтер Катюша P140T, монохромный светодиодный, 40 стр/мин А4 Ч/Б, большой лоток для бумаги, CPU 1200 МГц, 1 ГБ RAM, Ethernet, USB</t>
  </si>
  <si>
    <t>521-101-0419-0017</t>
  </si>
  <si>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</si>
  <si>
    <t>521-101-0419-0018</t>
  </si>
  <si>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</si>
  <si>
    <t>521-101-0419-0019</t>
  </si>
  <si>
    <t>Принтер монохромный, Xerox, B230DNI, B230V_DNI, лазерный, А4, 34 стр./мин., подача 251 лист, ЖК Дисплей, 1 ГГц CPU, 256 МБ RAM, USB 2.0, Ethernet 10/100,
Wi-Fi</t>
  </si>
  <si>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</si>
  <si>
    <t>521-101-0419-0020</t>
  </si>
  <si>
    <t>Принтер монохромный, Xerox, B410DN, B410V_DN, лазерный, А4, 47 стр./мин., подача 650 листов, сенсорный дисплей 4.3",
1 ГГц CPU, 1 ГБ RAM, 8 ГБ eMMC, USB 2.0,
Ethernet 10/100/1000</t>
  </si>
  <si>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</si>
  <si>
    <t>521-101-0419-0021</t>
  </si>
  <si>
    <t>Принтер монохромный, Xerox, VersaLink B620DN, B620V_DN, лазерный, А4, 61 стр./мин., подача 550 листов, сенсорный дисплей 5", 1.2 ГГц CPU, 2 ГБ RAM, 32 ГБ eMMC, USB 2.0, Ethernet 10/100/1000, NFC</t>
  </si>
  <si>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</si>
  <si>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521-101-0419-0022</t>
  </si>
  <si>
    <t>Принтер цветной, Xerox, C410DN, C410V_DN, лазерный , А4, 40 стр./мин., подача 251 лист, сенсорный дисплей 4.3", 1 ГГц CPU, 1 ГБ RAM, 8 ГБ eMMC, USB 2.0,
Ethernet 10/100/1000</t>
  </si>
  <si>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</si>
  <si>
    <t>521-101-0419-0023</t>
  </si>
  <si>
    <t>Принтер цветной, Xerox, VersaLink C620DN, C620V_DN, лазерный , А4, 50 стр./мин., подача 650 листов, сенсорный дисплей 5",
1.2 ГГц CPU, 2 ГБ RAM, 32 ГБ eMMC, USB
2.0, Ethernet 10/100/1000, NFC</t>
  </si>
  <si>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</si>
  <si>
    <t>521-101-0420</t>
  </si>
  <si>
    <t>Моноблок</t>
  </si>
  <si>
    <t>521-101-0420-0002</t>
  </si>
  <si>
    <t>Моноблок Avtech G40, Intel® Core™
i3-10100 частота 3.60-4,30 GHz 4 ядра 8 потоков, Intel HD Graphics 630, ОЗУ DDR4 8G, ПЗУ SSD 256G, Windows 10/11</t>
  </si>
  <si>
    <t>521-101-0420-0003</t>
  </si>
  <si>
    <t>Моноблок Avtech X5 23,8", Intel® DC G6400/6405/Asus/DDR4 4Gb 2666Mhz/SSD
256Gb M.2/ядер 2 потока 4, Intel® Pentium® Gold G6400 частота 4,00 GHz 2 ядра 4 потоков, Intel HD Graphics 610, ОЗУ DDR4 4G, ПЗУ SSD 256G, Windows 10/11</t>
  </si>
  <si>
    <t>521-101-0420-0004</t>
  </si>
  <si>
    <t>Моноблок Avtech K40 Pro, i3 10100 /DDR4 8Gb/ SSD 256Gb/ Windows 10 Pro, частота 3.60-4,30 GHz 4 ядра 8 потоков, Intel HD Graphics 630, ОЗУ DDR4 8G ,ПЗУ SSD
256G, Windows 10/11</t>
  </si>
  <si>
    <t>521-101-0420-0005</t>
  </si>
  <si>
    <t>Моноблок Avtech GL 40Pro, black silver USB Type C, H610JW, Intel® Core i3 12100, DDR4 8Gb 3200Mhz, SSD 256Gb. Windows 11 Pro для школ, Intel® Core i3 12100, Intel HD Graphics 730, ОЗУ DDR4 8G, ПЗУ SSD
256G, Windows 10/11</t>
  </si>
  <si>
    <t>521-101-0420-0006</t>
  </si>
  <si>
    <t>Моноблок Avtech GT40 Pro, Touch USB Type C, H610JW, Intel® Core i3 12100, DDR4 8Gb
3200Mhz, SSD 256 Gb, Windows 11 Pro для школ, Intel® Core i3 12100, Intel HD Graphics 730, ОЗУ DDR4 8G, ПЗУ SSD 256G,
Windows 10/11</t>
  </si>
  <si>
    <t>521-101-0420-0007</t>
  </si>
  <si>
    <t>Моноблок Avtech GL 40Pro,black silver USB Type C, H610JW, Intel® Core i5 12400, DDR4 8Gb 3200Mhz, SSD 256Gb M.2 NVME,
Windows 11 Pro для школ, Intel® Core i5 12400, Intel HD Graphics 730, ОЗУ DDR4 8G, ПЗУ SSD 256G, Windows 10/11</t>
  </si>
  <si>
    <t>521-101-0420-0008</t>
  </si>
  <si>
    <t>Моноблок Avtech GT40 Pro, Touch USB Type C, H610JW, Intel® Core i5 12400, DDR4 8Gb 3200Mhz, SSD 256 Gb M.2 NVME, Windows
11 Pro для школ, Intel® Core i5 12400, Intel HD Graphics 730, ОЗУ DDR4 8G, ПЗУ SSD
256G, Windows 10/11</t>
  </si>
  <si>
    <t>521-101-0420-0009</t>
  </si>
  <si>
    <t>Моноблок Labortrix Station (AIO), 23" 1920/1080 Full HD, Core i3-7100, 4 ядерный, 4 поточный, 3. 9 GHz, ОЗУ, 4GB, RAM: SSD,
256GB</t>
  </si>
  <si>
    <t>521-101-0420-0010</t>
  </si>
  <si>
    <t>Моноблок Labortrix Station (AIO), 23" 1920/1080 Full HD, Core i5-11400, 6 ядерный, 12 поточный, 4.4 GHz макс., ОЗУ, 8GB, RAM: SSD, 512GB</t>
  </si>
  <si>
    <t>521-101-0420-0011</t>
  </si>
  <si>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</si>
  <si>
    <t>521-101-0420-0012</t>
  </si>
  <si>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</si>
  <si>
    <t>521-101-0420-0013</t>
  </si>
  <si>
    <t>Моноблок Lenovo Neo 50a-24, 23.8FHD, Core I5-12450H-2.0G-8C-12T, 8 GB DDR5-4800MHz</t>
  </si>
  <si>
    <t>521-101-0420-0014</t>
  </si>
  <si>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</si>
  <si>
    <t>521-101-0420-0015</t>
  </si>
  <si>
    <t>Моноблок Acer Veriton Z2594G, 23,8" FHD, i3 1215U, 8Gb, 256Gb SSD, WIN11pro,
DQ.VX1MC.007, предустановленная система управления классом Acer Classroom Manager с бессрочной лицензией</t>
  </si>
  <si>
    <t>521-101-0420-0016</t>
  </si>
  <si>
    <t>Моноблок Acer Veriton Z4694G, 23,8" FHD, i5 12400, 16Gb, 512Gb SSD, WIN11pro,
DQ.VWKMC.00A, предустановленная система управления классом Acer Classroom Manager с бессрочной лицензией</t>
  </si>
  <si>
    <t>521-101-0420-0017</t>
  </si>
  <si>
    <t>Моноблок Lenovo TC ThinkCentre Neo 30a-24 G4 #1/Core i5-13420H 2.1G 8C 12T
NP/8GB DDR4-3200MHz SoDIMM/256 GB SSD M.2 2280 PCIe Gen4 TLC
Opal/23.8FHD/Cam HD/Wi-Fi 6 AX201 2x2 AX &amp; Bluetooth® 5.1/Dual Microphone/Windows 11 для образовательных учреждений</t>
  </si>
  <si>
    <t>521-101-0420-0018</t>
  </si>
  <si>
    <t>Моноблок Lenovo M90a G3 #1 23.8"/Intel® Pentium® Gold G7400 Processor (3.70 GHz)/4 GB DDR4-3200MHz (SODIMM)/256 GB SSD
M.2 2280 PCIe Gen4 TLC Opal/Integrated Graphics/HDMI/Windows 11 для образовательных учреждений</t>
  </si>
  <si>
    <t>521-101-0420-0019</t>
  </si>
  <si>
    <t>Моноблок Lenovo 23,8" Neo 30a-24 G4 #2/Core i5-13420H 2.1G 8C 12T NP/8GB DDR4-3200MHz SoDIMM/512 GB SSD M.2
2280 PCIe Gen4 QLC/Integrated Graphics/HDMI/WL/BT/Cam HD/Windows 11 для образовательных учреждений</t>
  </si>
  <si>
    <t>521-101-0420-0020</t>
  </si>
  <si>
    <t>Моноблок Lenovo 23,8" Neo 50a-24 G4 #1/Core i5-13500H 2.6G 12C 16T/8GB DDR5 5200 SoDIMM/512 GB SSD M.2 2280 PCIe
Gen4 QLC/Integrated Graphics/HDMI/WL/BT/Cam/Windows 11 для образовательных учреждений</t>
  </si>
  <si>
    <t>521-101-0420-0021</t>
  </si>
  <si>
    <t>Моноблок Uvision Uvision Spark 23.8 IPS 1920x1080 full viewing angle/INTEL I5-12450H/3200-16GB/512 GB</t>
  </si>
  <si>
    <t>521-101-0420-0022</t>
  </si>
  <si>
    <t>Моноблок Uvision Enigma 23.8 IPS 1920x1080 full viewing angle/INTEL I7-12700H/DDR4 3200-32GB/512 GB</t>
  </si>
  <si>
    <t>521-101-0420-0023</t>
  </si>
  <si>
    <t>Моноблок HP ProOne 240 G10
24AiOBU-i3-N300IDS / 23.8 inch AG FHD UWVA IPS 250 / 8GB DDR4 / 256GB M.2
SSD Value / W11 Pro / 1yw / HP 3 year Next Business Day Onsite Desktop Only Hardware SupportWarranty Extension / 125 Black Cellulose Fiber Packagingkbd /</t>
  </si>
  <si>
    <t>521-101-0420-0024</t>
  </si>
  <si>
    <t>Моноблок F3S2410B
24-i510400-8-256-Win11, диагональ экрана 23.8", оперативная память 8 GB DDR4, жёсткий диск SD - 256 GB, процессор Intel Core processor i5-10400, лицензионная Windows 11 Pro 64 Bit</t>
  </si>
  <si>
    <t>521-101-0420-0025</t>
  </si>
  <si>
    <t>Моноблок F3S2410B
24-i510400-16-512-1TB-Win, диагональ экрана 23.8", оперативная память 16 GB DDR4, жёсткий диск SSD - 512 GB / HDD - 1TБ, процессор Intel Core processor i5-10400, лицензионная Windows 11 Pro 64 Bit</t>
  </si>
  <si>
    <t>521-101-0420-0026</t>
  </si>
  <si>
    <t>Моноблок F3S2711B
27-i510400-8-256-Win-11, диагональ экрана 23.8", оперативная память 8 GB DDR4, жёсткий диск SSD - 256 GB, Intel Core processor i5-10400, лицензионная Windows 11 Pro 64 Bit</t>
  </si>
  <si>
    <t>521-101-0420-0027</t>
  </si>
  <si>
    <t>Моноблок F3S2711B
27-i510400-16-512-1TB-Win, диагональ экрана 23.8", оперативная память 16 GB DDR4, жёсткий диск SSD - 512GB / HDD - 1TБ, Intel Core processor i5-10400, лицензионная Windows 11 Pro 64 Bit</t>
  </si>
  <si>
    <t>521-101-0420-0028</t>
  </si>
  <si>
    <t>Моноблок F3S2410B
24-i511400-8-256-Win11, диагональ экрана 23.8", оперативная память 8 GB DDR4, жёсткий диск SSD - 256 GB, процессор Intel Core processor i5-11400, лицензионная Windows 11 Pro 64 Bit</t>
  </si>
  <si>
    <t>521-101-0420-0029</t>
  </si>
  <si>
    <t>Моноблок F3S2410B
24-i511400-16-512-1TB-Win, диагональ экрана 23.8", оперативная память 16 GB DDR4, жёсткий диск SSD - 512 GB / HDD - 1TB, процессор Intel Core processor i5-11400, лицензионная Windows 11 Pro 64 Bit</t>
  </si>
  <si>
    <t>521-101-0420-0030</t>
  </si>
  <si>
    <t>Моноблок F3S2711B 27-i511400-8-256-Win,
диагональ экрана 27", оперативная память 8 GB DDR4, жёсткий диск: SSD - 256GB, процессор Intel Core processor i5-11400, лицензионная Windows 11 Pro 64 Bit</t>
  </si>
  <si>
    <t>521-101-0420-0031</t>
  </si>
  <si>
    <t>Моноблок F3S2711B
27-i511400-8-256-1TB-Win, диагональ экрана 27", оперативная память 16 GB DDR4, жёсткий диск SSD - 256 GB / HDD - 1 TB, процессор Intel Core processor i5-11400, лицензионная Windows 11 Pro 64 Bit</t>
  </si>
  <si>
    <t>521-101-0420-0032</t>
  </si>
  <si>
    <t>Моноблок F3S2410B
24-i312100-8-256-Win11, диагональ экрана 23.8", оперативная память 8 GB DDR4, жёсткий диск SSD - 256 GB, Intel Core processor i3-12100, лицензионная Windows 11 Pro 64 Bit</t>
  </si>
  <si>
    <t>521-101-0420-0033</t>
  </si>
  <si>
    <t>Моноблок F3S2410B
24-i312100-16-512-1TB-Win, диагональ экрана 23.8", оперативная память 16 GB DDR4, жёсткий диск  SSD - 512 GB / HDD - 1 TB, процессор Intel Core processor
i5-12400, лицензионная Windows 11 Pro 64 Bit</t>
  </si>
  <si>
    <t>521-101-0420-0034</t>
  </si>
  <si>
    <t>Моноблок F3S2711B 27-i512400-8-256-Win,
диагональ экрана 27", оперативная память 8 GB DDR4, жёсткий диск SSD - 256 GB, процессор Intel Core processor i5-12400</t>
  </si>
  <si>
    <t>521-101-0420-0035</t>
  </si>
  <si>
    <t>Моноблок F3S2711B
27-i512400-8-256-1TB-Win, оперативная память 8 GB DDR4, жёсткий диск SSD - 256 GB / HDD- 1 TB, процессор Intel Core processor i5-12400, лицензионная Windows 11 Pro 64 Bit</t>
  </si>
  <si>
    <t>521-101-0420-0036</t>
  </si>
  <si>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</si>
  <si>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</si>
  <si>
    <t>521-101-0420-0037</t>
  </si>
  <si>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</si>
  <si>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</si>
  <si>
    <t>521-101-0420-0038</t>
  </si>
  <si>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</si>
  <si>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</si>
  <si>
    <t>521-101-0421</t>
  </si>
  <si>
    <t>МФУ</t>
  </si>
  <si>
    <t>521-101-0421-0001</t>
  </si>
  <si>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</si>
  <si>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t>6" панель управления, клавиатура. Тонер 3 000 отп., заменяемый 13 000 отп.</t>
  </si>
  <si>
    <t>521-101-0421-0002</t>
  </si>
  <si>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</si>
  <si>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t>521-101-0421-0003</t>
  </si>
  <si>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</si>
  <si>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t>10,1" панель. Тонер 20 000 отп., замена 30 000 отп. до 200 000 отп/мес.</t>
  </si>
  <si>
    <t>521-101-0421-0004</t>
  </si>
  <si>
    <t>МФУ Катюша M133, монохромный лазерный, принтер/копир/сканер, 33 стр/мин А4 Ч/Б, 1200 dpi. 512МБ RAM, Ethernet, USB, USB-host</t>
  </si>
  <si>
    <t>521-101-0421-0005</t>
  </si>
  <si>
    <t>МФУ Катюша M240, монохромный светодиодный, принтер/копир/сканер/факс, 40 стр/мин А4, ч/б, 1200 dpi. Скан: цвет/чб 1200 dpi. 4 ГБ RAM, 1000 Мб Ethernet, 1200 МГц USB, USB-host. 75 листов</t>
  </si>
  <si>
    <t>Тонер в комплекте 3 000 отпечатков</t>
  </si>
  <si>
    <t>521-101-0421-0006</t>
  </si>
  <si>
    <t>МФУ Катюша M140, монохромный светодиодный, принтер/копир/сканер, 40 стр/мин А4 Ч/Б, Скан: цвет/чб, CPU 1200 МГц, 1 ГБ RAM, Ethernet, USB</t>
  </si>
  <si>
    <t>521-101-0421-0007</t>
  </si>
  <si>
    <t>МФУ Катюша M140T, монохромный светодиодный, принтер/копир/сканер, 40 стр/мин А4 Ч/Б, Скан: цвет/чб, большой лоток для бумаги, CPU 1200 МГц, 2 ГБ RAM, Ethernet, USB</t>
  </si>
  <si>
    <t>521-101-0421-0008</t>
  </si>
  <si>
    <t>МФУ Катюша M240T, монохромный светодиодный, принтер/копир/сканер/факс, 40 стр/мин А4, ч/б, 1200 dpi. Скан: цвет/чб, большой лоток для бумаги, 1000 Мб Ethernet, USB, USB-host</t>
  </si>
  <si>
    <t>521-101-0421-0009</t>
  </si>
  <si>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</si>
  <si>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t>7" панель управления. Автоподатчик, тонер и тумба для хранения и наполного размещения в комплекте</t>
  </si>
  <si>
    <t>521-101-0421-0010</t>
  </si>
  <si>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</si>
  <si>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t>521-101-0421-0011</t>
  </si>
  <si>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</si>
  <si>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t>7" панель управления. Блок фотобарабана K\CMY 80\70 000 отпечатков. Автоподатчик, комплект тонеров и тумба для хранения и наполного размещения в комплекте</t>
  </si>
  <si>
    <t>521-101-0421-0012</t>
  </si>
  <si>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</si>
  <si>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t>7" панель управления. Блок фотобарабана K\CMY 105\90 000 отпечатков.
Автоподатчик, комплект тонеров и тумба для хранения и наполного размещения в комплекте</t>
  </si>
  <si>
    <t>521-101-0421-0013</t>
  </si>
  <si>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</si>
  <si>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t>Автоподатчик оригиналов 50 листов. Стартовый тонер на 700 отпечатков</t>
  </si>
  <si>
    <t>521-101-0421-0014</t>
  </si>
  <si>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</si>
  <si>
    <t>521-101-0421-0015</t>
  </si>
  <si>
    <t>МФУ Катюша M325p, монохромный лазерный, принтер/копир/сканер, А3 формат, монохромный, 25 А4/мин, 1200 dpi. Сканер цвет/чб. CPU 1200 МГц, 4 ГБ RAM, Ethernet, USB, USB-host</t>
  </si>
  <si>
    <t>8" панель. Тонер в комплекте 6000 отп. До 100 000 отп/мес.</t>
  </si>
  <si>
    <t>521-101-0421-0016</t>
  </si>
  <si>
    <t>МФУ Катюша M350p, монохромный лазерный, принтер/копир/сканер, А3 формат, монохромный, 50 А4/мин, 1200 dpi. Сканер цвет/чб. CPU 1200 МГц, 4 ГБ RAM, Ethernet, USB, USB-host</t>
  </si>
  <si>
    <t>8" панель. Тонер в комплекте 10 000 отп.</t>
  </si>
  <si>
    <t>521-101-0421-0017</t>
  </si>
  <si>
    <t>МФУ Canon imageRUNNER C3326i, цветной, лазерный, А3, 26 стр/мин, 1.6 ГГц Dual Core Processor, 2.0Гб RAM</t>
  </si>
  <si>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</si>
  <si>
    <t>521-101-0421-0018</t>
  </si>
  <si>
    <t>МФУ Canon i-SENSYS X 1440i,
монохромный, А4, лазерный, 40 стр/мин, 1,2 ГГц Processor,  1Гб RAM, USB 2.0 Hi-Speed, 10BASE-T/100BASE-TX/1000Base-T,
Wireless 802.11b/g/n, Wireless Direct Connection</t>
  </si>
  <si>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</si>
  <si>
    <t>521-101-0421-0019</t>
  </si>
  <si>
    <t>МФУ Canon C1538IF II, цветной, А4, лазерный, 38 стр./мин; 1.6ГГц Dual Core Processor, 2.0Гб RAM,
1000Base-T/100Base-TX/10Base-T, Wireless LAN</t>
  </si>
  <si>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</si>
  <si>
    <t>521-101-0421-0020</t>
  </si>
  <si>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</si>
  <si>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</si>
  <si>
    <t>521-101-0421-0021</t>
  </si>
  <si>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</si>
  <si>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</si>
  <si>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521-101-0421-0022</t>
  </si>
  <si>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</si>
  <si>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</si>
  <si>
    <t>521-101-0421-0023</t>
  </si>
  <si>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</si>
  <si>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</si>
  <si>
    <t>521-101-0421-0024</t>
  </si>
  <si>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</si>
  <si>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</si>
  <si>
    <t>521-101-0600</t>
  </si>
  <si>
    <t>Оборудование и мебель вспомогательные для групповой комнаты</t>
  </si>
  <si>
    <t>521-101-0601</t>
  </si>
  <si>
    <t>Шкаф для посуды</t>
  </si>
  <si>
    <t>521-101-0601-0001</t>
  </si>
  <si>
    <t>Шкаф с полками для посуды 800*450*1800</t>
  </si>
  <si>
    <t>521-101-0602</t>
  </si>
  <si>
    <t>Шкаф для моющих средств</t>
  </si>
  <si>
    <t>521-101-0602-0001</t>
  </si>
  <si>
    <t>Шкаф для моющих средств 800х500х1800мм</t>
  </si>
  <si>
    <t>Шкаф для моющих средств 800х500х1800мм. Материал ЛДСП 16мм.
Внутри секции имеются полки для инвентаря</t>
  </si>
  <si>
    <t>521-101-0603</t>
  </si>
  <si>
    <t>Шкаф для уборочного инвентаря</t>
  </si>
  <si>
    <t>521-101-0603-0001</t>
  </si>
  <si>
    <t>Шкаф металлический для хозинвентаря
одностворчатый 500х400х1750мм</t>
  </si>
  <si>
    <t>Шкаф металлический для хозинвентаря одностворчатый 500х400х1750мм.
Внутри секции имеются полки для инвентаря</t>
  </si>
  <si>
    <t>521-101-0603-0002</t>
  </si>
  <si>
    <t>Шкаф металлический для хозинвентаря
двухстворчатый 800х400х1750мм</t>
  </si>
  <si>
    <t>Шкаф металлический для хозинвентаря двухстворчатый 800х400х1750мм.
Внутри секции имеются полки для инвентаря</t>
  </si>
  <si>
    <t>521-101-0603-0003</t>
  </si>
  <si>
    <t>Шкаф металлический односекционный для уборочного инвентаря с замком 600*500*1656мм, с полками и нишей.
Покрытие — краска порошковая-полимерная.</t>
  </si>
  <si>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</si>
  <si>
    <t>521-101-0604</t>
  </si>
  <si>
    <t>Стеллаж</t>
  </si>
  <si>
    <t>521-101-0604-0001</t>
  </si>
  <si>
    <t>Стеллаж для цветов 1500х300х1300мм. Каркас изготовлен из стального профиля. Полки ЛДСП 16 мм</t>
  </si>
  <si>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</si>
  <si>
    <t>521-101-0605</t>
  </si>
  <si>
    <t>Вешалка</t>
  </si>
  <si>
    <t>521-101-0605-0001</t>
  </si>
  <si>
    <t>Шкаф 5-ти секционный с полками и крючками, 600*150*600. Материал -ЛДСП 16 мм.</t>
  </si>
  <si>
    <t>Шкаф 5-ти секционный с полками и крючками, 600*150*600. Материал
-ЛДСП 16 мм.</t>
  </si>
  <si>
    <t>521-101-0605-0002</t>
  </si>
  <si>
    <t>Вешалка 5-ти секционная с полками и крючками 658*116*1000. Материал - ЛДСП 16 мм.</t>
  </si>
  <si>
    <t>521-101-0605-0003</t>
  </si>
  <si>
    <t>Вешалка настенная на 14 крючков для одежды, размер 2256х254х263мм, ЛДСП 16мм</t>
  </si>
  <si>
    <t>521-101-0611</t>
  </si>
  <si>
    <t>Шкаф гардеробный</t>
  </si>
  <si>
    <t>521-101-0611-0001</t>
  </si>
  <si>
    <t>Шкаф гардеробный 2300/1100х550х2200мм. Материал - ЛДСП 16мм, полки для головного убора и обуви, перекладина.</t>
  </si>
  <si>
    <t>Шкаф гардеробный 2300/1100х550х2200мм. ЛДСП 16мм, полки для головного убора и обуви, перекладина.</t>
  </si>
  <si>
    <t>521-101-0612</t>
  </si>
  <si>
    <t>Кровать односпальная</t>
  </si>
  <si>
    <t>521-101-0612-0001</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</si>
  <si>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</si>
  <si>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</si>
  <si>
    <t>521-101-0612-0002</t>
  </si>
  <si>
    <t>Кровать детская односпальная, размеры 1440х650х700мм. Каркас ЛДСП 16мм, все углы закруглены. Ложе 1400х600мм.</t>
  </si>
  <si>
    <t>521-101-0612-0003</t>
  </si>
  <si>
    <t>Кровать детская односпальная, размеры 1436х640х550мм. ЛДСП 16мм, все углы закруглены</t>
  </si>
  <si>
    <t>521-101-0612-0004</t>
  </si>
  <si>
    <t>Кровать детская односпальная, размеры 1400х600х450мм, ЛДСП 16мм, без острых углов</t>
  </si>
  <si>
    <t>ЛДСП 16 мм, класс эмиссии Е1. Кромки деталей облицованы полимерным кромочным материалом (ПВХ), толщиной 2 мм. Фурнитура: стяжка типа Blum</t>
  </si>
  <si>
    <t>521-101-0612-0005</t>
  </si>
  <si>
    <t>Кровать детская 1 ярус, материал изготовления ЛДСП 16 мм, габаритные размеры 1532х650х500 мм</t>
  </si>
  <si>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</si>
  <si>
    <t>521-101-0613</t>
  </si>
  <si>
    <t>Кровать двухъярусная</t>
  </si>
  <si>
    <t>521-101-0613-0001</t>
  </si>
  <si>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</si>
  <si>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</si>
  <si>
    <t>521-101-0613-0002</t>
  </si>
  <si>
    <t>Кровать детская двухъярусная. Каркас ЛДСП 16мм, все углы закруглены. Размеры 1450*700*1200мм.</t>
  </si>
  <si>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</si>
  <si>
    <t>521-101-0614</t>
  </si>
  <si>
    <t>Кровать трехъярусная выкатная</t>
  </si>
  <si>
    <t>521-101-0614-0001</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</si>
  <si>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</si>
  <si>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</si>
  <si>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521-101-0614-0002</t>
  </si>
  <si>
    <t>Кровать трехъярусная, телоскопическая, выполнена из ЛДСП 16мм, размеры 1528х693х923мм</t>
  </si>
  <si>
    <t>521-101-0616</t>
  </si>
  <si>
    <t>Раскладушка</t>
  </si>
  <si>
    <t>521-101-0616-0001</t>
  </si>
  <si>
    <t>Раскладушка детская 1670х600х270 мм</t>
  </si>
  <si>
    <t>521-101-0616-0002</t>
  </si>
  <si>
    <t>Раскладушка детская с поролоном 1670х600х270 мм</t>
  </si>
  <si>
    <t>521-101-0616-0003</t>
  </si>
  <si>
    <t>Раскладушка взрослая 2040х720х380 мм</t>
  </si>
  <si>
    <t>Группа 521-102. Инвентарь для изобразительной деятельности</t>
  </si>
  <si>
    <t>521-102-0100</t>
  </si>
  <si>
    <t>Инвентарь для рисования</t>
  </si>
  <si>
    <t>521-102-0114</t>
  </si>
  <si>
    <t>Мольберт</t>
  </si>
  <si>
    <t>521-102-0114-0001</t>
  </si>
  <si>
    <t>Мольберт напольный алюминиевый, размеры не менее 960х960х1800мм</t>
  </si>
  <si>
    <t>521-102-0114-0002</t>
  </si>
  <si>
    <t>Мольберт двухсторонний 1200х600мм, с двумя рабочими поверхностями 600х580мм, двумя лотками 600х50мм и
планкой-ограничителем типа Инт парк 17091</t>
  </si>
  <si>
    <t>Группа 521-103. Оборудование и мебель административных помещений организаций дошкольного образования</t>
  </si>
  <si>
    <t>521-103-0200</t>
  </si>
  <si>
    <t>Методический кабинет</t>
  </si>
  <si>
    <t>521-103-0201</t>
  </si>
  <si>
    <t>Шкаф для книг открытый</t>
  </si>
  <si>
    <t>521-103-0201-0001</t>
  </si>
  <si>
    <t>Шкаф для книг открытый. ЛДСП 16мм, размеры 1000х500х1800мм</t>
  </si>
  <si>
    <t>Шкаф для книг открытый. ЛДСП 16мм, размеры 1000х500х1800мм. Полки открытые.</t>
  </si>
  <si>
    <t>521-103-0210</t>
  </si>
  <si>
    <t>Ламинатор</t>
  </si>
  <si>
    <t>521-103-0210-0001</t>
  </si>
  <si>
    <t>Ламинатор А4 "Lunar +" размерами 2*125 мкм. 30 см/мин. серый/синий (FELLOWES)</t>
  </si>
  <si>
    <t>521-103-0211</t>
  </si>
  <si>
    <t>Машина переплетная</t>
  </si>
  <si>
    <t>521-103-0211-0001</t>
  </si>
  <si>
    <t>Машина для переплета для пластиковых пружин "STAR+" (FELLOWES)</t>
  </si>
  <si>
    <t>521-103-0211-0002</t>
  </si>
  <si>
    <t>Переплетная машина Comix B2980, дырокол 15 листов, переплет до 120 листов,
Black-Silver</t>
  </si>
  <si>
    <t>521-103-0211-0003</t>
  </si>
  <si>
    <t>Переплетная машина Fellowes Starlet 2+, дырокол 12 листов, переплет до 120 листов (16мм),White-Black</t>
  </si>
  <si>
    <t>521-103-0211-0004</t>
  </si>
  <si>
    <t>Переплетная машина GBC CombBind 100, дырокол 9 листов, переплет до 160 листов (19мм), Black</t>
  </si>
  <si>
    <t>521-103-0211-0005</t>
  </si>
  <si>
    <t>Переплетная машина GBC CombBind 110, дырокол 12 листов, переплет до 190 листов (22мм), Black</t>
  </si>
  <si>
    <t>521-103-0211-0006</t>
  </si>
  <si>
    <t>Переплетная машина GBC CombBind 200, дырокол 20 листов, переплет до 330 листов (38мм), Black</t>
  </si>
  <si>
    <t>521-103-0211-0007</t>
  </si>
  <si>
    <t>Переплетная машина GBC CombBind 210, дырокол 25 листов, переплет до 450 листов (51мм), Black-Gray</t>
  </si>
  <si>
    <t>521-103-0211-0008</t>
  </si>
  <si>
    <t>Переплетная машина GBC CombBind C200E, дырокол 15 листов, переплет до 330 листов (38мм), Black</t>
  </si>
  <si>
    <t>521-103-0300</t>
  </si>
  <si>
    <t>Другие административно-хозяйственные кабинеты</t>
  </si>
  <si>
    <t>521-103-0301</t>
  </si>
  <si>
    <t>Шкаф для документов</t>
  </si>
  <si>
    <t>521-103-0301-0001</t>
  </si>
  <si>
    <t>Шкаф для документов. Вверх с открытой полкой, низ с закрытыми полками и дверьми. Размеры 1000*340*1200мм. ЛДСП 16мм.</t>
  </si>
  <si>
    <t>521-103-0301-0002</t>
  </si>
  <si>
    <t>Шкаф для документов с открытыми верхними полками и закрытой нижней частью. Размеры 800*450*2000мм. ЛДСП 16мм.</t>
  </si>
  <si>
    <t>521-103-0301-0003</t>
  </si>
  <si>
    <t>Шкаф для документов с открытыми верхними полками и закрытой нижней частью. Размеры 600х450х1800мм. ЛДСП 16мм.</t>
  </si>
  <si>
    <t>521-103-0302</t>
  </si>
  <si>
    <t>Стол из HPL-пластика</t>
  </si>
  <si>
    <t>521-103-0302-0001</t>
  </si>
  <si>
    <t>Стол из HPL-пластика, размер 800х800х720 мм</t>
  </si>
  <si>
    <t>521-103-0302-0002</t>
  </si>
  <si>
    <t>Стол из HPL-пластика, размер 800х1200х720 мм</t>
  </si>
  <si>
    <t>521-103-0303</t>
  </si>
  <si>
    <t>Стул из пластика</t>
  </si>
  <si>
    <t>521-103-0303-0001</t>
  </si>
  <si>
    <t>Стул из пластика, размер 465х530х800 мм</t>
  </si>
  <si>
    <t>Материал сидушки и ножек пластик. Размеры 465х530х800мм.</t>
  </si>
  <si>
    <t>521-103-0303-0002</t>
  </si>
  <si>
    <t>Стул из пластика, размер 500х550х820 мм</t>
  </si>
  <si>
    <t>Материал пластик. Размеры 500х550х820мм. Стул цельнолитой.</t>
  </si>
  <si>
    <t>521-103-0303-0003</t>
  </si>
  <si>
    <t>Стул из пластика, размер 590х590х840 мм</t>
  </si>
  <si>
    <t>Материал сидушки и ножек пластик. Размеры 590х590х840мм.</t>
  </si>
  <si>
    <t>521-103-0303-0004</t>
  </si>
  <si>
    <t>Стул офисный пластиковый, каркас хром</t>
  </si>
  <si>
    <t>Стул изготовлен из пластика. Каркас из хромированного металла.
Материал: основание - хром, спинка - пластик</t>
  </si>
  <si>
    <t>521-103-0303-0005</t>
  </si>
  <si>
    <t>Стул офисный. Сиденье и спинка: пластик. Каркас стула: металл, хром.лак/черный муар. Размер: 460х480х840мм</t>
  </si>
  <si>
    <t>Цвет по согласованию с заказчиком. Усиленный каркас до 240 кг.</t>
  </si>
  <si>
    <t>521-103-0303-0006</t>
  </si>
  <si>
    <t>Стул офисный пластиковый. Материал
сиденья и спинки полипропилен.</t>
  </si>
  <si>
    <t>Материал основания: пустотелая сталь. Размер: 860*592*515 мм. Цвет по согласованию</t>
  </si>
  <si>
    <t>521-103-0303-0007</t>
  </si>
  <si>
    <t>Стул типа Форум. Цвет по согласованию с заказчиком. Материал - полипропилен.
Габаритные размеры: 590х590х840мм</t>
  </si>
  <si>
    <t>Стул типа Форум. Цвет по согласованию с заказчиком. Материал - полипропилен. Габаритные размеры: 590х590х840мм</t>
  </si>
  <si>
    <t>521-103-0303-0008</t>
  </si>
  <si>
    <t>Стул типа ИМС. Материал - пластик. Цвет по согласованию с заказчиком. Материал - полипропилен. Габаритные размеры: 465х530х800мм</t>
  </si>
  <si>
    <t>Стул типа ИМС. Материал - пластик. Цвет по согласованию с заказчиком.
Материал - полипропилен. Габаритные размеры: 465х530х800мм</t>
  </si>
  <si>
    <t>521-103-0303-0009</t>
  </si>
  <si>
    <t>Стул типа ЛАЙН. Материал - полипропилен. Габаритные размеры: 480х470х845мм. Цвет по согласованию с заказчиком</t>
  </si>
  <si>
    <t>521-103-0303-0010</t>
  </si>
  <si>
    <t>Стул типа ЛЕО.  Материал -полипропилен. Габаритные размеры: 465х415х845мм. Цвет по согласованию с заказчиком</t>
  </si>
  <si>
    <t>521-103-0303-0011</t>
  </si>
  <si>
    <t>Табурет-корзина типа Юна. Материал -
полипропилен. Цвет- антрацит</t>
  </si>
  <si>
    <t>521-103-0303-0012</t>
  </si>
  <si>
    <t>Табурет-корзина типа Оркеш. Материал - полипропилен. Цвет- антрацит. Габаритные размеры: 395х250х310мм</t>
  </si>
  <si>
    <t>521-103-0303-0013</t>
  </si>
  <si>
    <t>Табурет типа Тулип. Материал -
полипропилен. Цвет- антрацит</t>
  </si>
  <si>
    <t>Табурет типа Тулип. Материал - полипропилен. Цвет- антрацит</t>
  </si>
  <si>
    <t>521-103-0303-0014</t>
  </si>
  <si>
    <t>Стул детский типа Фокси. Цвет по согласованию с заказчиком. Материал - полипропилен. Габаритные размеры: 390х400х585мм</t>
  </si>
  <si>
    <t>521-103-0303-0015</t>
  </si>
  <si>
    <t>Стул из пластика, размер 470х390х770мм, металлический каркас</t>
  </si>
  <si>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</si>
  <si>
    <t>521-103-0303-0016</t>
  </si>
  <si>
    <t>Стул из пластика, размер 440х400х780мм, ножки металлические</t>
  </si>
  <si>
    <t>Каркас пластик. Ножки металлические с эффектом покраски под дерево</t>
  </si>
  <si>
    <t>521-103-0303-0017</t>
  </si>
  <si>
    <t>Стул из пластика, размер 400х380х780мм, металлический каркас цветной</t>
  </si>
  <si>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</si>
  <si>
    <t>Группа 521-105. Оборудование и мебель национальные для кабинета казахского языка</t>
  </si>
  <si>
    <t>521-105-0500</t>
  </si>
  <si>
    <t>Национальные музыкальные инструменты</t>
  </si>
  <si>
    <t>521-105-0501</t>
  </si>
  <si>
    <t>Домбра</t>
  </si>
  <si>
    <t>Домбра, длина грифа не менее 450 мм.</t>
  </si>
  <si>
    <t>521-105-0502</t>
  </si>
  <si>
    <t>Дауылпаз</t>
  </si>
  <si>
    <t>Ударный музыкальный инструмент. Корпус котлообразный изготовлен из твёрдых пород дерева, лицевая часть обтянута из козлиной кожи.</t>
  </si>
  <si>
    <t>521-105-0503</t>
  </si>
  <si>
    <t>Жетіген</t>
  </si>
  <si>
    <t>521-105-0504</t>
  </si>
  <si>
    <t>Қобыз</t>
  </si>
  <si>
    <t>521-105-0505</t>
  </si>
  <si>
    <t>Сазсырнай</t>
  </si>
  <si>
    <t>Это духовой музыкальный инструмент, сделанный из глины. Имеет по бокам отверстия. В комплекте идет чехол.</t>
  </si>
  <si>
    <t>521-105-0508</t>
  </si>
  <si>
    <t>Адырна</t>
  </si>
  <si>
    <t>521-105-0509</t>
  </si>
  <si>
    <t>Шертер</t>
  </si>
  <si>
    <t>521-105-0510</t>
  </si>
  <si>
    <t>Қыл қобыз</t>
  </si>
  <si>
    <t>521-105-0511</t>
  </si>
  <si>
    <t>Нар қобыз</t>
  </si>
  <si>
    <t>521-105-0512</t>
  </si>
  <si>
    <t>Бас қобыз</t>
  </si>
  <si>
    <t>521-105-0513</t>
  </si>
  <si>
    <t>Дабыл</t>
  </si>
  <si>
    <t>521-105-0514</t>
  </si>
  <si>
    <t>Кепшік</t>
  </si>
  <si>
    <t>521-105-0515</t>
  </si>
  <si>
    <t>Тай-тұяқ деревянный</t>
  </si>
  <si>
    <t>521-105-0516</t>
  </si>
  <si>
    <t>Тоқылдақ (коробка)</t>
  </si>
  <si>
    <t>521-105-0517</t>
  </si>
  <si>
    <t>Сыбызғы с футляром</t>
  </si>
  <si>
    <t>521-105-0518</t>
  </si>
  <si>
    <t>Керней с футляром</t>
  </si>
  <si>
    <t>521-105-0519</t>
  </si>
  <si>
    <t>Асатаяқ сылдырмақты</t>
  </si>
  <si>
    <t>521-105-0520</t>
  </si>
  <si>
    <t>Асатаяқ</t>
  </si>
  <si>
    <t>Шумовой музыкальный ударный инструмент. На корпус навешиваются колокольчики или лепестки.</t>
  </si>
  <si>
    <t>521-105-0521</t>
  </si>
  <si>
    <t>Сақпан</t>
  </si>
  <si>
    <t>521-105-0600</t>
  </si>
  <si>
    <t>Национальные принадлежности и мебель</t>
  </si>
  <si>
    <t>521-105-0601</t>
  </si>
  <si>
    <t>Бесік</t>
  </si>
  <si>
    <t>521-105-0606</t>
  </si>
  <si>
    <t>Сандық</t>
  </si>
  <si>
    <t>Группа 521-106. Оборудование для физкультурного зала</t>
  </si>
  <si>
    <t>521-106-0400</t>
  </si>
  <si>
    <t>Инвентарь для спортивных игр</t>
  </si>
  <si>
    <t>521-106-0409</t>
  </si>
  <si>
    <t>Сухой бассейн в комплекте с шариками</t>
  </si>
  <si>
    <t>521-106-0409-0001</t>
  </si>
  <si>
    <t>Сухой бассейн в комплекте с шариками
габариты: 950х330 мм</t>
  </si>
  <si>
    <t>521-106-0500</t>
  </si>
  <si>
    <t>Оборудование и инвентарь для детских игр
на спортивной площадке</t>
  </si>
  <si>
    <t>521-106-0504</t>
  </si>
  <si>
    <t>Велосипед детский</t>
  </si>
  <si>
    <t>521-106-0504-0001</t>
  </si>
  <si>
    <t>Велосипед детский трехколесный велосипед "Балдырган"</t>
  </si>
  <si>
    <t>521-106-0504-0002</t>
  </si>
  <si>
    <t>Велосипед детский трехколесный "Балдырган" с ручкой</t>
  </si>
  <si>
    <t>521-106-0506</t>
  </si>
  <si>
    <t>Беговел</t>
  </si>
  <si>
    <t>521-106-0600</t>
  </si>
  <si>
    <t>Зимний инвентарь</t>
  </si>
  <si>
    <t>521-106-0604</t>
  </si>
  <si>
    <t>Санки</t>
  </si>
  <si>
    <t>521-106-0604-0001</t>
  </si>
  <si>
    <t>Санки детские "АЛАҚАЙ" со спинкой размерами 720х335х165 мм</t>
  </si>
  <si>
    <t>521-106-0604-0002</t>
  </si>
  <si>
    <t>Санки трубчатые "СНЕЖОК" с подножкой и роликами размерами 800х360х190/950 мм</t>
  </si>
  <si>
    <t>521-106-0604-0003</t>
  </si>
  <si>
    <t>Санки для двойняшек удлиненные трубчатые "БӨБЕК" размерами 1200х370х195/960 мм</t>
  </si>
  <si>
    <t>Группа 521-107. Музыкальный зал</t>
  </si>
  <si>
    <t>521-107-0200</t>
  </si>
  <si>
    <t>Музыкальные инструменты и оборудование</t>
  </si>
  <si>
    <t>521-107-0201</t>
  </si>
  <si>
    <t>Аккордеон</t>
  </si>
  <si>
    <t>Группа 521-108. Инвентарь мягкий, оборудование для прачечной</t>
  </si>
  <si>
    <t>521-108-0500</t>
  </si>
  <si>
    <t>Оборудование для прачечной</t>
  </si>
  <si>
    <t>521-108-0502</t>
  </si>
  <si>
    <t>Тележка для перевозки белья</t>
  </si>
  <si>
    <t>521-108-0502-0001</t>
  </si>
  <si>
    <t>Тележка для сухого белья из полипропилена (стандартная) 830*480*620 мм</t>
  </si>
  <si>
    <t>521-108-0502-0002</t>
  </si>
  <si>
    <t>Тележка для сухого белья из полипропилена (удлиненная) 1020*630*825 мм</t>
  </si>
  <si>
    <t>521-108-0502-0003</t>
  </si>
  <si>
    <t>Тележка для влажного белья из алюминия (стандартная) 840*490*650 мм</t>
  </si>
  <si>
    <t>521-108-0502-0004</t>
  </si>
  <si>
    <t>Тележка для влажного белья из алюминия (удлиненная) 1030*630*850 мм</t>
  </si>
  <si>
    <t>521-108-0502-0005</t>
  </si>
  <si>
    <t>Тележка для перевозки белья 930*430*980</t>
  </si>
  <si>
    <t>521-108-0502-0006</t>
  </si>
  <si>
    <t>Тележка для белья типа ТП-120. Объем корзины 120 л, грузоподъемность 75 кг, габаритные размеры (ДхШхВ) 960х530х960 мм</t>
  </si>
  <si>
    <t>521-108-0502-0007</t>
  </si>
  <si>
    <t>Тележка для белья типа ТП-200. Объем корзины 200 л, грузоподъемность 75 кг, габаритные размеры (ДхШхВ) 1150х720х900 мм</t>
  </si>
  <si>
    <t>521-108-0502-0008</t>
  </si>
  <si>
    <t>Тележка для белья типа ТС-200. Объем корзины 200 л, грузоподъемность 100 кг, габаритные размеры (ДхШхВ) 650х605х845 мм</t>
  </si>
  <si>
    <t>521-108-0502-0009</t>
  </si>
  <si>
    <t>Тележка для белья типа ТН-200. Объем корзины 200 л, грузоподъемность 100 кг, габаритные размеры (ДхШхВ) 1255х540х950 мм</t>
  </si>
  <si>
    <t>521-108-0502-0010</t>
  </si>
  <si>
    <t>Тележка для белья типа ТС-300. Объем корзины 300 л, грузоподъемность 150 кг, габаритные размеры (ДхШхВ) 950х605х845 мм</t>
  </si>
  <si>
    <t>521-108-0502-0011</t>
  </si>
  <si>
    <t>Тележка для белья типа ТН-300. Объем корзины 300 л, грузоподъемность 150 кг, габаритные размеры (ДхШхВ) 1135х600х930 мм</t>
  </si>
  <si>
    <t>521-108-0502-0012</t>
  </si>
  <si>
    <t>Тележка сетчатая с полками для белья типа ТСП-500. Объем корзины 500 л, грузоподъемность 100 кг, габаритные размеры (ДхШхВ) 1053х437х1640 мм</t>
  </si>
  <si>
    <t>521-108-0502-0013</t>
  </si>
  <si>
    <t>Тележка сетчатая с полками для белья типа ТСП-600. Объем корзины 600 л, грузоподъемность 120 кг, габаритные размеры (ДхШхВ) 960х610х1655 мм</t>
  </si>
  <si>
    <t>521-108-0502-0014</t>
  </si>
  <si>
    <t>Тележка сетчатая с полками для белья типа ТСПР-800. Объем корзины 800 л, грузоподъемность 140 кг, габаритные размеры (ДхШхВ) 900х700х1800 мм</t>
  </si>
  <si>
    <t>521-108-0502-0015</t>
  </si>
  <si>
    <t>Тележка для белья, пластиковый корпус цельнозаливной, объем 200 л. Габаритные размеры: 1050х750х800 мм</t>
  </si>
  <si>
    <t>Тележка пластиковая для транспортировки, хранения и замачивания белья.
4 поворотных колеса, 2 из них с тормозом.</t>
  </si>
  <si>
    <t>521-108-0502-0016</t>
  </si>
  <si>
    <t>Тележка для белья, пластиковый корпус цельнозаливной, объем 300 л. Габаритные размеры: 1200х850х800 мм</t>
  </si>
  <si>
    <t>521-108-0502-0017</t>
  </si>
  <si>
    <t>Тележка для белья, пластиковый корпус цельнозаливной, объем 400 л. Габаритные размеры: 1350х850х800 мм</t>
  </si>
  <si>
    <t>521-108-0502-0018</t>
  </si>
  <si>
    <t>Тележка стеллаж из нержавеющей стали, 3 полки, 4 поворотных колеса, 2 из них с тормозом. Габаритные размеры: 800х600х1800 мм</t>
  </si>
  <si>
    <t>Тележка стеллаж из нержавеющей стали, решетчатого типа.</t>
  </si>
  <si>
    <t>521-108-0502-0019</t>
  </si>
  <si>
    <t>Тележка стеллаж из нержавеющей стали, 3 полки, 4 поворотных колеса, 2 из них с тормозом. Габаритные размеры: 1000х600х1800 мм</t>
  </si>
  <si>
    <t>521-108-0502-0020</t>
  </si>
  <si>
    <t>Тележка стеллаж из нержавеющей стали, 3 полки, 4 поворотных колеса, 2 из них с тормозом. Габаритные размеры: 1200х600х1800 мм</t>
  </si>
  <si>
    <t>521-108-0504</t>
  </si>
  <si>
    <t>Машина стиральная профессиональная</t>
  </si>
  <si>
    <t>521-108-0504-0001</t>
  </si>
  <si>
    <t>Стиральная машина с отжимом 535 об/мин. Загрузочная масса 11 кг</t>
  </si>
  <si>
    <t>521-108-0504-0002</t>
  </si>
  <si>
    <t>Стиральная машина с отжимом 470 об/мин. Загрузочная масса 18 кг</t>
  </si>
  <si>
    <t>521-108-0504-0003</t>
  </si>
  <si>
    <t>Стиральная машина с отжимом 470 об/мин. Загрузочная масса 23 кг</t>
  </si>
  <si>
    <t>521-108-0504-0004</t>
  </si>
  <si>
    <t>Стиральная машина с отжимом 450 об/мин. Загрузочная масса 30 кг</t>
  </si>
  <si>
    <t>521-108-0504-0005</t>
  </si>
  <si>
    <t>Стиральная машина с отжимом 450 об/мин. Загрузочная масса 40 кг</t>
  </si>
  <si>
    <t>521-108-0504-0006</t>
  </si>
  <si>
    <t>Стиральная машина с отжимом 408 об/мин. Загрузочная масса 55 кг</t>
  </si>
  <si>
    <t>521-108-0504-0007</t>
  </si>
  <si>
    <t>Стиральная машина с отжимом 360 об/мин. Загрузочная масса 70 кг</t>
  </si>
  <si>
    <t>521-108-0504-0008</t>
  </si>
  <si>
    <t>Стиральная машина с отжимом 360 об/мин. Загрузочная масса 85 кг</t>
  </si>
  <si>
    <t>521-108-0504-0009</t>
  </si>
  <si>
    <t>Стиральная машина с окончательным отжимом 1002 об/мин. Загрузочная масса 8 кг</t>
  </si>
  <si>
    <t>521-108-0504-0010</t>
  </si>
  <si>
    <t>Стиральная машина с окончательным отжимом 1002 об/мин. Загрузочная масса 11 кг</t>
  </si>
  <si>
    <t>521-108-0504-0011</t>
  </si>
  <si>
    <t>Стиральная машина с окончательным отжимом 947 об/мин. Загрузочная масса 14 кг</t>
  </si>
  <si>
    <t>521-108-0504-0012</t>
  </si>
  <si>
    <t>Стиральная машина с окончательным отжимом 947 об/мин. Загрузочная масса 18 кг</t>
  </si>
  <si>
    <t>521-108-0504-0013</t>
  </si>
  <si>
    <t>Стиральная машина с окончательным отжимом  947 об/мин. Загрузочная масса 23 кг</t>
  </si>
  <si>
    <t>521-108-0504-0014</t>
  </si>
  <si>
    <t>Стиральная машина с окончательным отжимом 840 об/мин. Загрузочная масса 26 кг</t>
  </si>
  <si>
    <t>521-108-0504-0016</t>
  </si>
  <si>
    <t>Стиральная машина с окончательным отжимом 830 об/мин. Загрузочная масса 40 кг</t>
  </si>
  <si>
    <t>521-108-0504-0017</t>
  </si>
  <si>
    <t>Стиральная машина с окончательным отжимом 829 об/мин. Загрузочная масса 55 кг</t>
  </si>
  <si>
    <t>521-108-0504-0018</t>
  </si>
  <si>
    <t>Стиральная машина с окончательным отжимом 750 об/мин. Загрузочная масса 70 кг</t>
  </si>
  <si>
    <t>521-108-0504-0019</t>
  </si>
  <si>
    <t>Стиральная машина с окончательным отжимом 750 об/мин. Загрузочная масса 85 кг</t>
  </si>
  <si>
    <t>521-108-0504-0020</t>
  </si>
  <si>
    <t>Стиральная машина с окончательным отжимом 750 об/мин. Загрузочная масса 100 кг</t>
  </si>
  <si>
    <t>521-108-0504-0021</t>
  </si>
  <si>
    <t>Стиральная машина с окончательным отжимом 700 об/мин. Загрузочная масса 125 кг</t>
  </si>
  <si>
    <t>521-108-0504-0022</t>
  </si>
  <si>
    <t>Стиральная машина санитарно барьерного типа с окончательным отжимом 947 об/мин. Загрузочная масса 18 кг</t>
  </si>
  <si>
    <t>521-108-0504-0023</t>
  </si>
  <si>
    <t>Стиральная машина санитарно барьерного типа с окончательным отжимом 947 об/мин. Загрузочная масса 23 кг</t>
  </si>
  <si>
    <t>521-108-0504-0024</t>
  </si>
  <si>
    <t>Стиральная машина санитарно барьерного типа с окончательным отжимом 846 об/мин. Загрузочная масса 30 кг</t>
  </si>
  <si>
    <t>521-108-0504-0025</t>
  </si>
  <si>
    <t>Стиральная машина санитарно барьерного типа с окончательным отжимом 802 об/мин. Загрузочная масса 55 кг</t>
  </si>
  <si>
    <t>521-108-0504-0026</t>
  </si>
  <si>
    <t>Машина стирально-отжимная типа ВО-11. Облицовки нержавеющая сталь. Загрузка 11 кг, объем барабана 100л, габаритные размеры (ДхШхВ) 850х750х1125 мм, напряжение 380В</t>
  </si>
  <si>
    <t>521-108-0504-0027</t>
  </si>
  <si>
    <t>Машина стирально-отжимная типа ВО-15. Облицовки нержавеющая сталь. Загрузка 15 кг, объем барабана 150л, габаритные размеры (ДхШхВ) 935х930х1330 мм, напряжение 380В</t>
  </si>
  <si>
    <t>521-108-0504-0028</t>
  </si>
  <si>
    <t>Машина стирально-отжимная типа ВО-20. Облицовки нержавеющая сталь. Загрузка 20 кг, объем барабана 200л, габаритные размеры (ДхШхВ) 1020х1015х1440 мм, напряжение 380В</t>
  </si>
  <si>
    <t>521-108-0504-0029</t>
  </si>
  <si>
    <t>Машина стирально-отжимная типа ВО-25. Облицовки нержавеющая сталь. Загрузка 25 кг, объем барабана 250л, габаритные размеры (ДхШхВ) 1080х1190х1585 мм, напряжение 380В</t>
  </si>
  <si>
    <t>521-108-0504-0030</t>
  </si>
  <si>
    <t>Машина стирально-отжимная типа ВО-30. Облицовки нержавеющая сталь. Загрузка 30 кг, объем барабана 300л, габаритные размеры (ДхШхВ) 1180х1185х1550 мм, напряжение 380В</t>
  </si>
  <si>
    <t>521-108-0504-0031</t>
  </si>
  <si>
    <t>Машина стирально-отжимная типа ВО-40. Облицовки нержавеющая сталь. Загрузка 40 кг, объем барабана 400л, габаритные размеры (ДхШхВ) 1290х1265х1700 мм, напряжение 380В</t>
  </si>
  <si>
    <t>521-108-0504-0032</t>
  </si>
  <si>
    <t>Машина стирально-отжимная типа ВО-50. Облицовки нержавеющая сталь. Загрузка 50 кг, объем барабана 500 л, габаритные размеры (ДхШхВ) 1450х1345х1905 мм, напряжение 380В</t>
  </si>
  <si>
    <t>521-108-0504-0033</t>
  </si>
  <si>
    <t>Машина стирально-отжимная типа ВО-60. Облицовки нержавеющая сталь. Загрузка 60 кг, объем барабана 600 л, габаритные размеры (ДхШхВ) 1460х1494х1895 мм, напряжение 380В</t>
  </si>
  <si>
    <t>521-108-0504-0034</t>
  </si>
  <si>
    <t>Машина стирально-отжимная типа ВО-80. Облицовки нержавеющая сталь. Загрузка 80 кг, объем барабана 800 л, габаритные размеры (ДхШхВ) 1570х1690х2215 мм, напряжение 380В</t>
  </si>
  <si>
    <t>521-108-0504-0035</t>
  </si>
  <si>
    <t>Машина стирально-отжимная типа ВО-100. Облицовки нержавеющая сталь. Загрузка 100 кг, объем барабана 1000 л, габаритные размеры (ДхШхВ) 1730х1690х2215 мм, напряжение 380В</t>
  </si>
  <si>
    <t>521-108-0504-0036</t>
  </si>
  <si>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</si>
  <si>
    <t>521-108-0504-0037</t>
  </si>
  <si>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</si>
  <si>
    <t>521-108-0504-0038</t>
  </si>
  <si>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</si>
  <si>
    <t>521-108-0504-0039</t>
  </si>
  <si>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</si>
  <si>
    <t>521-108-0504-0040</t>
  </si>
  <si>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</si>
  <si>
    <t>521-108-0504-0041</t>
  </si>
  <si>
    <t>Машина стирально-отжимная типа В-11. Облицовки окрашенная сталь. Загрузка 11 кг, объем барабана 100 л, габаритные размеры (ДхШхВ) 815х760х1230 мм, напряжение 380В</t>
  </si>
  <si>
    <t>521-108-0504-0042</t>
  </si>
  <si>
    <t>Машина стирально-отжимная типа В-15. Облицовки окрашенная сталь. Загрузка 15 кг, объем барабана 150 л, габаритные размеры (ДхШхВ) 850х870х1380 мм, напряжение 380В</t>
  </si>
  <si>
    <t>521-108-0504-0043</t>
  </si>
  <si>
    <t>Машина стирально-отжимная типа В-18. Облицовки окрашенная сталь. Загрузка 18 кг, объем барабана 180 л, габаритные размеры (ДхШхВ) 920х870х1380 мм, напряжение 380В</t>
  </si>
  <si>
    <t>521-108-0504-0044</t>
  </si>
  <si>
    <t>Машина стирально-отжимная типа В-25. Облицовки окрашенная сталь. Загрузка 25 кг, объем барабана 250 л, габаритные размеры (ДхШхВ) 955х970х1445 мм, напряжение 380В</t>
  </si>
  <si>
    <t>521-108-0504-0045</t>
  </si>
  <si>
    <t>Машина стирально-отжимная типа В-35. Облицовки окрашенная сталь. Загрузка 35 кг, объем барабана 350 л, габаритные размеры (ДхШхВ) 1050х1115х1550 мм, напряжение 380В</t>
  </si>
  <si>
    <t>521-108-0504-0046</t>
  </si>
  <si>
    <t>Машина стирально-отжимная типа В-50. Облицовки окрашенная сталь. Загрузка 50 кг, объем барабана 500 л, габаритные размеры (ДхШхВ) 1350х1130х1660 мм, напряжение 380В</t>
  </si>
  <si>
    <t>521-108-0504-0047</t>
  </si>
  <si>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</si>
  <si>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</si>
  <si>
    <t>521-108-0504-0048</t>
  </si>
  <si>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</si>
  <si>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</si>
  <si>
    <t>521-108-0504-0049</t>
  </si>
  <si>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</si>
  <si>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t>521-108-0504-0050</t>
  </si>
  <si>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</si>
  <si>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</si>
  <si>
    <t>521-108-0504-0051</t>
  </si>
  <si>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</si>
  <si>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</si>
  <si>
    <t>521-108-0504-0052</t>
  </si>
  <si>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</si>
  <si>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</si>
  <si>
    <t>521-108-0504-0053</t>
  </si>
  <si>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</si>
  <si>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t>521-108-0504-0054</t>
  </si>
  <si>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</si>
  <si>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t>521-108-0504-0055</t>
  </si>
  <si>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</si>
  <si>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</si>
  <si>
    <t>521-108-0504-0056</t>
  </si>
  <si>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</si>
  <si>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</si>
  <si>
    <t>521-108-0504-0057</t>
  </si>
  <si>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</si>
  <si>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</si>
  <si>
    <t>521-108-0504-0058</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</si>
  <si>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</si>
  <si>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</si>
  <si>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521-108-0504-0059</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</si>
  <si>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</si>
  <si>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</si>
  <si>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521-108-0504-0060</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</si>
  <si>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</si>
  <si>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</si>
  <si>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521-108-0504-0061</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</si>
  <si>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</si>
  <si>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t>521-108-0504-0062</t>
  </si>
  <si>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</si>
  <si>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</si>
  <si>
    <t>521-108-0504-0063</t>
  </si>
  <si>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</si>
  <si>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t>521-108-0504-0064</t>
  </si>
  <si>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</si>
  <si>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t>521-108-0505</t>
  </si>
  <si>
    <t>Сушильная машина</t>
  </si>
  <si>
    <t>521-108-0505-0001</t>
  </si>
  <si>
    <t>Сушильный барабан загрузочной массой 8-10 кг. Производительность 20-25 кг/час.
Управление: микропроцессор. Исполнение: электронагрев</t>
  </si>
  <si>
    <t>521-108-0505-0002</t>
  </si>
  <si>
    <t>Сушильный барабан загрузочной массой 11 - 14 кг. Производительность 28-35 кг/час.
Управление: микропроцессор. Исполнение: электронагрев</t>
  </si>
  <si>
    <t>521-108-0505-0003</t>
  </si>
  <si>
    <t>Сушильный барабан загрузочной массой 15 - 18 кг. Производительность 36-45 кг/час.
Управление:микропроцессор. Исполнение: электронагрев</t>
  </si>
  <si>
    <t>521-108-0505-0004</t>
  </si>
  <si>
    <t>Сушильный барабан загрузочной массой 19 - 23 кг. Производительность 46-58 кг/час.
Управление: микропроцессор. Исполнение: электронагрев</t>
  </si>
  <si>
    <t>521-108-0505-0005</t>
  </si>
  <si>
    <t>Сушильный барабан загрузочной массой 34 кг. Производительность 68кг/час.
Управление: микропроцессор. Исполнение: электронагрев</t>
  </si>
  <si>
    <t>521-108-0505-0006</t>
  </si>
  <si>
    <t>Машина сушильная типа ВС-11. Облицовки окрашенная сталь. Загрузка 11 кг, объем барабана 250 л, габаритные размеры (ДхШхВ) 860х805х1390 мм, напряжение 380В</t>
  </si>
  <si>
    <t>521-108-0505-0007</t>
  </si>
  <si>
    <t>Машина сушильная типа ВС-15. Облицовки окрашенная сталь. Загрузка 15 кг, объем барабана 330 л, габаритные размеры (ДхШхВ) 1070х805х1390 мм, напряжение 380В</t>
  </si>
  <si>
    <t>521-108-0505-0008</t>
  </si>
  <si>
    <t>Машина сушильная типа ВС-20. Облицовки окрашенная сталь. Загрузка 20 кг, объем барабана 500 л, габаритные размеры (ДхШхВ) 1100х950х1735 мм, напряжение 380В</t>
  </si>
  <si>
    <t>521-108-0505-0009</t>
  </si>
  <si>
    <t>Машина сушильная типа ВС-25. Облицовки окрашенная сталь. Загрузка 25 кг, объем барабана 550 л, габаритные размеры (ДхШхВ) 1200х950х1735 мм, напряжение 380В</t>
  </si>
  <si>
    <t>521-108-0505-0010</t>
  </si>
  <si>
    <t>Машина сушильная типа ВС-30. Облицовки окрашенная сталь. Загрузка 30 кг, объем барабана 650 л, габаритные размеры (ДхШхВ) 1360х950х1735 мм, напряжение 380В</t>
  </si>
  <si>
    <t>521-108-0505-0011</t>
  </si>
  <si>
    <t>Машина сушильная типа ВС-40. Облицовки окрашенная сталь. Загрузка 40 кг, объем барабана 880 л, габаритные размеры (ДхШхВ) 1245х1220х2050 мм, напряжение 380В</t>
  </si>
  <si>
    <t>521-108-0505-0012</t>
  </si>
  <si>
    <t>Машина сушильная типа ВС-50. Облицовки окрашенная сталь. Загрузка 50 кг, объем барабана 1100 л, габаритные размеры (ДхШхВ) 1445х1220х2050 мм, напряжение 380В</t>
  </si>
  <si>
    <t>521-108-0505-0013</t>
  </si>
  <si>
    <t>Машина сушильная типа ВС-75. Облицовки окрашенная сталь.Загрузка 75 кг, объем барабана 1500 л, габаритные размеры (ДхШхВ) 1590х1360х2370 мм, напряжение 380В</t>
  </si>
  <si>
    <t>521-108-0505-0014</t>
  </si>
  <si>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</si>
  <si>
    <t>521-108-0505-0015</t>
  </si>
  <si>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</si>
  <si>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</si>
  <si>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521-108-0505-0016</t>
  </si>
  <si>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</si>
  <si>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</si>
  <si>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521-108-0505-0017</t>
  </si>
  <si>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</si>
  <si>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t>521-108-0505-0018</t>
  </si>
  <si>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</si>
  <si>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t>521-108-0505-0019</t>
  </si>
  <si>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</si>
  <si>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</si>
  <si>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521-108-0505-0020</t>
  </si>
  <si>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</si>
  <si>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</si>
  <si>
    <t>521-108-0505-0021</t>
  </si>
  <si>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</si>
  <si>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t>521-108-0505-0022</t>
  </si>
  <si>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</si>
  <si>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</si>
  <si>
    <t>521-108-0505-0023</t>
  </si>
  <si>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</si>
  <si>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</si>
  <si>
    <t>521-108-0507</t>
  </si>
  <si>
    <t>Стеллаж для белья</t>
  </si>
  <si>
    <t>521-108-0507-0001</t>
  </si>
  <si>
    <t>Стеллаж металлический 1800*1500*500 мм</t>
  </si>
  <si>
    <t>521-108-0507-0002</t>
  </si>
  <si>
    <t>Стеллаж металлический 1800*1200*500 мм</t>
  </si>
  <si>
    <t>521-108-0507-0003</t>
  </si>
  <si>
    <t>Стеллаж металлический 1800*1000*500 мм</t>
  </si>
  <si>
    <t>521-108-0507-0004</t>
  </si>
  <si>
    <t>Стеллаж металлический 1800*1000*600 мм</t>
  </si>
  <si>
    <t>521-108-0507-0005</t>
  </si>
  <si>
    <t>Стеллаж металлический 1800*1500*600 мм</t>
  </si>
  <si>
    <t>521-108-0507-0006</t>
  </si>
  <si>
    <t>Стойка подвижная типа СП-15. Габаритные размеры (ДхШхВ) 553х1573х1725,5 мм</t>
  </si>
  <si>
    <t>521-108-0508</t>
  </si>
  <si>
    <t>Стол гладильный профессиональный</t>
  </si>
  <si>
    <t>521-108-0508-0001</t>
  </si>
  <si>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</si>
  <si>
    <t>521-108-0508-0002</t>
  </si>
  <si>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</si>
  <si>
    <t>521-108-0508-0003</t>
  </si>
  <si>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</si>
  <si>
    <t>521-108-0508-0004</t>
  </si>
  <si>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</si>
  <si>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t>Размер рабочей поверхности 1250х400 мм. Состоит из: полка для белья, розетка, подставка для парогенератора, педаль управления (для подключения вытяжки).</t>
  </si>
  <si>
    <t>521-108-0508-0005</t>
  </si>
  <si>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</si>
  <si>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t>Размер рабочей поверхности 1230х380 мм. Состоит из: полка для белья, розетка, подставка для парогенератора, педаль управления (для подключения вытяжки).</t>
  </si>
  <si>
    <t>521-108-0508-0006</t>
  </si>
  <si>
    <t>Стол гладильный с бойлером, напряжение 380 В, объём 5 литров, рабочее давление пара 3 бар. Габаритные размеры: 1900×670×930 мм. Мощность 5,1 кВт</t>
  </si>
  <si>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</si>
  <si>
    <t>521-108-0508-0007</t>
  </si>
  <si>
    <t>Стол гладильный с бойлером, напряжение 380 В, объём 5 литров, рабочее давление пара 2,8 бар. Габаритные размеры: 1550×600×930 мм. Мощность 5,6 кВт</t>
  </si>
  <si>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</si>
  <si>
    <t>521-108-0508-0008</t>
  </si>
  <si>
    <t>Стол гладильный с парогенератором, напряжение 380 В, объём 5 литров, давление пара 4,8 бар. Габаритные размеры: 1823×653×970 мм. Мощность 7,65 кВт</t>
  </si>
  <si>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</si>
  <si>
    <t>521-108-0508-0009</t>
  </si>
  <si>
    <t>Стол гладильный с парогенератором, напряжение 380 В, объём 5 литров, рабочее давление пара 4,5 бар. Габаритные размеры: 1800×600×970 мм. Мощность 9,1 кВт</t>
  </si>
  <si>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</si>
  <si>
    <t>521-108-0508-0010</t>
  </si>
  <si>
    <t>Стол гладильный со встроенным парогенератором, напряжение 380 В, объём 5 литров, давление пара 4,5 бар. Габаритные размеры: 3300×700×980 мм. Мощность 9,3 кВт</t>
  </si>
  <si>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</si>
  <si>
    <t>521-108-0508-0011</t>
  </si>
  <si>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</si>
  <si>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</si>
  <si>
    <t>521-108-0508-0012</t>
  </si>
  <si>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</si>
  <si>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</si>
  <si>
    <t>521-108-0509</t>
  </si>
  <si>
    <t>Доска гладильная</t>
  </si>
  <si>
    <t>521-108-0509-0001</t>
  </si>
  <si>
    <t>Гладильная доска Perilla Элона 214702</t>
  </si>
  <si>
    <t>521-108-0509-0002</t>
  </si>
  <si>
    <t>Гладильная доска Haulshalt XL</t>
  </si>
  <si>
    <t>521-108-0509-0003</t>
  </si>
  <si>
    <t>Гладильная доска Perilla Сити 223712</t>
  </si>
  <si>
    <t>521-108-0510</t>
  </si>
  <si>
    <t>Центрифуга</t>
  </si>
  <si>
    <t>521-108-0510-0001</t>
  </si>
  <si>
    <t>Центрифуга типа ЛЦ-10. Загрузка 10 кг, объем барабана 50 л, номинальная мощность 1,1 кВт, габаритные размеры (ДхШхВ) 760х620х950 мм, напряжение 380В</t>
  </si>
  <si>
    <t>521-108-0510-0002</t>
  </si>
  <si>
    <t>Центрифуга типа ЛЦ-25. Загрузка 25 кг, объем барабана 125 л, габаритные размеры (ДхШхВ) 1050х840х1030 мм, напряжение 220В</t>
  </si>
  <si>
    <t>521-108-0510-0003</t>
  </si>
  <si>
    <t>Центрифуга типа КП-223. Загрузка 50 кг, объем барабана 320 л, номинальная мощность 4 кВт, габаритные размеры (ДхШхВ) 1605х1150х1170 мм, напряжение 380В</t>
  </si>
  <si>
    <t>521-108-0511</t>
  </si>
  <si>
    <t>Каток гладильный</t>
  </si>
  <si>
    <t>521-108-0511-0001</t>
  </si>
  <si>
    <t>Каток гладильный типа ВГ-1018. Электрический обогрев. Мощность суммарная 2,772 кВт, габаритные размеры (ДхШхВ) 450х1180х970 мм, напряжение 220В</t>
  </si>
  <si>
    <t>521-108-0511-0002</t>
  </si>
  <si>
    <t>Каток гладильный типа ВГ-1218. Электрический обогрев. Мощность суммарная 3,272 кВт, габаритные размеры (ДхШхВ) 450х1380х970 мм, напряжение 220В</t>
  </si>
  <si>
    <t>521-108-0511-0003</t>
  </si>
  <si>
    <t>Каток гладильный типа ВГ-1430. Электрический обогрев. Мощность суммарная 10,63 кВт, габаритные размеры (ДхШхВ) 740х1925х1085 мм, напряжение 380В</t>
  </si>
  <si>
    <t>521-108-0511-0004</t>
  </si>
  <si>
    <t>Каток гладильный типа ВГ-1630. Электрический обогрев. Мощность суммарная 10,93 кВт, габаритные размеры (ДхШхВ) 740х2125х1085 мм, напряжение 380В</t>
  </si>
  <si>
    <t>521-108-0511-0005</t>
  </si>
  <si>
    <t>Каток гладильный типа ВГ-2030. Электрический обогрев. Мощность суммарная 15,73 кВт,  габаритные размеры (ДхШхВ) 740х2525х1085 мм, напряжение 380В</t>
  </si>
  <si>
    <t>521-108-0511-0006</t>
  </si>
  <si>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</si>
  <si>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</si>
  <si>
    <t>521-108-0511-0007</t>
  </si>
  <si>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</si>
  <si>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t>521-108-0511-0008</t>
  </si>
  <si>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</si>
  <si>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t>521-108-0511-0009</t>
  </si>
  <si>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</si>
  <si>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</si>
  <si>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521-108-0511-0010</t>
  </si>
  <si>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</si>
  <si>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t>521-108-0512</t>
  </si>
  <si>
    <t>Каландр гладильный</t>
  </si>
  <si>
    <t>521-108-0512-0001</t>
  </si>
  <si>
    <t>Каландр гладильный типа ВК-1424. Электрический обогрев. Мощность суммарная 12,3 кВт, габаритные размеры (ДхШхВ) 600х1880х1085 мм, напряжение 380В</t>
  </si>
  <si>
    <t>521-108-0512-0002</t>
  </si>
  <si>
    <t>Каландр гладильный типа ВК-1640. Электрический обогрев. Мощность суммарная 23,24 кВт, габаритные размеры (ДхШхВ) 1025х2130х1225 мм, напряжение 380В</t>
  </si>
  <si>
    <t>521-108-0512-0003</t>
  </si>
  <si>
    <t>Каландр гладильный типа ВК-1840. Электрический обогрев. Мощность суммарная 25,94 кВт,  габаритные размеры (ДхШхВ) 1025х2330х1225 мм, напряжение 380В</t>
  </si>
  <si>
    <t>521-108-0512-0004</t>
  </si>
  <si>
    <t>Каландр гладильный типа ВК-2050. Электрический обогрев. Мощность суммарная 34,94 кВт, габаритные размеры (ДхШхВ) 1060х2565х1215 мм, напряжение 380В</t>
  </si>
  <si>
    <t>521-108-0512-0005</t>
  </si>
  <si>
    <t>Каландр гладильный типа ВК-2250. Электрический обогрев. Мощность суммарная 38,54 кВт, габаритные размеры (ДхШхВ) 1060х2730х1215 мм, напряжение 380В</t>
  </si>
  <si>
    <t>521-108-0512-0006</t>
  </si>
  <si>
    <t>Каландр гладильный типа ВК-2450. Электрический обогрев. Мощность суммарная 42,14 кВт, габаритные размеры (ДхШхВ) 1060х2970х1215 мм, напряжение 380В</t>
  </si>
  <si>
    <t>521-108-0512-0007</t>
  </si>
  <si>
    <t>Каландр гладильный типа ВК-2880. Электрический обогрев. Мощность суммарная 75,89 кВт, габаритные размеры (ДхШхВ) 1550х3870х1635 мм, напряжение 380В</t>
  </si>
  <si>
    <t>521-108-0512-0008</t>
  </si>
  <si>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</si>
  <si>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</si>
  <si>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521-108-0512-0009</t>
  </si>
  <si>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</si>
  <si>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</si>
  <si>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521-108-0512-0010</t>
  </si>
  <si>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</si>
  <si>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</si>
  <si>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521-108-0512-0011</t>
  </si>
  <si>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</si>
  <si>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</si>
  <si>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521-108-0512-0012</t>
  </si>
  <si>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</si>
  <si>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</si>
  <si>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521-108-0512-0013</t>
  </si>
  <si>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</si>
  <si>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t>521-108-0512-0014</t>
  </si>
  <si>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</si>
  <si>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t>521-108-0512-0015</t>
  </si>
  <si>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</si>
  <si>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t>521-108-0512-0016</t>
  </si>
  <si>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</si>
  <si>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t>521-108-0512-0017</t>
  </si>
  <si>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</si>
  <si>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t>521-108-0513</t>
  </si>
  <si>
    <t>Пресс гладильный</t>
  </si>
  <si>
    <t>521-108-0513-0001</t>
  </si>
  <si>
    <t>Пресс гладильный типа ВР-150. Габаритные размеры гладильного стола (ДхШ) 1490х540 мм, мощность суммарная 11,17 кВт, напряжение 380В</t>
  </si>
  <si>
    <t>521-108-0513-0002</t>
  </si>
  <si>
    <t>Пресс гладильный с парогенератором, напряжение 380 В, объём 9 литров.
Габаритные размеры: 1380x1140x1440 мм. Мощность 12,75 кВт</t>
  </si>
  <si>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</si>
  <si>
    <t>521-108-0513-0003</t>
  </si>
  <si>
    <t>Пресс гладильный пресс с паровым нагревом, напряжение 380 В, объём 7 литров, давление 5-6 бар. Габаритные размеры: 1340 x 1060 мм. Мощность 12.75кВт</t>
  </si>
  <si>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</si>
  <si>
    <t>521-108-0514</t>
  </si>
  <si>
    <t>Стеллаж металлический</t>
  </si>
  <si>
    <t>521-108-0514-0001</t>
  </si>
  <si>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</si>
  <si>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</si>
  <si>
    <t>521-108-0514-0002</t>
  </si>
  <si>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</si>
  <si>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</si>
  <si>
    <t>521-108-0514-0003</t>
  </si>
  <si>
    <t>Стеллаж металлический типа GUARD, размеры 1500х325х2200 мм, 7 полок, стойки, полки из листовой стали 1 мм, нагрузка на полку не более 200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</si>
  <si>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</si>
  <si>
    <t>521-108-0514-0004</t>
  </si>
  <si>
    <t>Стеллаж металлический типа GUARD для посуды, размеры 1200х400х1550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</si>
  <si>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</si>
  <si>
    <t>521-108-0514-0005</t>
  </si>
  <si>
    <t>Стеллаж металлический типа GUARD для посуды, размеры 1500х400х1800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</si>
  <si>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</si>
  <si>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521-108-0514-0006</t>
  </si>
  <si>
    <t>Стеллаж металлический типа GUARD, размеры 1200х400х1850 мм, 3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</si>
  <si>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</si>
  <si>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521-108-0514-0007</t>
  </si>
  <si>
    <t>Стеллаж металлический типа GUARD, размеры 1200х500х1850 мм, 3 полки, нержавеющая сталь, 0,8 мм, нагрузка на полку не более 100 кг</t>
  </si>
  <si>
    <t>521-108-0514-0008</t>
  </si>
  <si>
    <t>Стеллаж металлический типа GUARD, размеры 1500х500х1500 мм, 3 полки, нержавеющая сталь, 0,8 мм, нагрузка на полку не более 100 кг</t>
  </si>
  <si>
    <t>521-108-0514-0009</t>
  </si>
  <si>
    <t>Стеллаж металлический типа GUARD, размеры 1000х400х1700 мм, 4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</si>
  <si>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</si>
  <si>
    <t>521-108-0514-0010</t>
  </si>
  <si>
    <t>Стеллаж металлический типа GUARD, размеры 1200х500х1200 мм, 4 полки, нержавеющая сталь, 0,8 мм, нагрузка на полку не более 100 кг</t>
  </si>
  <si>
    <t>521-108-0514-0011</t>
  </si>
  <si>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</si>
  <si>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</si>
  <si>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521-108-0514-0012</t>
  </si>
  <si>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</si>
  <si>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</si>
  <si>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521-108-0514-0013</t>
  </si>
  <si>
    <t>Стеллаж металлический типа GUARD, размеры 800х300х1800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</si>
  <si>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</si>
  <si>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521-108-0514-0014</t>
  </si>
  <si>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</si>
  <si>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</si>
  <si>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521-108-0514-0015</t>
  </si>
  <si>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</si>
  <si>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</si>
  <si>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521-108-0514-0016</t>
  </si>
  <si>
    <t>Стеллаж металлический типа GUARD, размеры 1200х500х2000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</si>
  <si>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</si>
  <si>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521-108-0514-0017</t>
  </si>
  <si>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</si>
  <si>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</si>
  <si>
    <t>521-108-0514-0018</t>
  </si>
  <si>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</si>
  <si>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</si>
  <si>
    <t>521-108-0514-0019</t>
  </si>
  <si>
    <t>Стеллаж металлический типа GUARD, размеры 1000х300х2450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</si>
  <si>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</si>
  <si>
    <t>521-108-0514-0020</t>
  </si>
  <si>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</si>
  <si>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</si>
  <si>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521-108-0514-0021</t>
  </si>
  <si>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</si>
  <si>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t>521-108-0514-0022</t>
  </si>
  <si>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</si>
  <si>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</si>
  <si>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521-108-0514-0023</t>
  </si>
  <si>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</si>
  <si>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t>521-108-0514-0024</t>
  </si>
  <si>
    <t>Стеллаж металлический типа GUARD, размеры 1200х300х1800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</si>
  <si>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</si>
  <si>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521-108-0514-0025</t>
  </si>
  <si>
    <t>Стеллаж металлический типа GUARD, размеры 1200х400х2200 мм, 6 полок, стойки, полки из листовой стали 1 мм, нагрузка на полку не более 200 кг</t>
  </si>
  <si>
    <t>521-108-0515</t>
  </si>
  <si>
    <t>Упаковщик</t>
  </si>
  <si>
    <t>521-108-0515-0001</t>
  </si>
  <si>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</si>
  <si>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</si>
  <si>
    <t>521-108-0515-0002</t>
  </si>
  <si>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</si>
  <si>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t>521-108-0515-0003</t>
  </si>
  <si>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</si>
  <si>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</si>
  <si>
    <t>521-108-0516</t>
  </si>
  <si>
    <t>Стол пятновыводной</t>
  </si>
  <si>
    <t>521-108-0516-0001</t>
  </si>
  <si>
    <t>Стол пятновыводной, напряжение 220 В, рабочая поверхность из нержавеющей стали размером 750×270 мм. Габаритные размеры: 820х290х720 мм. Мощность 0,1 кВт</t>
  </si>
  <si>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</si>
  <si>
    <t>521-108-0516-0002</t>
  </si>
  <si>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</si>
  <si>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</si>
  <si>
    <t>Подраздел 521-2. Оборудование и мебель организации начального образования Группа 521-201. Оборудование, пособия и принадлежности для кабинетов начальной школы с казахским языком обучения</t>
  </si>
  <si>
    <t>521-201-0500</t>
  </si>
  <si>
    <t>Предмет "Музыка"</t>
  </si>
  <si>
    <t>521-201-0501</t>
  </si>
  <si>
    <t>Пианино</t>
  </si>
  <si>
    <t>Пианино акустическое в комплекте со стулом.</t>
  </si>
  <si>
    <t>521-201-0502</t>
  </si>
  <si>
    <t>Музыкальные инструменты</t>
  </si>
  <si>
    <t>521-201-0502-0001</t>
  </si>
  <si>
    <t>Скрипичный комплект Gewa Violin Outfit HW 1/2</t>
  </si>
  <si>
    <t>521-201-0502-0002</t>
  </si>
  <si>
    <t>Акустическая гитара Enya ED-X1</t>
  </si>
  <si>
    <t>521-201-0502-0003</t>
  </si>
  <si>
    <t>Классическая гитара Walden N350</t>
  </si>
  <si>
    <t>521-201-0502-0004</t>
  </si>
  <si>
    <t>Укулеле сопрано Enya EUS-20</t>
  </si>
  <si>
    <t>521-201-0502-0005</t>
  </si>
  <si>
    <t>Набор электрогитара Squier Affinity Series Stratocaster HSS Lake Placid Blue</t>
  </si>
  <si>
    <t>521-201-0502-0006</t>
  </si>
  <si>
    <t>Бас-гитара Squier Affinity Series™ Precision Bass® PJ Pack Laurel Fingerboard Brown</t>
  </si>
  <si>
    <t>521-201-0502-0007</t>
  </si>
  <si>
    <t>Ударная установка Gretsch Drum set Energy</t>
  </si>
  <si>
    <t>521-201-0502-0008</t>
  </si>
  <si>
    <t>Труба Roy Benson TR-202G Bb</t>
  </si>
  <si>
    <t>521-201-0502-0009</t>
  </si>
  <si>
    <t>Тромбон тенор Roy Benson TT-227</t>
  </si>
  <si>
    <t>521-201-0502-0010</t>
  </si>
  <si>
    <t>Флейта Roy Benson FL-402E</t>
  </si>
  <si>
    <t>521-201-0502-0011</t>
  </si>
  <si>
    <t>Туба Roy Benson TB-301 Bb</t>
  </si>
  <si>
    <t>521-201-0502-0012</t>
  </si>
  <si>
    <t>Баритон Roy Benson BH-301 Bb</t>
  </si>
  <si>
    <t>521-201-0502-0013</t>
  </si>
  <si>
    <t>Тенор Roy Benson TH-202</t>
  </si>
  <si>
    <t>521-201-0502-0014</t>
  </si>
  <si>
    <t>Тенор Roy Benson AH-301 Eb</t>
  </si>
  <si>
    <t>521-201-0502-0015</t>
  </si>
  <si>
    <t>Саксофон альт AS-201</t>
  </si>
  <si>
    <t>521-201-0502-0016</t>
  </si>
  <si>
    <t>Тенор саксофон Roy Benson TS-202</t>
  </si>
  <si>
    <t>521-201-0502-0017</t>
  </si>
  <si>
    <t>Флейта пикколо Roy Benson PC-502</t>
  </si>
  <si>
    <t>521-201-0502-0018</t>
  </si>
  <si>
    <t>Корнет помповый Roy Benson CR-202 Bb</t>
  </si>
  <si>
    <t>521-201-0502-0019</t>
  </si>
  <si>
    <t>Кларнет Roy Benson CB-217</t>
  </si>
  <si>
    <t>521-201-0502-0020</t>
  </si>
  <si>
    <t>Синтезатор Kurzweil KP300X LB</t>
  </si>
  <si>
    <t>521-201-0502-0021</t>
  </si>
  <si>
    <t>Барабан маршевый</t>
  </si>
  <si>
    <t>Барабан детский маршевый выполнен из натурального дерева, материал обода металлический. Наплечный ремень и 2 палочки в комплекте.</t>
  </si>
  <si>
    <t>521-201-0502-0022</t>
  </si>
  <si>
    <t>Кахон с чехлом Gewa Cajon Club Salsa</t>
  </si>
  <si>
    <t>521-201-0502-0023</t>
  </si>
  <si>
    <t>Этнический барабан Toca TO809.250</t>
  </si>
  <si>
    <t>521-201-0502-0024</t>
  </si>
  <si>
    <t>Треугольник Gewa 827.520</t>
  </si>
  <si>
    <t>521-201-0502-0025</t>
  </si>
  <si>
    <t>Шейкер LP Twist Shaker Soft LP441T-S</t>
  </si>
  <si>
    <t>521-201-0502-0026</t>
  </si>
  <si>
    <t>Пластиковый ручной тамбурин LP LP861.402</t>
  </si>
  <si>
    <t>521-201-0502-0027</t>
  </si>
  <si>
    <t>Маракасы на длинной ручке</t>
  </si>
  <si>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</si>
  <si>
    <t>пара</t>
  </si>
  <si>
    <t>521-201-0700</t>
  </si>
  <si>
    <t>Предмет "Трудовое обучение"</t>
  </si>
  <si>
    <t>521-201-0709</t>
  </si>
  <si>
    <t>Доска маркерно-магнитная детская</t>
  </si>
  <si>
    <t>521-201-0709-0001</t>
  </si>
  <si>
    <t>Доска магнитно-маркерная Comix BO1218, 120х180 см, White</t>
  </si>
  <si>
    <t>521-201-0709-0002</t>
  </si>
  <si>
    <t>Доска магнитно-маркерная Comix BO3045, 30х45см, White</t>
  </si>
  <si>
    <t>521-201-0709-0003</t>
  </si>
  <si>
    <t>Доска магнитно-маркерная Comix BO9018, 176х86 см, White</t>
  </si>
  <si>
    <t>Группа 521-202. Оборудование, пособия и принадлежности для кабинетов начальной школы c русским языком обучения</t>
  </si>
  <si>
    <t>521-202-0400</t>
  </si>
  <si>
    <t>Предмет "Естествознание"</t>
  </si>
  <si>
    <t>521-202-0401</t>
  </si>
  <si>
    <t>Лаборатория цифровая по естественным наукам для начальной школы</t>
  </si>
  <si>
    <t>521-202-0401-0001</t>
  </si>
  <si>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</si>
  <si>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t>Комплектация:  База цифровой лаборатории с дисплеем-1шт. Внешний источник питания 100-240V AC/ 5V DC 1A- 1шт. Сумка ддля переноски- 1 шт</t>
  </si>
  <si>
    <t>521-202-0401-0002</t>
  </si>
  <si>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</si>
  <si>
    <t>521-202-0500</t>
  </si>
  <si>
    <t>Оборудование и принадлежности по биологии</t>
  </si>
  <si>
    <t>521-202-0501</t>
  </si>
  <si>
    <t>Мини-лаборатория для начальной школы "Вода и воздух"</t>
  </si>
  <si>
    <t>521-202-0501-0001</t>
  </si>
  <si>
    <t>Мини-лаборатория для начальной школы "Вода и воздух" типа Experia PHE-019</t>
  </si>
  <si>
    <t>521-202-0501-0002</t>
  </si>
  <si>
    <t>Мини-лаборатория для начальной школы "Вода и воздух" типа Cornelsen Experimenta 16102</t>
  </si>
  <si>
    <t>набор</t>
  </si>
  <si>
    <t>521-202-0501-0004</t>
  </si>
  <si>
    <t>Набор "Пневматика" типа Fischertechnik</t>
  </si>
  <si>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</si>
  <si>
    <t>521-202-0502</t>
  </si>
  <si>
    <t>Мини-лаборатория для начальной школы "Биология"</t>
  </si>
  <si>
    <t>521-202-0502-0001</t>
  </si>
  <si>
    <t>Мини-лаборатория для начальной школы "Биология" типа Experia PHE-018</t>
  </si>
  <si>
    <t>521-202-0502-0002</t>
  </si>
  <si>
    <t>Мини-лаборатория для начальной школы "Биология" типа Cornelsen Experimenta 16180</t>
  </si>
  <si>
    <t>521-202-0503</t>
  </si>
  <si>
    <t>Набор демонстрационный для интегрированных научных экспериментов по всем темам начальной школы</t>
  </si>
  <si>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</si>
  <si>
    <t>521-202-0504</t>
  </si>
  <si>
    <t>Набор для юных биологов</t>
  </si>
  <si>
    <t>521-202-0504-0001</t>
  </si>
  <si>
    <t>Набор для юных биологов типа Experia
PHE-017</t>
  </si>
  <si>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</si>
  <si>
    <t>521-202-0600</t>
  </si>
  <si>
    <t>Оборудование и принадлежности по физике</t>
  </si>
  <si>
    <t>521-202-0601</t>
  </si>
  <si>
    <t>Набор для юных физиков</t>
  </si>
  <si>
    <t>521-202-0601-0001</t>
  </si>
  <si>
    <t>Набор для юных физиков типа  Experia PHE-016</t>
  </si>
  <si>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</si>
  <si>
    <t>521-202-0602</t>
  </si>
  <si>
    <t>Мини-лаборатория для начальной школы "Звук"</t>
  </si>
  <si>
    <t>521-202-0602-0001</t>
  </si>
  <si>
    <t>Мини-лаборатория для начальной школы "Звук" типа Experia PHE-020</t>
  </si>
  <si>
    <t>521-202-0602-0002</t>
  </si>
  <si>
    <t>Мини-лаборатория для начальной школы "Звук" типа Cornelsen 16104/44207 Experimenta</t>
  </si>
  <si>
    <t>521-202-0602-0003</t>
  </si>
  <si>
    <t>Набор для изучения звуковых явлений в начальной школе (на 13 учебных групп ) типа Experia PHE-027</t>
  </si>
  <si>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</si>
  <si>
    <t>521-202-0602-0004</t>
  </si>
  <si>
    <t>Набор для изучения звуковых явлений в начальной школе (на 13 учебных групп) типа Cornelsen Experimenta 31720</t>
  </si>
  <si>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</si>
  <si>
    <t>521-202-0603</t>
  </si>
  <si>
    <t>Мини-лаборатория для начальной школы "Магнетизм"</t>
  </si>
  <si>
    <t>521-202-0603-0001</t>
  </si>
  <si>
    <t>Мини-лаборатория для начальной школы "Магнетизм"  Experia  типа PHE-021</t>
  </si>
  <si>
    <t>521-202-0603-0002</t>
  </si>
  <si>
    <t>Мини-лаборатория для начальной школы "Магнетизм" типа Cornelsen Experimenta 16115</t>
  </si>
  <si>
    <t>521-202-0604</t>
  </si>
  <si>
    <t>Мини-лаборатория для начальной школы "Механика"</t>
  </si>
  <si>
    <t>521-202-0604-0001</t>
  </si>
  <si>
    <t>Мини-лаборатория для начальной школы "Механика" типа Experia PHE-022</t>
  </si>
  <si>
    <t>521-202-0604-0002</t>
  </si>
  <si>
    <t>Мини-лаборатория для начальной школы "Механика" типа Cornelsen Experimenta 16100K</t>
  </si>
  <si>
    <t>521-202-0604-0003</t>
  </si>
  <si>
    <t>Набор демонстрационный для изучения механики в начальной школе типа Experia PHE-024</t>
  </si>
  <si>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</si>
  <si>
    <t>521-202-0605</t>
  </si>
  <si>
    <t>Мини-лаборатория для начальной школы "Оптика"</t>
  </si>
  <si>
    <t>521-202-0605-0001</t>
  </si>
  <si>
    <t>Мини-лаборатория для начальной школы "Оптика" типа Experia PHE-023</t>
  </si>
  <si>
    <t>521-202-0605-0002</t>
  </si>
  <si>
    <t>Мини-лаборатория для начальной школы "Оптика" типа Cornelsen Experimenta 16110</t>
  </si>
  <si>
    <t>521-202-0605-0003</t>
  </si>
  <si>
    <t>Набор демонстрационный для изучения оптики в начальной школе типа Experia PHE-025</t>
  </si>
  <si>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</si>
  <si>
    <t>521-202-0606</t>
  </si>
  <si>
    <t>Мини-лаборатория для начальной школы "Электричество"</t>
  </si>
  <si>
    <t>521-202-0606-0001</t>
  </si>
  <si>
    <t>Набор для изучения электричества в начальной школе (на 13 учебных групп) типа Experia PHE-028</t>
  </si>
  <si>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</si>
  <si>
    <t>521-202-0606-0002</t>
  </si>
  <si>
    <t>Мини-лаборатория для начальной школы "Электричество" Cornelsen Experimenta 16120</t>
  </si>
  <si>
    <t>521-202-0607</t>
  </si>
  <si>
    <t>Набор для изучения весов и равновесия в начальной школе (на 13 учебных, в кейсе)</t>
  </si>
  <si>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</si>
  <si>
    <t>521-202-0608</t>
  </si>
  <si>
    <t>Набор для исследования возобновляемой энергии в кейсе</t>
  </si>
  <si>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</si>
  <si>
    <t>521-202-0609</t>
  </si>
  <si>
    <t>Мини-лаборатория для начальной школы "Тепло"</t>
  </si>
  <si>
    <t>521-202-0609-0001</t>
  </si>
  <si>
    <t>Мини-лаборатория для начальной школы "Тепло" типа Cornelsen Experimenta 16106</t>
  </si>
  <si>
    <t>Группа 521-204. Оборудование и мебель для кабинета предшкольной подготовки</t>
  </si>
  <si>
    <t>521-204-1000</t>
  </si>
  <si>
    <t>Мебель и технические средства обучения для учебных кабинетов</t>
  </si>
  <si>
    <t>521-204-1002</t>
  </si>
  <si>
    <t>Шкаф полуоткрытый для плакатов</t>
  </si>
  <si>
    <t>521-204-1002-0001</t>
  </si>
  <si>
    <t>Шкаф книжный полуоткрытый с открытыми верхними полками и закрытой нижней частью. Размеры 800х420х1930мм. ЛДСП 16мм.</t>
  </si>
  <si>
    <t>Группа 521-206. Оборудование и мебель для актового зала</t>
  </si>
  <si>
    <t>521-206-0200</t>
  </si>
  <si>
    <t>Телескопическая трибуна с электрическим
приводом</t>
  </si>
  <si>
    <t>521-206-0201</t>
  </si>
  <si>
    <t>Телескопическая трибуна с электрическим
приводом на 52 места</t>
  </si>
  <si>
    <t>521-206-0201-0001</t>
  </si>
  <si>
    <t>Телескопическая трибуна с электрическим
приводом, в комплекте 52 места</t>
  </si>
  <si>
    <t>521-206-0201-0002</t>
  </si>
  <si>
    <t>Телескопическая трибуна с электрическим приводом на 52 мест, размер сидения 400х300х450мм</t>
  </si>
  <si>
    <t>521-206-0202</t>
  </si>
  <si>
    <t>Телескопическая трибуна с электрическим
приводом на 253  места</t>
  </si>
  <si>
    <t>521-206-0202-0001</t>
  </si>
  <si>
    <t>Телескопическая трибуна с электрическим
приводом, в комплекте 253  места</t>
  </si>
  <si>
    <t>521-206-0202-0002</t>
  </si>
  <si>
    <t>Телескопическая трибуна с электрическим приводом на 253 мест, размер сидения 400х300х450мм</t>
  </si>
  <si>
    <t>521-206-0203</t>
  </si>
  <si>
    <t>Телескопическая трибуна с электрическим
приводом на 72 места</t>
  </si>
  <si>
    <t>521-206-0203-0001</t>
  </si>
  <si>
    <t>Телескопическая трибуна с электрическим
приводом на, в комплекте 72 места</t>
  </si>
  <si>
    <t>521-206-0203-0002</t>
  </si>
  <si>
    <t>Телескопическая трибуна с электрическим приводом на 72 мест, размер сидения 400х300х450мм</t>
  </si>
  <si>
    <t>521-206-0204</t>
  </si>
  <si>
    <t>Телескопическая трибуна с электрическим
приводом на 86 мест</t>
  </si>
  <si>
    <t>521-206-0204-0001</t>
  </si>
  <si>
    <t>Телескопическая трибуна с электрическим
приводом, в комплекте 86 мест</t>
  </si>
  <si>
    <t>521-206-0204-0002</t>
  </si>
  <si>
    <t>Телескопическая трибуна с электрическим приводом на 86 мест, размер сидения 400х300х450мм</t>
  </si>
  <si>
    <t>Группа 521-207. Информационно-коммуникационные технологии</t>
  </si>
  <si>
    <t>521-207-0200</t>
  </si>
  <si>
    <t>Инновационное и высокотехнологичное оборудование для занятий робототехникой, исследовательской и проектной деятельностью</t>
  </si>
  <si>
    <t>521-207-0205</t>
  </si>
  <si>
    <t>Набор роботехнический</t>
  </si>
  <si>
    <t>521-207-0205-0001</t>
  </si>
  <si>
    <t>Набор роботехнический базовый для начальных классов типа Robowunderkind</t>
  </si>
  <si>
    <t>1 x Кнопка</t>
  </si>
  <si>
    <t>521-207-0205-0002</t>
  </si>
  <si>
    <t>Набор ресурсный для начальных классов типа Robowunderkind</t>
  </si>
  <si>
    <t>1 x светодиодный дисплей, 1 x кнопка,
1 x RGB-подсветка, 1 x блок разъемов,</t>
  </si>
  <si>
    <t>521-207-0205-0003</t>
  </si>
  <si>
    <t>Набор сервоприводов типа Crafttronics Lab</t>
  </si>
  <si>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</si>
  <si>
    <t>521-207-0205-0004</t>
  </si>
  <si>
    <t>Набор GPS GSM типа Crafttronics Lab</t>
  </si>
  <si>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</si>
  <si>
    <t>521-207-0205-0005</t>
  </si>
  <si>
    <t>Набор двигателей постоянного тока типа Crafttronics Lab</t>
  </si>
  <si>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</si>
  <si>
    <t>521-207-0205-0006</t>
  </si>
  <si>
    <t>Набор печатных плат типа Crafttronics Lab</t>
  </si>
  <si>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</si>
  <si>
    <t>521-207-0205-0007</t>
  </si>
  <si>
    <t>Набор электронных компонентов типа Crafttronics Lab</t>
  </si>
  <si>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</si>
  <si>
    <t>521-207-0205-0008</t>
  </si>
  <si>
    <t>Набор модулей беспроводной связи типа Crafttronics Lab</t>
  </si>
  <si>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</si>
  <si>
    <t>521-207-0205-0009</t>
  </si>
  <si>
    <t>Набор микроконтроллеров типа Crafttronics Lab</t>
  </si>
  <si>
    <t>Набор включает в себя основные платы Arduino</t>
  </si>
  <si>
    <t>521-207-0205-0010</t>
  </si>
  <si>
    <t>Набор шаговых двигателей типа Crafttronics Lab</t>
  </si>
  <si>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</si>
  <si>
    <t>521-207-0205-0011</t>
  </si>
  <si>
    <t>Обучающий набор электронных схем типа Crafttronics Lab</t>
  </si>
  <si>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</si>
  <si>
    <t>521-207-0208</t>
  </si>
  <si>
    <t>Набор для сборки квадрокоптера</t>
  </si>
  <si>
    <t>521-207-0208-0001</t>
  </si>
  <si>
    <t>Набор для сборки квадрокоптера типа
Crafttronics Lab</t>
  </si>
  <si>
    <t>Комплектация: "FPV Дрон 5 дюймовый
Шлем для FPV режима 2,4ГГц Пульт управления Аккумулятор
Антенны 2,4ГГц Квадрокоптер малых размеров</t>
  </si>
  <si>
    <t>521-207-0209</t>
  </si>
  <si>
    <t>Набор микрокомпьютеров</t>
  </si>
  <si>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</si>
  <si>
    <t>521-207-0210</t>
  </si>
  <si>
    <t>Паяльная станция</t>
  </si>
  <si>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</si>
  <si>
    <t>521-207-0211</t>
  </si>
  <si>
    <t>Мебель для кабинета робототехники</t>
  </si>
  <si>
    <t>521-207-0211-0001</t>
  </si>
  <si>
    <t>Стеллаж для наборов по робототехнике типа CraftLab</t>
  </si>
  <si>
    <t>Стеллаж изготовлен из ЛДСП, толщиной 32 мм, кромка ПВХ. Габариты: 1500 х 450 х 900 мм. Специалированный для наборов лего, 16 ячеек с пластиковыми лотками</t>
  </si>
  <si>
    <t>521-207-0211-0002</t>
  </si>
  <si>
    <t>Шкаф инструментальный по ручным универсальным инструментам типа CraftLab</t>
  </si>
  <si>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</si>
  <si>
    <t>521-207-0211-0003</t>
  </si>
  <si>
    <t>Шкаф инструментальный по электронике типа CraftLab</t>
  </si>
  <si>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</si>
  <si>
    <t>521-207-0211-0004</t>
  </si>
  <si>
    <t>Специализированный стол для паяльного дела типа CraftLab</t>
  </si>
  <si>
    <t>Группа 521-208. Музыкальный зал</t>
  </si>
  <si>
    <t>521-208-0100</t>
  </si>
  <si>
    <t>Мебель</t>
  </si>
  <si>
    <t>521-208-0102</t>
  </si>
  <si>
    <t>Стул крутящийся без спинки</t>
  </si>
  <si>
    <t>521-208-0102-0001</t>
  </si>
  <si>
    <t>Табурет винтовой с колесами</t>
  </si>
  <si>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</si>
  <si>
    <t>521-208-0102-0002</t>
  </si>
  <si>
    <t>Табурет винтовой ТВ 2021-2 320*460/600 (с колесами)</t>
  </si>
  <si>
    <t>521-208-0102-0003</t>
  </si>
  <si>
    <t>Стул-табурет c колесами регулируемый без верхней спинки типа Suno</t>
  </si>
  <si>
    <t>Табурет лабораторный полиуретановый на газ лифте. Каркас стальной с хромированным покрытием. Регулировка подъёма сиденья. Размеры сиденья: 360*340 мм.</t>
  </si>
  <si>
    <t>521-208-0102-0004</t>
  </si>
  <si>
    <t>Стул-табурет с колесами регулируемый. Сиденье эко кожа. Размер: 550х550х525мм</t>
  </si>
  <si>
    <t>Стул-табурет с колесами регулируемый. Размер: 550х550х525мм. Высокий, с сиденьем D-360 мм, пластиковой базой. Сиденье эко кожа.</t>
  </si>
  <si>
    <t>521-208-0102-0005</t>
  </si>
  <si>
    <t>Табурет подъемно-поворотный с регулировкой высоты 420/480 мм</t>
  </si>
  <si>
    <t>Табурет подъемно-поворотный на колесиках.
Диаметр сиденья 360 мм. Регулировка высоты посадки 420/480мм.
Материал: крестовина – хром, обивка – эко-кожа</t>
  </si>
  <si>
    <t>521-208-0102-0006</t>
  </si>
  <si>
    <t>Табурет подъемно-поворотный с регулировкой высоты, диаметр сиденья 380мм, материал искусственная кожа</t>
  </si>
  <si>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</si>
  <si>
    <t>521-208-0102-0007</t>
  </si>
  <si>
    <t>Табурет подъемно-поворотный, регулируемое по высоте, сиденье из фанеры, поролон, обтянутое кож.зам</t>
  </si>
  <si>
    <t>Каркас изготовлен из трубы, поворот – 360°. Высота 420/480 мм</t>
  </si>
  <si>
    <t>Группа 521-209. Оборудование для спортивного зала и секционных занятий</t>
  </si>
  <si>
    <t>521-209-0300</t>
  </si>
  <si>
    <t>Лыжные гонки и конькобежная подготовка</t>
  </si>
  <si>
    <t>521-209-0301</t>
  </si>
  <si>
    <t>Комплект лыж (лыжи, ботинки, крепления)</t>
  </si>
  <si>
    <t>521-209-0301-0001</t>
  </si>
  <si>
    <t>Лыжи беговые RAS-100 в комплекте с ботинками, лыжными палками, креплениями</t>
  </si>
  <si>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</si>
  <si>
    <t>Подраздел 521-3. Оборудование и мебель организации основного среднего и общего среднего образования</t>
  </si>
  <si>
    <t>Группа 521-301. Оборудование и мебель для учебных кабинетов</t>
  </si>
  <si>
    <t>521-301-0300</t>
  </si>
  <si>
    <t>Кабинет математики</t>
  </si>
  <si>
    <t>521-301-0301</t>
  </si>
  <si>
    <t>Пластиковая модель штангенциркуля</t>
  </si>
  <si>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</si>
  <si>
    <t>521-301-0302</t>
  </si>
  <si>
    <t>Набор для изучения вероятности</t>
  </si>
  <si>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</si>
  <si>
    <t>521-301-0303</t>
  </si>
  <si>
    <t>Набор для демонстрации куба и сферы</t>
  </si>
  <si>
    <t>521-301-0303-0001</t>
  </si>
  <si>
    <t>Набор для демонстрации куба и сферы типа Invicta</t>
  </si>
  <si>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</si>
  <si>
    <t>521-301-0305</t>
  </si>
  <si>
    <t>Набор для исследования законов вероятности</t>
  </si>
  <si>
    <t>521-301-0305-0001</t>
  </si>
  <si>
    <t>Набор для исследования законов вероятности типа Invicta 113159/42432</t>
  </si>
  <si>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</si>
  <si>
    <t>521-301-0306</t>
  </si>
  <si>
    <t>Набор геометрических фигур раздаточный</t>
  </si>
  <si>
    <t>521-301-0306-0001</t>
  </si>
  <si>
    <t>Набор геометрических фигур с развертками</t>
  </si>
  <si>
    <t>521-301-0306-0002</t>
  </si>
  <si>
    <t>Набор геометрических фигур раздаточный типа Invicta 091859/42401</t>
  </si>
  <si>
    <t>521-301-0310</t>
  </si>
  <si>
    <t>Набор Дробные части квадрата и круга</t>
  </si>
  <si>
    <t>521-301-0310-0001</t>
  </si>
  <si>
    <t>Набор Дробные части квадрата и круга типа Invicta</t>
  </si>
  <si>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</si>
  <si>
    <t>521-301-0310-0002</t>
  </si>
  <si>
    <t>Набор "Части целого на круге. Простые дроби"</t>
  </si>
  <si>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</si>
  <si>
    <t>521-301-0319</t>
  </si>
  <si>
    <t>Калькулятор графический</t>
  </si>
  <si>
    <t>521-301-0319-0001</t>
  </si>
  <si>
    <t>Калькулятор графический типа Texas
Instruments TI-84 Plus CE-T</t>
  </si>
  <si>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</si>
  <si>
    <t>521-301-0400</t>
  </si>
  <si>
    <t>Цифровая интерактивная лаборатория для
экспериментов по физике</t>
  </si>
  <si>
    <t>521-301-0401</t>
  </si>
  <si>
    <t>Датчик гальванометрический</t>
  </si>
  <si>
    <t>521-301-0401-0001</t>
  </si>
  <si>
    <t>Датчик гальванометрический беспроводной (ток) Go Direct GDX-CUR. Диапазон: +/-1A и
+/-0.1A. Максимальный ток без повреждения: 1,5А и 0,5А. Типовой шаг измерений: 0,031мА и 0,003мА</t>
  </si>
  <si>
    <t>521-301-0401-0002</t>
  </si>
  <si>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</si>
  <si>
    <t>521-301-0401-0003</t>
  </si>
  <si>
    <t>Einstein™ Датчик тока (+/-2.5 A) ENCRN005. Диапазон: +/-2,5 А. Входной ток: переменный или постоянный ток.
Точность: +/-3 % по всему диапазону. Разрешение (12 бит): 1,25 мА</t>
  </si>
  <si>
    <t>521-301-0401-0004</t>
  </si>
  <si>
    <t>Einstein™ Датчик тока (+/-250 мА) ENCRN006. Диапазон: +/-250 мА. Входной ток: переменный или постоянный ток.
Точность: +/-3 % по всему диапазону. Разрешение (12 бит): +/-125 мкА</t>
  </si>
  <si>
    <t>521-301-0401-0005</t>
  </si>
  <si>
    <t>Внешний датчик тока Globisense. Диапазон:+/-250 мА. Точность:+/- 4%</t>
  </si>
  <si>
    <t>521-301-0401-0006</t>
  </si>
  <si>
    <t>Датчик гальванометрический (ток) беспроводной типа PHYWE Cobra SMARTSence High Current 12925-00. Диапазон: +/-10 A. Разрешение: 10 мA</t>
  </si>
  <si>
    <t>521-301-0401-0007</t>
  </si>
  <si>
    <t>Датчик гальванометрический беспроводной типа ScienceCube, WL109GV. Диапазон:
+/-0,0125 А. Разрешение: 0,002 мА</t>
  </si>
  <si>
    <t>521-301-0401-0008</t>
  </si>
  <si>
    <t>Датчик тока типа Sense disc S0005. Диапазон: -1+1А. Точность: +/-1%. Разрешение: 0.001А</t>
  </si>
  <si>
    <t>521-301-0401-0009</t>
  </si>
  <si>
    <t>Датчик микротока типа Sense disc S0006. Диапазон: -10 мкА+10 мкА. Точность:
+/-1%. Разрешение: 0.01 мкА</t>
  </si>
  <si>
    <t>521-301-0401-0010</t>
  </si>
  <si>
    <t>Датчик тока типа Sense disc S0035. Диапазон: -10А+10А. Точность: +/-2%</t>
  </si>
  <si>
    <t>521-301-0401-0011</t>
  </si>
  <si>
    <t>Датчик гальванометрический типа MicroLab Mlab_curr250. Напряжение 3,3В/5В, диапазон 0–2000 мкс/см, разрешение +/-5% (STP)</t>
  </si>
  <si>
    <t>521-301-0401-0012</t>
  </si>
  <si>
    <t>Датчик измерения силы тока при низком напряжении АС и DC в контурах. Диапазон измерения: -2.5 /+2.5A Разрешение: +/- 1,25 mA (12bit)</t>
  </si>
  <si>
    <t>521-301-0401-0013</t>
  </si>
  <si>
    <t>Датчик гальванометрический. Диапазон
измерения: +/- 250мА. Разрешение: 125 мкА</t>
  </si>
  <si>
    <t>521-301-0403</t>
  </si>
  <si>
    <t>Датчик напряжения</t>
  </si>
  <si>
    <t>521-301-0403-0001</t>
  </si>
  <si>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</si>
  <si>
    <t>521-301-0403-0002</t>
  </si>
  <si>
    <t>Einstein™ Датчик напряжения ±25V ENVLT001. Диапазон: ±25 В. Входное напряжение: переменный или постоянный ток. Точность: ±3 % по всему диапазону. Разрешение (12 бит): 12,5 мВ</t>
  </si>
  <si>
    <t>521-301-0403-0003</t>
  </si>
  <si>
    <t>Einstein™ Датчик напряжения (±2,5 В) ENVLT002. Диапазон: ±2,5 А. Входной ток: переменный или постоянный ток. Точность:
±3 % по всему диапазону.  Разрешение (12 бит): 1,25 мА</t>
  </si>
  <si>
    <t>521-301-0403-0004</t>
  </si>
  <si>
    <t>Einstein™Многодиапазонный датчик напряжения (±1V, ±10V, ±25V) ENVLT019.
Диапазон: ± 1 V, ± 10 V, ± 25 V. Входное напряжение: переменный или постоянный ток</t>
  </si>
  <si>
    <t>521-301-0403-0005</t>
  </si>
  <si>
    <t>Внешний датчик  напряжения Globisense.
Диапазон:+/-10 В. Точность:+/-2 %</t>
  </si>
  <si>
    <t>521-301-0403-0006</t>
  </si>
  <si>
    <t>Датчик напряжения беспроводной типа Phywe Cobra SMARTsense Voltage 12901-01. Диапазон: +/- 30 В. Разрешение: 20 мВ. Частота: 1000 Гц</t>
  </si>
  <si>
    <t>521-301-0403-0007</t>
  </si>
  <si>
    <t>Датчик напряжения беспроводной типа ScienceCube, WL101V. Диапазон: +/- 15 В. Разрешение: 2 мВ</t>
  </si>
  <si>
    <t>521-301-0403-0008</t>
  </si>
  <si>
    <t>Датчик напряжения типа Sense disc S0001. Диапазон: -30В+30В. Точность: +/-1%.
Разрешение: 0.02В</t>
  </si>
  <si>
    <t>521-301-0403-0009</t>
  </si>
  <si>
    <t>Датчик напряжения типа Sense disc S0037. Диапазон: -500В+500В. Точность: +/-2%. Разрешение: 0.3В</t>
  </si>
  <si>
    <t>521-301-0403-0010</t>
  </si>
  <si>
    <t>Датчик напряжения (переменного) типа MicroLab Mlab_curr. Рабочее напряжение до 100 В. Диапазон измерения тока 0 – 2,5 А.
Чувствительность 800 мВ/А</t>
  </si>
  <si>
    <t>521-301-0403-0011</t>
  </si>
  <si>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</si>
  <si>
    <t>521-301-0404</t>
  </si>
  <si>
    <t>Датчик силы</t>
  </si>
  <si>
    <t>521-301-0404-0001</t>
  </si>
  <si>
    <t>Einstein™ Датчик силы ENFRC272. Диапазон: от -10 Н до +10 Н - 50 Н до +50 Н. Точность: ±2 % по всему диапазону</t>
  </si>
  <si>
    <t>521-301-0404-0002</t>
  </si>
  <si>
    <t>Датчик силы типа Sense disc S0014. Диапазон: -50+50 Н. Точность: +/-1%. Разрешение: 0.03 Н</t>
  </si>
  <si>
    <t>521-301-0404-0003</t>
  </si>
  <si>
    <t>Датчик силы. Диапазон измерения:  +/- 10Н/
+/- 50Н</t>
  </si>
  <si>
    <t>521-301-0405</t>
  </si>
  <si>
    <t>Источник питания лабораторный</t>
  </si>
  <si>
    <t>521-301-0405-0001</t>
  </si>
  <si>
    <t>Источник бесперебойного питания
демонстрационный</t>
  </si>
  <si>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</si>
  <si>
    <t>521-301-0405-0002</t>
  </si>
  <si>
    <t>Источник питания лабораторный. Прибор питается переменным током напряжением 42 V. Выходные напряжения: постоянное фиксированное – 1,5 – 9 V, при токе – 1,5 А.</t>
  </si>
  <si>
    <t>521-301-0405-0003</t>
  </si>
  <si>
    <t>Источник постоянного и переменного
напряжения</t>
  </si>
  <si>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</si>
  <si>
    <t>521-301-0405-0004</t>
  </si>
  <si>
    <t>Источник питания лабораторный с
комплектом электрических проводов</t>
  </si>
  <si>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</si>
  <si>
    <t>521-301-0406</t>
  </si>
  <si>
    <t>Датчик света</t>
  </si>
  <si>
    <t>521-301-0406-0001</t>
  </si>
  <si>
    <t>Einstein™ Датчик света (многодиапазнонный) ENLGT009-4. Диапазон: от 0 до 600 лк, от 0 до 6 000 лк, от
0 до 150 klx. Точность: ±4 % по всему диапазону.</t>
  </si>
  <si>
    <t>521-301-0406-0002</t>
  </si>
  <si>
    <t>Датчик для измерения освещенности беспроводной типа Phywe Cobra SMARTsense Light 12906-01. Диапазон: 0-128 кЛк. Разрешение: 1 Лк. Частота
измерений: 10 Гц</t>
  </si>
  <si>
    <t>521-301-0406-0003</t>
  </si>
  <si>
    <t>Датчик света типа Sense disc S0019. Диапазон: 0-55000 люкс. Точность: +/-5%. Разрешение: 15 люкс</t>
  </si>
  <si>
    <t>521-301-0406-0004</t>
  </si>
  <si>
    <t>Датчик фотометрический. Диапазон измерения: от 0 до 600 лк, от 0 до 6000лк, от 0 до 150 клк. Точность +/- 4% по всему диапазону</t>
  </si>
  <si>
    <t>521-301-0408</t>
  </si>
  <si>
    <t>Датчик измерения магнитного поля</t>
  </si>
  <si>
    <t>521-301-0408-0001</t>
  </si>
  <si>
    <t>Датчик измерения магнитного поля 3-осевой беспроводной Go Direct GDX-3MG. Диапазон измерений: ± 5 мТл. Рабочая температура: от -40 ° C до 85 ° C.</t>
  </si>
  <si>
    <t>521-301-0408-0002</t>
  </si>
  <si>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</si>
  <si>
    <t>521-301-0408-0003</t>
  </si>
  <si>
    <t>Einstein™ Датчик магнитного поля (3 - оси) ENMGN. Диапазон: Две оси: ±20 мТл; Три оси: ±0,4 мТл. Погрешность: ±6 % по всему</t>
  </si>
  <si>
    <t>521-301-0408-0004</t>
  </si>
  <si>
    <t>Внешний датчик  магнитного поля Globisense. 2 диапазона: +/-10mT, +/-0.2mT. Двойной диапазон:+/-10 мТл, +/-0,2 мТл.
Точность:+/-5 %</t>
  </si>
  <si>
    <t>521-301-0408-0005</t>
  </si>
  <si>
    <t>Датчик магнитного поля беспроводной типа PhyweCobra SMARTsense - 3-Axis Magnetic field 12947-00. Диапазон: 130 мТ; 5 мТ.
Разрешение: 0.1 мТ; 0.001 мТ. Частота
измерений: 1000 Гц</t>
  </si>
  <si>
    <t>521-301-0408-0006</t>
  </si>
  <si>
    <t>Беспроводной датчик магнитного поля беспроводной типа ScienceCube, WL108MG Wireless 3-axis Magnetic Field. Диапазон: +/-5 мТл</t>
  </si>
  <si>
    <t>521-301-0408-0007</t>
  </si>
  <si>
    <t>Датчик магнитного поля типа Sense disc S0020. Диапазон: -64-64 мТл. Точность:
+/-3%. Разрешение: 0.04 мТл</t>
  </si>
  <si>
    <t>521-301-0408-0008</t>
  </si>
  <si>
    <t>Датчик гравитационно-магнитный типа Sense disc S0022. Диапазон: 0-40000 с/мин</t>
  </si>
  <si>
    <t>521-301-0408-0009</t>
  </si>
  <si>
    <t>Датчик магнитного поля типа MicroLab Mlab_magnet. Диапазон измерения магнитометра от -4800µT до +4800µT</t>
  </si>
  <si>
    <t>521-301-0409</t>
  </si>
  <si>
    <t>Датчик движения</t>
  </si>
  <si>
    <t>521-301-0409-0001</t>
  </si>
  <si>
    <t>Датчик движения беспроводной Go Direct GDX-MD. Диапазон: от 15 см до 3,5 м.
Точность: 1 мм. Максимальная частота дискретизации: 30 запросов/с</t>
  </si>
  <si>
    <t>521-301-0409-0002</t>
  </si>
  <si>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</si>
  <si>
    <t>521-301-0409-0003</t>
  </si>
  <si>
    <t>Einstein™ Датчик расстояния ENDST020. Диапазон: от 0,2 до 10 м. Точность: 3 мм на 2 м, 8 мм на 10 м. Разрешение (12 бит): 2,5 мм</t>
  </si>
  <si>
    <t>521-301-0409-0004</t>
  </si>
  <si>
    <t>Датчик движения беспроводной типа Phywe Cobra SMARTsense Motion 12908-01.
Диапазон: 0.2-2 м. Разрешение: 1 мм. Частота измерений: 20 Гц</t>
  </si>
  <si>
    <t>521-301-0409-0005</t>
  </si>
  <si>
    <t>Датчик движения беспроводной типа ScienceCube, WL106M . Диапазон: 0,15-6 м. Разрешение: 1 мм</t>
  </si>
  <si>
    <t>521-301-0409-0006</t>
  </si>
  <si>
    <t>Датчик движения  Sense disc S0015. Диапазон: 20-600 см. Точность: +/-2%. Разрешение: 0.1 см</t>
  </si>
  <si>
    <t>521-301-0409-0007</t>
  </si>
  <si>
    <t>Датчик движения типа MicroLab Mlab_motion. Диапазон измерения от 10 мм до 25 см. Максимальная частота дискретизации: 30 запросов/с. Точность 1мм</t>
  </si>
  <si>
    <t>521-301-0409-0008</t>
  </si>
  <si>
    <t>Датчик движения. Диапазон измерения: 0,16
- 6м. Максимальный диапазон: 10м. Разрешение: +/-1,5мм</t>
  </si>
  <si>
    <t>521-301-0410</t>
  </si>
  <si>
    <t>Датчик вращения</t>
  </si>
  <si>
    <t>521-301-0410-0001</t>
  </si>
  <si>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</si>
  <si>
    <t>521-301-0410-0002</t>
  </si>
  <si>
    <t>Einstein™ датчик вращательного движения ( Rotary Motion без Pendulum) ENROT-A148. Диапазон: +/-360°. Точность: +/-0,125°.
Разрешение (12 бит): 0,062°</t>
  </si>
  <si>
    <t>521-301-0411</t>
  </si>
  <si>
    <t>Датчик фотозатвор</t>
  </si>
  <si>
    <t>521-301-0411-0001</t>
  </si>
  <si>
    <t>Датчик фотозатвор беспроводной Go Direct GDX-VPG. Инфракрасный источник Пик при 880 нм, Ширина ворот 77,5 мм, Разделение внутренних ворот 20 мм</t>
  </si>
  <si>
    <t>521-301-0411-0002</t>
  </si>
  <si>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</si>
  <si>
    <t>521-301-0411-0003</t>
  </si>
  <si>
    <t>Einstein™ Умный шкиф+ фотозатвор ENSMP-A122. Диапазон: от 0 до 99 м/с. Точность: 0,05 м/с. Разрешение (12 бит):
0,024 м/с</t>
  </si>
  <si>
    <t>521-301-0411-0004</t>
  </si>
  <si>
    <t>Внешний датчик фотозатвора Globisense. Время подъема/спада: 1 мс. Ширина ворот: 76,6 мм. Источник света: инфракрасный.
Индикатор: зеленый светодиод</t>
  </si>
  <si>
    <t>521-301-0411-0005</t>
  </si>
  <si>
    <t>Датчик фотозатвор беспроводной типа Phywe Cobra SMARTsense Photogate 12909-00. Разрешение: 0,01 мс. Частота
измерений: 1000 Гц</t>
  </si>
  <si>
    <t>521-301-0411-0006</t>
  </si>
  <si>
    <t>Датчик фотозатвор беспроводной типа
ScienceCube, WL120PG. Диапозон: +/- 5 мТ</t>
  </si>
  <si>
    <t>521-301-0411-0007</t>
  </si>
  <si>
    <t>Датчик фотозатвора  типа Sense disc S0016.
Точность: +/-1 мкс. Разрешение: 1 мкс</t>
  </si>
  <si>
    <t>521-301-0411-0008</t>
  </si>
  <si>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</si>
  <si>
    <t>521-301-0411-0009</t>
  </si>
  <si>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</si>
  <si>
    <t>521-301-0412</t>
  </si>
  <si>
    <t>Динамическая система</t>
  </si>
  <si>
    <t>521-301-0412-0001</t>
  </si>
  <si>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</si>
  <si>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</si>
  <si>
    <t>521-301-0412-0002</t>
  </si>
  <si>
    <t>Динамическая система для работы с датчиками типа Cobra DigiCart Set 12940-77</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</si>
  <si>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</si>
  <si>
    <t>521-301-0412-0003</t>
  </si>
  <si>
    <t>Динамическая система типа ScienceCube SCS-500</t>
  </si>
  <si>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</si>
  <si>
    <t>521-301-0412-0004</t>
  </si>
  <si>
    <t>Динамическая система расширенная для работы с датчиками типа Cobra DigiCart Set 12940-88</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</si>
  <si>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</si>
  <si>
    <t>521-301-0412-0005</t>
  </si>
  <si>
    <t>Динамическая система для работы с датчиками типа MicroLab Mlab_dynamickit. Состоит из скамьи длиною 1,2 м и двух пластиковых тележек</t>
  </si>
  <si>
    <t>521-301-0412-0006</t>
  </si>
  <si>
    <t>Динамическая система типа Einstein DT072A</t>
  </si>
  <si>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</si>
  <si>
    <t>521-301-0413</t>
  </si>
  <si>
    <t>Датчик звука</t>
  </si>
  <si>
    <t>521-301-0413-0001</t>
  </si>
  <si>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</si>
  <si>
    <t>521-301-0413-0002</t>
  </si>
  <si>
    <t>Einstein™ Микрофон ENMCR008. Частотный диапазон: от 35 до 10 000 Гц.
Диапазон: ±2.5 В. Разрешение (12 бит): 1,22 мВ</t>
  </si>
  <si>
    <t>521-301-0413-0003</t>
  </si>
  <si>
    <t>Einstein™ Датчик звука ENSND320. Диапазон: от 45 до 80 дБ, от 65 до 110 дБ. Погрешность (при 23±5°C): ±3 дБ. Время отклика: 20 мс. Частота: от 31,5 до 8 000 Гц</t>
  </si>
  <si>
    <t>521-301-0413-0004</t>
  </si>
  <si>
    <t>Датчик звука беспроводной Phywe Cobra SMARTsense - Sound 12939-00. Диапазон: 55-110 дБ(А). Разрешение: 0,1 дБ(А)</t>
  </si>
  <si>
    <t>521-301-0413-0005</t>
  </si>
  <si>
    <t>Датчик звука беспроводной типа ScienceCube, WL124S. Диапазон: от 40 дБ до 130 дБ. Точность: 0,1 дБ</t>
  </si>
  <si>
    <t>521-301-0413-0006</t>
  </si>
  <si>
    <t>Датчик звука типа Sense disc S0021. Диапазон: 40-92 дБ. Точность: +/-4 дБ. Разрешение: 0.1 дБ</t>
  </si>
  <si>
    <t>521-301-0413-0007</t>
  </si>
  <si>
    <t>Датчик-микрофон Sense disc S0034. Диапазон: 100 Гц-15 кГц</t>
  </si>
  <si>
    <t>521-301-0413-0008</t>
  </si>
  <si>
    <t>Датчик звука типа MicroLab Mlab_sound. Низкое энергопотребление: 185 мкА в режиме малой мощности. Расширенная частотная характеристика от 36 Гц до 20 кГц</t>
  </si>
  <si>
    <t>521-301-0413-0009</t>
  </si>
  <si>
    <t>Датчик микрофон. Диапазон измерения: 35
Гц - 10000 Гц</t>
  </si>
  <si>
    <t>521-301-0415</t>
  </si>
  <si>
    <t>Датчик света и цвета</t>
  </si>
  <si>
    <t>521-301-0415-0001</t>
  </si>
  <si>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</si>
  <si>
    <t>521-301-0415-0002</t>
  </si>
  <si>
    <t>Einstein™ Датчик света и цвета
ENCOL-A185. Коэффициент пропускания: 20% - 90%. Точность ±10%. Разрешение (12
бит): 0,03 %</t>
  </si>
  <si>
    <t>521-301-0415-0003</t>
  </si>
  <si>
    <t>Датчик света и цвета беспроводной типа ScienceCube, WL112LC. Диапазон: от 0 до 199000 лк (люкс). Цветность: от 1 до 65,535
отсчетов. УФ: 0 - 11 УФ-индекс.
Разрешение: 0,1 люкс</t>
  </si>
  <si>
    <t>521-301-0415-0004</t>
  </si>
  <si>
    <t>Датчик света и цвета типа MicroLab Mlab_lightcolor. Измерение яркости до 60 000 люкс. Динамический диапазаон контрастности цветов 16.7M:1</t>
  </si>
  <si>
    <t>521-301-0416</t>
  </si>
  <si>
    <t>Датчик силы и ускорения</t>
  </si>
  <si>
    <t>521-301-0416-0001</t>
  </si>
  <si>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</si>
  <si>
    <t>521-301-0416-0002</t>
  </si>
  <si>
    <t>Einstein™ датчик ускорения ENACL138. Диапазон: ±6 г (±49 м/с²). Разрешение (12 бит): 0,0025 г или 0,025 м/с2. Максимальная частота дискретизации: 100 выборок в секунду. Точность: ± 0,05 г.</t>
  </si>
  <si>
    <t>521-301-0416-0003</t>
  </si>
  <si>
    <t>Датчик силы и ускорения беспроводной типа Phywe Cobra SMARTsense Force &amp; Acceleration 12943-00. Cила: Диапазон: +/-50 Н. Разрешение: 30 мН. Ускорение: Диапазон: +/-16 г. Разрешение: 0.01 г</t>
  </si>
  <si>
    <t>521-301-0416-0004</t>
  </si>
  <si>
    <t>Датчик силы и ускорения беспроводной типа ScienceCube, WL105F. Диапазон силы: от -80 до +80 Н. Диапазон измерения ускорения: от
- 16 до + 16м/с2. Разрешение: 0.01 Ньютон</t>
  </si>
  <si>
    <t>521-301-0416-0005</t>
  </si>
  <si>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</si>
  <si>
    <t>521-301-0416-0006</t>
  </si>
  <si>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</si>
  <si>
    <t>521-301-0417</t>
  </si>
  <si>
    <t>Датчик инфракрасный</t>
  </si>
  <si>
    <t>521-301-0417-0001</t>
  </si>
  <si>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</si>
  <si>
    <t>521-301-0418</t>
  </si>
  <si>
    <t>Датчик УФ</t>
  </si>
  <si>
    <t>521-301-0418-0001</t>
  </si>
  <si>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</si>
  <si>
    <t>521-301-0418-0002</t>
  </si>
  <si>
    <t>Einstein™Датчик УФ излучения ENUVAB063. Диапазон UVA: от 320 нм до 400 нм, 1 Вт/м2, 10 Вт/м2, 200 Вт/м2.
Диапазон UVB: от 280 нм до 320 нм, 100
мВт/м2, 1 Вт/м2, 10 Вт/м2</t>
  </si>
  <si>
    <t>521-301-0418-0003</t>
  </si>
  <si>
    <t>Датчик УФ-излучения типа Sense disc S1040. Диапазон: 0-400 Вт/м². Точность: +/-5%.
Разрешение: 0.1 Вт/м²</t>
  </si>
  <si>
    <t>521-301-0419</t>
  </si>
  <si>
    <t>Набор посуды и принадлежностей для экспериментов по физике</t>
  </si>
  <si>
    <t>521-301-0420</t>
  </si>
  <si>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</si>
  <si>
    <t>521-301-0421</t>
  </si>
  <si>
    <t>Регистратор данных со специальным программным обеспечением</t>
  </si>
  <si>
    <t>521-301-0421-0001</t>
  </si>
  <si>
    <t>Регистратор данных со специальным программным обеспечением Einstein™ Labmate. ENLMSEN.   Частота дискретизации до 100 кс/с. Объем внутренней памяти: до 800 тыс. образцов</t>
  </si>
  <si>
    <t>521-301-0421-0002</t>
  </si>
  <si>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</si>
  <si>
    <t>521-301-0421-0003</t>
  </si>
  <si>
    <t>Регистратор данных со специальным программным обеспечением типа ScienceCube WL100B</t>
  </si>
  <si>
    <t>521-301-0421-0004</t>
  </si>
  <si>
    <t>Регистратор данных со специальным ПО типа ScienceCube MAX-A1</t>
  </si>
  <si>
    <t>521-301-0421-0005</t>
  </si>
  <si>
    <t>Регистратор данных с встроенными датчиками: акселерометр (3 оси), GPS, температура окружающей среды, барометр/Альтиметр типа Sense disc SD0010</t>
  </si>
  <si>
    <t>521-301-0421-0006</t>
  </si>
  <si>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</si>
  <si>
    <t>521-301-0421-0007</t>
  </si>
  <si>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</si>
  <si>
    <t>521-301-0421-0008</t>
  </si>
  <si>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</si>
  <si>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</si>
  <si>
    <t>521-301-0422</t>
  </si>
  <si>
    <t>Датчик заряда</t>
  </si>
  <si>
    <t>521-301-0422-0001</t>
  </si>
  <si>
    <t>Einstein™ Датчик электростатического заряда ENCRG261. Диапазон: ±0,25 мкКл,
±0,025 мкКл. Разрешение (12 бит): 0,12 нКл
для ±0,25 мкКл, 12,2 пКл для ±0,025 мкКл</t>
  </si>
  <si>
    <t>521-301-0422-0002</t>
  </si>
  <si>
    <t>Датчик заряда типа Sense disc S0008. Диапазон: 0-220 нКл. Точность: 4.4 нКл.
Разрешение: 0.1 нКл</t>
  </si>
  <si>
    <t>521-301-0423</t>
  </si>
  <si>
    <t>Вход универсальный вход</t>
  </si>
  <si>
    <t>521-301-0424</t>
  </si>
  <si>
    <t>Мобильная научная тележка Globisense Mobile Science cart для хранения и зарядки до 16 устройств Labdisc и до 16 планшетных компьютеров</t>
  </si>
  <si>
    <t>521-301-0425</t>
  </si>
  <si>
    <t>Зарядный лоток Globisense Charging tray для
зарядки 8 устройств Labdisc</t>
  </si>
  <si>
    <t>521-301-0426</t>
  </si>
  <si>
    <t>Лаборатория цифровая по физике</t>
  </si>
  <si>
    <t>521-301-0426-0001</t>
  </si>
  <si>
    <t>Лаборатория цифровая по физике типа Globisense Labdisc PHYSIO - 9-12 Physics со встроенными датчиками</t>
  </si>
  <si>
    <t>521-301-0426-0002</t>
  </si>
  <si>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</si>
  <si>
    <t>521-301-0500</t>
  </si>
  <si>
    <t>Приборы и принадлежности для опытов демонстрационные и лабораторные</t>
  </si>
  <si>
    <t>521-301-0501</t>
  </si>
  <si>
    <t>Набор пружин с различной жесткостью</t>
  </si>
  <si>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</si>
  <si>
    <t>521-301-0503</t>
  </si>
  <si>
    <t>Весы лабораторные</t>
  </si>
  <si>
    <t>521-301-0503-0001</t>
  </si>
  <si>
    <t>Весы электронные до 200гр (0,1г)</t>
  </si>
  <si>
    <t>Назначение: Выбирать и использовать приборы для определения массы.
Проводить эксперимент и фиксировать его результаты в таблице.</t>
  </si>
  <si>
    <t>521-301-0503-0002</t>
  </si>
  <si>
    <t>Весы лабораторные. Максимальный вес взвешивания 200г</t>
  </si>
  <si>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</si>
  <si>
    <t>521-301-0503-0003</t>
  </si>
  <si>
    <t>Весы технические. Диапазон измерений 0,05-1000г. Цена деления 0,05г</t>
  </si>
  <si>
    <t>Весы технические. Диапазон измерений 0,05-1000г. Цена деления 0,05г.</t>
  </si>
  <si>
    <t>521-301-0503-0004</t>
  </si>
  <si>
    <t>Весы лабораторные. Допускаемая максимальная нагрузка 200г, чувствительность 20мг</t>
  </si>
  <si>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</si>
  <si>
    <t>521-301-0503-0005</t>
  </si>
  <si>
    <t>Весы электронные. Диапазон взвешивания 0-200г, погрешность 0,1г, размер чашки весов 115мм</t>
  </si>
  <si>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</si>
  <si>
    <t>521-301-0503-0006</t>
  </si>
  <si>
    <t>Весы технические. Диапазон измерений: 50-1000 г</t>
  </si>
  <si>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</si>
  <si>
    <t>521-301-0503-0007</t>
  </si>
  <si>
    <t>Весы электронные до 1000 г (0,2г)</t>
  </si>
  <si>
    <t>Допустимая нагрузка 1000г. Точность взвешивания 0,2г.</t>
  </si>
  <si>
    <t>521-301-0506</t>
  </si>
  <si>
    <t>Гигрометр 0-25 градусов</t>
  </si>
  <si>
    <t>521-301-0507</t>
  </si>
  <si>
    <t>Гигрометр 15-40 градусов</t>
  </si>
  <si>
    <t>521-301-0508</t>
  </si>
  <si>
    <t>Динамометр</t>
  </si>
  <si>
    <t>521-301-0508-0001</t>
  </si>
  <si>
    <t>Динамометр демонстрационный</t>
  </si>
  <si>
    <t>521-301-0508-0002</t>
  </si>
  <si>
    <t>Комплект динамометров</t>
  </si>
  <si>
    <t>В состав комплекта входят:
5 динамометров. Диапазон измерения от 0 до 1 Н, от 0 до 2 Н, от 0 до 2.5 Н,
от 0 до 5Н, от 0 до 10 Н.</t>
  </si>
  <si>
    <t>521-301-0508-0003</t>
  </si>
  <si>
    <t>Динамометр демонстрационный.
Максимальная нагрузка 10 Н</t>
  </si>
  <si>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</si>
  <si>
    <t>521-301-0509</t>
  </si>
  <si>
    <t>Зеркало выпуклое и вогнутое (комплект)</t>
  </si>
  <si>
    <t>521-301-0510</t>
  </si>
  <si>
    <t>Камертоны на резонансных ящиках (пара)</t>
  </si>
  <si>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</si>
  <si>
    <t>521-301-0511</t>
  </si>
  <si>
    <t>Комплект блоков демонстрационных</t>
  </si>
  <si>
    <t>Используется для проведения демонстрационных работ по механике в курсе физики. Комплектация: Блок одинарный – 2 шт., блок двойной – 2 шт., блок тройной – 2 шт.</t>
  </si>
  <si>
    <t>521-301-0512</t>
  </si>
  <si>
    <t>Магазин сопротивлений демонстрационный</t>
  </si>
  <si>
    <t>521-301-0512-0001</t>
  </si>
  <si>
    <t>Омметр лабораторный. Диапазон измерения до 120 MΩ. Скорость измерения от 0.9 мс с точностью от 0,006%</t>
  </si>
  <si>
    <t>Широкий диапазон измерения до 120 MΩ. Скорость измерения от 0.9 мс с точностью от 0,006%. Оборудован внешним вход/выходом, GP-IB и
RS-232C интерфейсами</t>
  </si>
  <si>
    <t>521-301-0513</t>
  </si>
  <si>
    <t>Магнит демонстрационный U-образный</t>
  </si>
  <si>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</si>
  <si>
    <t>521-301-0514</t>
  </si>
  <si>
    <t>Магнит демонстрационный полосовой</t>
  </si>
  <si>
    <t>Магниты должны быть изготовлены из ферромагнитного вещества.
Половины магнита должны обозначены красной и синей термоусадочной пленкой или краской.</t>
  </si>
  <si>
    <t>521-301-0515</t>
  </si>
  <si>
    <t>Манометр</t>
  </si>
  <si>
    <t>521-301-0515-0001</t>
  </si>
  <si>
    <t>Прибор с манометром для исследования газовых законов типа Experia PHE-014</t>
  </si>
  <si>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</si>
  <si>
    <t>521-301-0515-0002</t>
  </si>
  <si>
    <t>Манометр жидкостной демонстрационный</t>
  </si>
  <si>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</si>
  <si>
    <t>521-301-0516</t>
  </si>
  <si>
    <t>Генератор Вимшурста</t>
  </si>
  <si>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</si>
  <si>
    <t>521-301-0521</t>
  </si>
  <si>
    <t>Набор из 5 шаров маятников со штативом</t>
  </si>
  <si>
    <t>521-301-0521-0001</t>
  </si>
  <si>
    <t>Набор из 5 шаров</t>
  </si>
  <si>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</si>
  <si>
    <t>521-301-0521-0002</t>
  </si>
  <si>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</si>
  <si>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521-301-0523</t>
  </si>
  <si>
    <t>Набор капилляров</t>
  </si>
  <si>
    <t>521-301-0523-0001</t>
  </si>
  <si>
    <t>Набор капилярных трубок лабораторных</t>
  </si>
  <si>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</si>
  <si>
    <t>521-301-0527</t>
  </si>
  <si>
    <t>Набор резисторов</t>
  </si>
  <si>
    <t>В наборе имеется три проволочных резистора сопротивлением 5 Ohm/1,5A, 10 Ohm/1A и 15 Оhm/0,6A.</t>
  </si>
  <si>
    <t>521-301-0529</t>
  </si>
  <si>
    <t>Прибор для измерения и демонстрации физических явлений</t>
  </si>
  <si>
    <t>521-301-0529-0001</t>
  </si>
  <si>
    <t>Прибор для определения точки росы</t>
  </si>
  <si>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</si>
  <si>
    <t>521-301-0529-0002</t>
  </si>
  <si>
    <t>Прибор для демонстрации возникновения электродвижущей силы в магнитном поле</t>
  </si>
  <si>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</si>
  <si>
    <t>521-301-0529-0003</t>
  </si>
  <si>
    <t>Султан электрический</t>
  </si>
  <si>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</si>
  <si>
    <t>521-301-0529-0004</t>
  </si>
  <si>
    <t>Прибор для демонстрации центробежной силы</t>
  </si>
  <si>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</si>
  <si>
    <t>521-301-0529-0005</t>
  </si>
  <si>
    <t>Звонок электрический</t>
  </si>
  <si>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</si>
  <si>
    <t>521-301-0529-0006</t>
  </si>
  <si>
    <t>Прибор для демонстрации магнитного поля с земли</t>
  </si>
  <si>
    <t>Прибор закреплен на небольшой подставке, в его состав также входит резистор, компас и катушки с 6 витками проволоки D 0,21м.</t>
  </si>
  <si>
    <t>521-301-0529-0007</t>
  </si>
  <si>
    <t>Прибор для демонстрации взоимодействие паралельных токов</t>
  </si>
  <si>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</si>
  <si>
    <t>521-301-0529-0008</t>
  </si>
  <si>
    <t>Прибор для демонстрации свободного падения тел</t>
  </si>
  <si>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</si>
  <si>
    <t>521-301-0529-0009</t>
  </si>
  <si>
    <t>Прибор для демонстрации вынужденных колебаний</t>
  </si>
  <si>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</si>
  <si>
    <t>521-301-0529-0010</t>
  </si>
  <si>
    <t>Прибор для демонстрации вращения рамки в магнитном поле</t>
  </si>
  <si>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</si>
  <si>
    <t>521-301-0532</t>
  </si>
  <si>
    <t>Реостат ползунковый</t>
  </si>
  <si>
    <t>521-301-0532-0001</t>
  </si>
  <si>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</si>
  <si>
    <t>521-301-0532-0002</t>
  </si>
  <si>
    <t>Набор реостатов ползунковых с роликовыми контактами</t>
  </si>
  <si>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</si>
  <si>
    <t>521-301-0532-0003</t>
  </si>
  <si>
    <t>Реостат демонстрационный 50 Ом, 1,5А</t>
  </si>
  <si>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</si>
  <si>
    <t>521-301-0533</t>
  </si>
  <si>
    <t>Сетка Кольбе</t>
  </si>
  <si>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</si>
  <si>
    <t>521-301-0534</t>
  </si>
  <si>
    <t>Сосуды сообщающиеся</t>
  </si>
  <si>
    <t>521-301-0534-0001</t>
  </si>
  <si>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</si>
  <si>
    <t>521-301-0535</t>
  </si>
  <si>
    <t>Столик подъемный</t>
  </si>
  <si>
    <t>Рабочая поверхность столика: 150 х 150 мм. Максимальная высота подъема: 280мм.</t>
  </si>
  <si>
    <t>521-301-0537</t>
  </si>
  <si>
    <t>Термометр жидкостной</t>
  </si>
  <si>
    <t>521-301-0538</t>
  </si>
  <si>
    <t>Термометр спиртовой</t>
  </si>
  <si>
    <t>521-301-0538-0001</t>
  </si>
  <si>
    <t>Термометр спиртовой. Материал: пластик, стекло. Диапазон измерения: от -50 до +50
°C и от -60 до 120 °F</t>
  </si>
  <si>
    <t>521-301-0541</t>
  </si>
  <si>
    <t>Комплект цилиндров свинцовых со стругом</t>
  </si>
  <si>
    <t>521-301-0541-0001</t>
  </si>
  <si>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</si>
  <si>
    <t>521-301-0542</t>
  </si>
  <si>
    <t>Шар Паскаля</t>
  </si>
  <si>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</si>
  <si>
    <t>521-301-0543</t>
  </si>
  <si>
    <t>Шар с кольцом</t>
  </si>
  <si>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</si>
  <si>
    <t>521-301-0544</t>
  </si>
  <si>
    <t>Амперметр</t>
  </si>
  <si>
    <t>521-301-0544-0001</t>
  </si>
  <si>
    <t>Амперметр лабораторный 0,6А-3А</t>
  </si>
  <si>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</si>
  <si>
    <t>521-301-0544-0002</t>
  </si>
  <si>
    <t>Амперметр аналоговый лабораторный. Диапазон измерения: 0.6 А и 3 А</t>
  </si>
  <si>
    <t>Диапазон измерения: 0.6 А и 3 А. Цена деления шкалы на первом пределе –
0.02 А, на втором -0.1 А.</t>
  </si>
  <si>
    <t>521-301-0544-0003</t>
  </si>
  <si>
    <t>Ампервольтметр аналоговый с гальвонометром</t>
  </si>
  <si>
    <t>521-301-0544-0004</t>
  </si>
  <si>
    <t>Ампервольтметр аналоговый для постоянного и переменного тока демонстрационный</t>
  </si>
  <si>
    <t>521-301-0544-0005</t>
  </si>
  <si>
    <t>Амперметр лабораторный. Пределы измерения: 1А и 2А</t>
  </si>
  <si>
    <t>Амперметр лабораторный. Пределы измерения: 1А и 2А. Класс точности: 2,5.
Цена деления: на первом пределе - 0,05А, на втором пределе - 0,1А.</t>
  </si>
  <si>
    <t>521-301-0544-0006</t>
  </si>
  <si>
    <t>Амперметр лабораторный. Диапазон измерения: 0-100А</t>
  </si>
  <si>
    <t>Предназначен для измерения тока в цепях постоянного тока. Диапазон: 0-100А. Класс точности - 2,5. Тряскопрочный, виброустойчивый</t>
  </si>
  <si>
    <t>521-301-0544-0007</t>
  </si>
  <si>
    <t>Амперметр лабораторный. Диапазон измерения: от 0 до 3 А с ценой деления 0,1 А, от 0 до 0,6 А с ценой деления 0,02 А</t>
  </si>
  <si>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</si>
  <si>
    <t>521-301-0545</t>
  </si>
  <si>
    <t>Вольтметр</t>
  </si>
  <si>
    <t>521-301-0545-0001</t>
  </si>
  <si>
    <t>Вольтметр лабораторный 0 до 15В</t>
  </si>
  <si>
    <t>521-301-0545-0002</t>
  </si>
  <si>
    <t>Вольтметр аналоговый лабораторный. Диапазон измерения: 3 В и 15 В</t>
  </si>
  <si>
    <t>Диапазон измерения: 3 В и 15 В. Цена деления шкалы напервом пределе –
0.1 В, на втором – 0.5 В.</t>
  </si>
  <si>
    <t>521-301-0546</t>
  </si>
  <si>
    <t>Выключатель однополюсный</t>
  </si>
  <si>
    <t>521-301-0546-0001</t>
  </si>
  <si>
    <t>Выключатель однополюсный двунаправленный</t>
  </si>
  <si>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</si>
  <si>
    <t>521-301-0547</t>
  </si>
  <si>
    <t>Динамометр лабораторный 2,5 ньютон</t>
  </si>
  <si>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</si>
  <si>
    <t>521-301-0550</t>
  </si>
  <si>
    <t>Комплект блоков</t>
  </si>
  <si>
    <t>521-301-0550-0001</t>
  </si>
  <si>
    <t>Комплект блоков лабораторных</t>
  </si>
  <si>
    <t>521-301-0550-0002</t>
  </si>
  <si>
    <t>Комплект блоков с крючками</t>
  </si>
  <si>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</si>
  <si>
    <t>521-301-0551</t>
  </si>
  <si>
    <t>Комплект соединительных проводов</t>
  </si>
  <si>
    <t>521-301-0552</t>
  </si>
  <si>
    <t>Держатель миниатюрный ламповый</t>
  </si>
  <si>
    <t>В качестве осветителя  ламповый держатель используется лампочка накаливания напряжением до 30 V и силы тока до 3 А.</t>
  </si>
  <si>
    <t>521-301-0553</t>
  </si>
  <si>
    <t>Линза на подставке</t>
  </si>
  <si>
    <t>Линза изготовлена из стекла и имеет  вогнутую поверхность. Закреплена в пластмассовой оправе и установлена на подставке. Диаметр 50 мм.</t>
  </si>
  <si>
    <t>521-301-0554</t>
  </si>
  <si>
    <t>Магнит дугообразный</t>
  </si>
  <si>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</si>
  <si>
    <t>521-301-0555</t>
  </si>
  <si>
    <t>Магнит полосовой</t>
  </si>
  <si>
    <t>Северный полюс каждого магнита окрашен в синий цвет, южный – в красный. Параметры магнитного потока: не более 0,05Т.</t>
  </si>
  <si>
    <t>521-301-0556</t>
  </si>
  <si>
    <t>Модель электродвигателя</t>
  </si>
  <si>
    <t>521-301-0556-0001</t>
  </si>
  <si>
    <t>Модель электродвигателя (разборная) лабораторная</t>
  </si>
  <si>
    <t>521-301-0556-0002</t>
  </si>
  <si>
    <t>Модель электродвигателя (разборная) лабораторная типа Cornelsen Experimenta 54835</t>
  </si>
  <si>
    <t>521-301-0556-0003</t>
  </si>
  <si>
    <t>Модель электродвигателя лабораторная</t>
  </si>
  <si>
    <t>521-301-0557</t>
  </si>
  <si>
    <t>Набор грузов</t>
  </si>
  <si>
    <t>521-301-0557-0001</t>
  </si>
  <si>
    <t>Набор грузов по механике (10х100гр)</t>
  </si>
  <si>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</si>
  <si>
    <t>521-301-0557-0002</t>
  </si>
  <si>
    <t>Набор грузов с крючками и обозначением массы</t>
  </si>
  <si>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</si>
  <si>
    <t>521-301-0558</t>
  </si>
  <si>
    <t>Набор калориметрических тел</t>
  </si>
  <si>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</si>
  <si>
    <t>521-301-0559</t>
  </si>
  <si>
    <t>Набор тел равного объема</t>
  </si>
  <si>
    <t>521-301-0559-0001</t>
  </si>
  <si>
    <t>Набор состоит из прямоугольных брусков из стали, алюминия и пластмассы одинакового размера.</t>
  </si>
  <si>
    <t>521-301-0559-0002</t>
  </si>
  <si>
    <t>Набор тел равного объема типа Cornelsen Experimenta 41231</t>
  </si>
  <si>
    <t>521-301-0560</t>
  </si>
  <si>
    <t>Набор тел равной массы</t>
  </si>
  <si>
    <t>521-301-0560-0001</t>
  </si>
  <si>
    <t>Набор состоит из прямоугольных брусков из стали, алюминия и пластмассы одинакового основания и массы 100 г.</t>
  </si>
  <si>
    <t>521-301-0560-0002</t>
  </si>
  <si>
    <t>Набор тел равной массы типа Cornelsen Experimenta 41235/44282</t>
  </si>
  <si>
    <t>521-301-0561</t>
  </si>
  <si>
    <t>Трибометр лабораторный</t>
  </si>
  <si>
    <t>521-301-0561-0001</t>
  </si>
  <si>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</si>
  <si>
    <t>521-301-0561-0002</t>
  </si>
  <si>
    <t>Трибометр лабораторный по механике</t>
  </si>
  <si>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</si>
  <si>
    <t>521-301-0565</t>
  </si>
  <si>
    <t>Миллиамперметр</t>
  </si>
  <si>
    <t>521-301-0565-0001</t>
  </si>
  <si>
    <t>Миллиамперметр для измерения
переменного тока</t>
  </si>
  <si>
    <t>521-301-0565-0002</t>
  </si>
  <si>
    <t>Миллиамперметр. Диапазон измерения 0-100mА</t>
  </si>
  <si>
    <t>521-301-0565-0003</t>
  </si>
  <si>
    <t>Миллиамперметр лабораторный. Диапазон измерения: от -5 до +5mА и от -50 до +50mА</t>
  </si>
  <si>
    <t>521-301-0567</t>
  </si>
  <si>
    <t>Элемент питания</t>
  </si>
  <si>
    <t>521-301-0568</t>
  </si>
  <si>
    <t>Комплект для изучения физики Globisense Physics kit (электричество, волны, магнетизм и ньютоновская механика)</t>
  </si>
  <si>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</si>
  <si>
    <t>521-301-0569</t>
  </si>
  <si>
    <t>Комплект электроснабжения</t>
  </si>
  <si>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</si>
  <si>
    <t>521-301-0570</t>
  </si>
  <si>
    <t>Комплект соединительных проводов лабораторных</t>
  </si>
  <si>
    <t>В комплекте имеется 10 гибких изолированных проводов разного цвета и длины с наконечниками.</t>
  </si>
  <si>
    <t>521-301-0571</t>
  </si>
  <si>
    <t>Желоб</t>
  </si>
  <si>
    <t>521-301-0571-0001</t>
  </si>
  <si>
    <t>Желоб Галилея</t>
  </si>
  <si>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</si>
  <si>
    <t>521-301-0572</t>
  </si>
  <si>
    <t>Рычаг-линейка</t>
  </si>
  <si>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</si>
  <si>
    <t>521-301-0573</t>
  </si>
  <si>
    <t>Калориметр</t>
  </si>
  <si>
    <t>521-301-0573-0001</t>
  </si>
  <si>
    <t>Калориметр. Вместимость внутреннего сосуда не менее 250 мл</t>
  </si>
  <si>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</si>
  <si>
    <t>521-301-0574</t>
  </si>
  <si>
    <t>Электромагнит разборный с деталями</t>
  </si>
  <si>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</si>
  <si>
    <t>521-301-0575</t>
  </si>
  <si>
    <t>Катушка</t>
  </si>
  <si>
    <t>521-301-0575-0001</t>
  </si>
  <si>
    <t>Катушка дроссельная</t>
  </si>
  <si>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</si>
  <si>
    <t>521-301-0575-0002</t>
  </si>
  <si>
    <t>Катушка Томсона</t>
  </si>
  <si>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</si>
  <si>
    <t>521-301-0576</t>
  </si>
  <si>
    <t>Прибор для измерения деформации растяжения</t>
  </si>
  <si>
    <t>Прибор состоит из штатива, фиксатора, пружины сострелкой, шкалой с фиксатором, набора грузов по 100 и 50 г.</t>
  </si>
  <si>
    <t>521-301-0577</t>
  </si>
  <si>
    <t>Ваттметр лабораторный</t>
  </si>
  <si>
    <t>521-301-0577-0001</t>
  </si>
  <si>
    <t>Ваттметр аналоговый демонстрационный</t>
  </si>
  <si>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</si>
  <si>
    <t>521-301-0578</t>
  </si>
  <si>
    <t>Пресс гидравлический (модель)</t>
  </si>
  <si>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</si>
  <si>
    <t>521-301-0579</t>
  </si>
  <si>
    <t>Прибор для измерения длины световой волны с набором дифракционных решеток</t>
  </si>
  <si>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</si>
  <si>
    <t>521-301-0580</t>
  </si>
  <si>
    <t>Маятник</t>
  </si>
  <si>
    <t>521-301-0580-0001</t>
  </si>
  <si>
    <t>Маятник математический типа Phywe 12972-00</t>
  </si>
  <si>
    <t>521-301-0580-0002</t>
  </si>
  <si>
    <t>Маятник баллистический Phywe P2131200</t>
  </si>
  <si>
    <t>521-301-0580-0003</t>
  </si>
  <si>
    <t>Маятник электростатический</t>
  </si>
  <si>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</si>
  <si>
    <t>521-301-0581</t>
  </si>
  <si>
    <t>Воздуходувка ВД-У</t>
  </si>
  <si>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</si>
  <si>
    <t>521-301-0582</t>
  </si>
  <si>
    <t>Батарея солнечная</t>
  </si>
  <si>
    <t>Состоит из кремниевых фотоэлементов, электрического двигателя соединенного с фотоэлементом.</t>
  </si>
  <si>
    <t>521-301-0583</t>
  </si>
  <si>
    <t>Лазер учебный</t>
  </si>
  <si>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</si>
  <si>
    <t>521-301-0584</t>
  </si>
  <si>
    <t>Авометр с гальванометром демонстрационный</t>
  </si>
  <si>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</si>
  <si>
    <t>521-301-0585</t>
  </si>
  <si>
    <t>Волновая машина</t>
  </si>
  <si>
    <t>Прибор предназначен для моделирования колебательного и волнового движения при изучении механических колебаний и волн на уроках физики.</t>
  </si>
  <si>
    <t>521-301-0586</t>
  </si>
  <si>
    <t>Электроскоп</t>
  </si>
  <si>
    <t>521-301-0586-0001</t>
  </si>
  <si>
    <t>Электроскоп пара</t>
  </si>
  <si>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</si>
  <si>
    <t>521-301-0587</t>
  </si>
  <si>
    <t>Генератор звуковой школьный</t>
  </si>
  <si>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</si>
  <si>
    <t>521-301-0588</t>
  </si>
  <si>
    <t>Осцилограф</t>
  </si>
  <si>
    <t>521-301-0588-0001</t>
  </si>
  <si>
    <t>Осцилограф демонстрационный цифровой двухканальный с 7-дюймовым цветным жидкокристаллическим дисплеем</t>
  </si>
  <si>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</si>
  <si>
    <t>521-301-0588-0002</t>
  </si>
  <si>
    <t>Осцилограф лабораторный</t>
  </si>
  <si>
    <t>Комплектность: осциллограф – 1 шт.,адаптер – 1 шт.,кабель типа
«тюльпан»  для подключения к телевизору – 1 шт.</t>
  </si>
  <si>
    <t>521-301-0589</t>
  </si>
  <si>
    <t>Озонатор</t>
  </si>
  <si>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</si>
  <si>
    <t>521-301-0590</t>
  </si>
  <si>
    <t>Гальванометр</t>
  </si>
  <si>
    <t>521-301-0590-0001</t>
  </si>
  <si>
    <t>Гальванометр лабораторный</t>
  </si>
  <si>
    <t>Материал: пластик + электронный компонент. Чувствительный диапазон:
-30-0-30μA. Размер: 133x97x100мм. Точность: ≤ 5%</t>
  </si>
  <si>
    <t>521-301-0591</t>
  </si>
  <si>
    <t>Плата для сборки электрических цепей</t>
  </si>
  <si>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</si>
  <si>
    <t>521-301-0700</t>
  </si>
  <si>
    <t>Лаборатория в чемодане</t>
  </si>
  <si>
    <t>521-301-0701</t>
  </si>
  <si>
    <t>Демонстрационный набор "Тепловые явления"</t>
  </si>
  <si>
    <t>521-301-0701-0001</t>
  </si>
  <si>
    <t>Микролаборатория по изучению тепловых явлений</t>
  </si>
  <si>
    <t>521-301-0702</t>
  </si>
  <si>
    <t>Набор демонстрационный "Оптика"</t>
  </si>
  <si>
    <t>521-301-0702-0001</t>
  </si>
  <si>
    <t>Набор демонстрационный для изучения оптики</t>
  </si>
  <si>
    <t>В набор входят: 1. щит-экран 2. щелевая панель 3. источник света 4. набор линз, зеркал, призм, светофильтров</t>
  </si>
  <si>
    <t>521-301-0702-0002</t>
  </si>
  <si>
    <t>Скамья оптическая</t>
  </si>
  <si>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</si>
  <si>
    <t>521-301-0704</t>
  </si>
  <si>
    <t>Демонстрационный набор "Электричество"</t>
  </si>
  <si>
    <t>521-301-0704-0001</t>
  </si>
  <si>
    <t>Лабораторный набор "Электричество"</t>
  </si>
  <si>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</si>
  <si>
    <t>521-301-0705</t>
  </si>
  <si>
    <t>Демонстрационный набор "Механика"</t>
  </si>
  <si>
    <t>521-301-0705-0001</t>
  </si>
  <si>
    <t>Набор демонстрационный для изучения
механики типа Experia PHE-011</t>
  </si>
  <si>
    <t>Винтовой микрометр (1 шт.) Штангенциркуль (1 шт.)
Баланс (1 шт.)
Груз (1 шт.)</t>
  </si>
  <si>
    <t>521-301-0705-0002</t>
  </si>
  <si>
    <t>Набор демонстрационный для изучения механики типа Cornelsen Experimenta 43080/44259</t>
  </si>
  <si>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</si>
  <si>
    <t>521-301-0705-0004</t>
  </si>
  <si>
    <t>Набор "Простые механизмы" типа
Fischertechnik</t>
  </si>
  <si>
    <t>В набор входит: Веревка Канатные шкивы Шестерни Колеса Оси Нить</t>
  </si>
  <si>
    <t>521-301-0705-0005</t>
  </si>
  <si>
    <t>Набор демонстрационный для изучения
механики</t>
  </si>
  <si>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</si>
  <si>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521-301-0705-0006</t>
  </si>
  <si>
    <t>Микролаборатория по изучению механики</t>
  </si>
  <si>
    <t>521-301-0705-0007</t>
  </si>
  <si>
    <t>Комплект демонстрационный по механике</t>
  </si>
  <si>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</si>
  <si>
    <t>521-301-0705-0008</t>
  </si>
  <si>
    <t>Тележка легкоподвижная с таймером</t>
  </si>
  <si>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</si>
  <si>
    <t>521-301-0706</t>
  </si>
  <si>
    <t>Учебный комплект для научных исследований "Возобновляемая энергия"</t>
  </si>
  <si>
    <t>521-301-0707</t>
  </si>
  <si>
    <t>Лабораторный комплект по механике</t>
  </si>
  <si>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</si>
  <si>
    <t>521-301-0708</t>
  </si>
  <si>
    <t>Набор лабораторный "Магнетизм"</t>
  </si>
  <si>
    <t>521-301-0708-0001</t>
  </si>
  <si>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</si>
  <si>
    <t>521-301-0708-0002</t>
  </si>
  <si>
    <t>Микролаборатория по изучению магнетизма</t>
  </si>
  <si>
    <t>521-301-0708-0003</t>
  </si>
  <si>
    <t>Набор "Магниты кольцевые на штативе"</t>
  </si>
  <si>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</si>
  <si>
    <t>521-301-0709</t>
  </si>
  <si>
    <t>Лабораторный набор "Оптика"</t>
  </si>
  <si>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</si>
  <si>
    <t>521-301-0710</t>
  </si>
  <si>
    <t>Комплект лабораторный по оптике</t>
  </si>
  <si>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</si>
  <si>
    <t>521-301-0711</t>
  </si>
  <si>
    <t>Комплект радиотехнический</t>
  </si>
  <si>
    <t>диоды – 6 шт;</t>
  </si>
  <si>
    <t>521-301-0712</t>
  </si>
  <si>
    <t>Набор "Альтернативные и возобновляемые
источники энергии"</t>
  </si>
  <si>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</si>
  <si>
    <t>521-301-0713</t>
  </si>
  <si>
    <t>Образовательный комплект для изучения
ветровой и гидроэнергии</t>
  </si>
  <si>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</si>
  <si>
    <t>521-301-0714</t>
  </si>
  <si>
    <t>Набор демонстрационный для изучения
оптики в кейсе</t>
  </si>
  <si>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</si>
  <si>
    <t>521-301-0715</t>
  </si>
  <si>
    <t>Набор демонстрационный для изучения
электростатики</t>
  </si>
  <si>
    <t>521-301-0715-0001</t>
  </si>
  <si>
    <t>Набор демонстрационный для изучения
электростатики типа Experia PHE-013</t>
  </si>
  <si>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</si>
  <si>
    <t>521-301-0715-0002</t>
  </si>
  <si>
    <t>Набор демонстрационный для изучения электростатики в комплекте с источником напряжения высоковольтным типа Cornelsen Experimenta 50332/44280, 50315/44207</t>
  </si>
  <si>
    <t>521-301-0715-0003</t>
  </si>
  <si>
    <t>Набор демонстрационный для изучения электростатики</t>
  </si>
  <si>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</si>
  <si>
    <t>521-301-0715-0004</t>
  </si>
  <si>
    <t>Микролаборатория по изучению электростатики</t>
  </si>
  <si>
    <t>521-301-0716</t>
  </si>
  <si>
    <t>Демонстрационный набор "Статика"</t>
  </si>
  <si>
    <t>521-301-0716-0001</t>
  </si>
  <si>
    <t>Набор "Статика" типа Fischertechnik</t>
  </si>
  <si>
    <t>В набор входит: Статические компоненты Угловой кронштейн Распорки Пружинный балансир</t>
  </si>
  <si>
    <t>521-301-0716-0002</t>
  </si>
  <si>
    <t>Микролаборатория по изучению гидростатики</t>
  </si>
  <si>
    <t>521-301-0716-0003</t>
  </si>
  <si>
    <t>Штатив изолирующий (пара)</t>
  </si>
  <si>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</si>
  <si>
    <t>521-301-0717</t>
  </si>
  <si>
    <t>Демонстрационный набор "Электроника"</t>
  </si>
  <si>
    <t>521-301-0717-0001</t>
  </si>
  <si>
    <t>Набор "Электроника" типа Fischertechnik</t>
  </si>
  <si>
    <t>В набор входит: мотор XS; кнопочные переключатели – 2 шт.; диоды – 2 шт.; транзисторы – 2 шт.; резисторы – 3 шт.; конденсаторы – 2 шт.; контейнер для батарейки 9В типа «Крона»;</t>
  </si>
  <si>
    <t>521-301-0718</t>
  </si>
  <si>
    <t>Альтернативная энергетика</t>
  </si>
  <si>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</si>
  <si>
    <t>521-301-0719</t>
  </si>
  <si>
    <t>Альтернативное образование - лаборатория ветра, солнца, воды и электричества</t>
  </si>
  <si>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</si>
  <si>
    <t>521-301-0720</t>
  </si>
  <si>
    <t>Образовательные лаборатории вертикальных ветряных турбин AC/DC</t>
  </si>
  <si>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</si>
  <si>
    <t>521-301-0721</t>
  </si>
  <si>
    <t>Гибридная система ветра и солнца</t>
  </si>
  <si>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</si>
  <si>
    <t>521-301-0722</t>
  </si>
  <si>
    <t>Система слежения за Солнцем</t>
  </si>
  <si>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</si>
  <si>
    <t>521-301-0723</t>
  </si>
  <si>
    <t>Основной комплект цифрового измерительного и лабораторного оборудования</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</si>
  <si>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</si>
  <si>
    <t>521-301-0724</t>
  </si>
  <si>
    <t>Набор учебный "Электрические машины"</t>
  </si>
  <si>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</si>
  <si>
    <t>521-301-0725</t>
  </si>
  <si>
    <t>Комплект учебный "Колебания и волны"</t>
  </si>
  <si>
    <t>521-301-0725-0001</t>
  </si>
  <si>
    <t>Комплект приборов для изучения
электромагнитных волн</t>
  </si>
  <si>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</si>
  <si>
    <t>521-301-0725-0002</t>
  </si>
  <si>
    <t>Комплект для демонстрации волновых
явлений</t>
  </si>
  <si>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</si>
  <si>
    <t>521-301-0725-0003</t>
  </si>
  <si>
    <t>Набор механических колебаний и волн</t>
  </si>
  <si>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</si>
  <si>
    <t>521-301-1100</t>
  </si>
  <si>
    <t>Приборы и принадлежности для кабинета
географии</t>
  </si>
  <si>
    <t>521-301-1101</t>
  </si>
  <si>
    <t>Анемометр</t>
  </si>
  <si>
    <t>521-301-1101-0001</t>
  </si>
  <si>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</si>
  <si>
    <t>521-301-1101-0002</t>
  </si>
  <si>
    <t>Анемометр типа Invicta 084059/42443</t>
  </si>
  <si>
    <t>521-301-1103</t>
  </si>
  <si>
    <t>Дождемер</t>
  </si>
  <si>
    <t>521-301-1103-0001</t>
  </si>
  <si>
    <t>Дождемер типа Invicta 084059/42443</t>
  </si>
  <si>
    <t>В комплекте: колба объемом 50 мл, со шкалой, цена деления которой 1мл; пластиковый штырь для установки в землю и пластиковая крышка.</t>
  </si>
  <si>
    <t>521-301-1122</t>
  </si>
  <si>
    <t>Дальномер электронный</t>
  </si>
  <si>
    <t>Дальномер электронный лазерный. Дисплей с подсветкой для считывания информации. Дальность измерения не менее 20 метров.</t>
  </si>
  <si>
    <t>521-301-1123</t>
  </si>
  <si>
    <t>Курвиметр</t>
  </si>
  <si>
    <t>521-301-1123-0001</t>
  </si>
  <si>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</si>
  <si>
    <t>521-301-1123-0002</t>
  </si>
  <si>
    <t>Курвиметр типа Invicta 050059/42411</t>
  </si>
  <si>
    <t>521-301-1124</t>
  </si>
  <si>
    <t>Флюгер</t>
  </si>
  <si>
    <t>521-301-1124-0001</t>
  </si>
  <si>
    <t>Флюгер типа Invicta 087559/42442</t>
  </si>
  <si>
    <t>521-301-1124-0002</t>
  </si>
  <si>
    <t>Флюгер (прибор д/определения направления и скорости ветра)</t>
  </si>
  <si>
    <t>521-301-1500</t>
  </si>
  <si>
    <t>Модели объемные, приборы и реактивы для кабинета биологии</t>
  </si>
  <si>
    <t>521-301-1549</t>
  </si>
  <si>
    <t>Скелет человека 170 см на роликовой подставке</t>
  </si>
  <si>
    <t>521-301-1550</t>
  </si>
  <si>
    <t>Лупа ручная</t>
  </si>
  <si>
    <t>521-301-1550-0001</t>
  </si>
  <si>
    <t>Лупа ручная d.60 мм</t>
  </si>
  <si>
    <t>Лупа ручная, диаметр не менее 60 мм, увеличение не менее 5-крат.</t>
  </si>
  <si>
    <t>521-301-1550-0002</t>
  </si>
  <si>
    <t>Лупа ручная d.50 мм</t>
  </si>
  <si>
    <t>Снабжена эргономичной ручкой изогнутой формы. Увеличение трехкратное. Диаметр линзы 50 мм.
Материал оправы - пластик. Материал линзы - стекло.</t>
  </si>
  <si>
    <t>521-301-1550-0003</t>
  </si>
  <si>
    <t>Лупа ручная d.80 мм</t>
  </si>
  <si>
    <t>521-301-1551</t>
  </si>
  <si>
    <t>Микроскоп преподавателя</t>
  </si>
  <si>
    <t>521-301-1551-0001</t>
  </si>
  <si>
    <t>Микроскоп преподавателя 1600х</t>
  </si>
  <si>
    <t>521-301-1552</t>
  </si>
  <si>
    <t>Микроскоп ученический</t>
  </si>
  <si>
    <t>521-301-1552-0001</t>
  </si>
  <si>
    <t>Микроскоп ученический 640х</t>
  </si>
  <si>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</si>
  <si>
    <t>521-301-1552-0002</t>
  </si>
  <si>
    <t>Микроскоп ученический с тремя объективами 4 х, 10 х, 40 х</t>
  </si>
  <si>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</si>
  <si>
    <t>521-301-1552-0003</t>
  </si>
  <si>
    <t>Микроскоп монокулярный с электроподсветкой</t>
  </si>
  <si>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</si>
  <si>
    <t>521-301-1552-0004</t>
  </si>
  <si>
    <t>Микроскоп цифровой типа Carson MM640</t>
  </si>
  <si>
    <t>521-301-1552-0005</t>
  </si>
  <si>
    <t>Микроскоп типа Foldscope, линза из боросиликатного стекла, увеличение 140-1000 крат/до 2мкм,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</si>
  <si>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</si>
  <si>
    <t>521-301-1552-0006</t>
  </si>
  <si>
    <t>Микроскоп типа Foldscope Mini, линза из боросиликатного стекла, увеличение 140крат,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</si>
  <si>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</si>
  <si>
    <t>521-301-1552-0007</t>
  </si>
  <si>
    <t>Микроскоп типа Foldscope, линза из боросиликатного стекла, увеличение
340-3500 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</si>
  <si>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</si>
  <si>
    <t>521-301-1600</t>
  </si>
  <si>
    <t>Лабораторная посуда, принадлежности, приборы для опытов, пособия и стенды для кабинета биологии</t>
  </si>
  <si>
    <t>521-301-1601</t>
  </si>
  <si>
    <t>Лабораторные принадлежности для опытов по биологии</t>
  </si>
  <si>
    <t>521-301-1602</t>
  </si>
  <si>
    <t>Гигрометр</t>
  </si>
  <si>
    <t>521-301-1602-0001</t>
  </si>
  <si>
    <t>Гигрометр типа ScienceCube, MDS-105. Диапазон:  +5°С+25°С</t>
  </si>
  <si>
    <t>521-301-1602-0002</t>
  </si>
  <si>
    <t>Гигрометр психрометрический</t>
  </si>
  <si>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</si>
  <si>
    <t>521-301-1605</t>
  </si>
  <si>
    <t>Биологическая лаборатория в чемодане</t>
  </si>
  <si>
    <t>521-301-1606</t>
  </si>
  <si>
    <t>Мини-лаборатория по гидропонике</t>
  </si>
  <si>
    <t>521-301-1606-0001</t>
  </si>
  <si>
    <t>Мини-лаборатория по гидропонике типа
HydroZen</t>
  </si>
  <si>
    <t>521-301-1606-0002</t>
  </si>
  <si>
    <t>Мини-лаборатория по гидропонике типа
ScienceCube, MDS-103</t>
  </si>
  <si>
    <t>521-301-1607</t>
  </si>
  <si>
    <t>Набор для исследований по естественным
наукам</t>
  </si>
  <si>
    <t>521-301-1607-0001</t>
  </si>
  <si>
    <t>Набор для исследований по естественным
наукам типа NaturePro Research Kit</t>
  </si>
  <si>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</si>
  <si>
    <t>521-301-1607-0002</t>
  </si>
  <si>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</si>
  <si>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</si>
  <si>
    <t>521-301-1608</t>
  </si>
  <si>
    <t>Набор химической посуды и принадлежностей для лабораторных работ по биологии</t>
  </si>
  <si>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</si>
  <si>
    <t>521-301-1609</t>
  </si>
  <si>
    <t>Набор химической посуды и принадлежностей по биологии для демонстрационных работ</t>
  </si>
  <si>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</si>
  <si>
    <t>521-301-1610</t>
  </si>
  <si>
    <t>Набор демонстрационный для изучения атмосферного давления</t>
  </si>
  <si>
    <t>521-301-1610-0001</t>
  </si>
  <si>
    <t>Набор демонстрационный для изучения атмосферного давления типа Experia PHE-010</t>
  </si>
  <si>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</si>
  <si>
    <t>521-301-1610-0002</t>
  </si>
  <si>
    <t>Набор демонстрационный для изучения атмосферного давления типа Cornelsen Experimenta 31710/44264</t>
  </si>
  <si>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</si>
  <si>
    <t>521-301-1610-0003</t>
  </si>
  <si>
    <t>Прибор для демонстрации атмосферного давления (Магдебурские полушария)</t>
  </si>
  <si>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</si>
  <si>
    <t>521-301-1611</t>
  </si>
  <si>
    <t>Микролаборатория для проведения наблюдений, лабораторных и практических работ по биологии</t>
  </si>
  <si>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</si>
  <si>
    <t>521-301-1612</t>
  </si>
  <si>
    <t>Набор для препарирования</t>
  </si>
  <si>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</si>
  <si>
    <t>521-301-1700</t>
  </si>
  <si>
    <t>Цифровая интерактивная лаборатория для экспериментов по биологии и химии</t>
  </si>
  <si>
    <t>521-301-1702</t>
  </si>
  <si>
    <t>Датчик газа О2</t>
  </si>
  <si>
    <t>521-301-1702-0001</t>
  </si>
  <si>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</si>
  <si>
    <t>521-301-1702-0002</t>
  </si>
  <si>
    <t>Einstein™Датчик кислорода (DO) (температурная компенсация) ENOXT422A. Диапазон: от 0 до 14 мг/л. Точность: ±5 % по всему диапазону (после калибровки).
Разрешение (12 бит): 0,003 мг/л</t>
  </si>
  <si>
    <t>521-301-1702-0003</t>
  </si>
  <si>
    <t>Einstein™Датчик кислорода (DO+газ) ENOXY-A222. Диапазон: от 0 до 14 мг/л. Точность: ±5 % по всему диапазону (после калибровки). Разрешение (12 бит): 0,003 мг/л</t>
  </si>
  <si>
    <t>521-301-1702-0004</t>
  </si>
  <si>
    <t>Датчик уровня кислорода беспроводной типа Phywe Cobra SMARTsense Oxygen 12933-01. Диапазон: 0-20 мг/л. Разрешение: 0.01 мг/л.
Диапазон: 0-100 %. Разрешение: 0.1 %.
Частота: 10 Гц</t>
  </si>
  <si>
    <t>521-301-1702-0005</t>
  </si>
  <si>
    <t>Датчик уровня кислорода беспроводной типа ScienceCube, WL113O2 Wireless Oxygen Gas. Диапазон: 0-25%. Разрешение: 0,1 mV. Диапозон: +/-5 мТл</t>
  </si>
  <si>
    <t>521-301-1702-0006</t>
  </si>
  <si>
    <t>Датчик растворенного кислорода типа Sense disc S1005. Диапазон: 0-20 мг/л, 0-100%.
Точность: +/-0.5 мг/л, +/-2%. Разрешение:
0.1 мг/л, +/-2%</t>
  </si>
  <si>
    <t>521-301-1702-0007</t>
  </si>
  <si>
    <t>Датчик уровня кислорода типа MicroLab Mlab_o2. Диапазон измерения 0-25%.
Чувствительность 0,05-0,15 мА (в воздухе)</t>
  </si>
  <si>
    <t>521-301-1702-0008</t>
  </si>
  <si>
    <t>Датчик кислорода. Диапазон измерения: от 0 до 12,5 мг/л DO2. Точность: +/-2% во всем диапазоне</t>
  </si>
  <si>
    <t>521-301-1702-0009</t>
  </si>
  <si>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</si>
  <si>
    <t>521-301-1703</t>
  </si>
  <si>
    <t>Датчик газа СО2</t>
  </si>
  <si>
    <t>521-301-1703-0001</t>
  </si>
  <si>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</si>
  <si>
    <t>521-301-1703-0002</t>
  </si>
  <si>
    <t>Einstein™ Датчик углекислого газа ENCO2B040A. Диапазон: от 350 до 10 000 частей на миллион. Точность: ±50 частей на миллион,  ± 5% полной шкалы.</t>
  </si>
  <si>
    <t>521-301-1703-0003</t>
  </si>
  <si>
    <t>Внешний датчик углекислого газа Globisense. Диапазон:от 0 до 5000 частей на миллион, коммуникация:±50 частей на миллион</t>
  </si>
  <si>
    <t>521-301-1703-0004</t>
  </si>
  <si>
    <t>Датчик уровня углекислого газа беспроводной типа Phywe Cobra SMARTsense CO2 12932-01. Диапазон:
0-100000 ppm. Разрешение: 2 ppm. Частота:
1 Гц</t>
  </si>
  <si>
    <t>521-301-1703-0005</t>
  </si>
  <si>
    <t>Датчик уровня углекислого газа беспроводной типа ScienceCube, WL111CO2 Wireless CO2 Gas. Диапазон: 0-5,000 ч/млн. Разрешение: 1 ч/млн. Диапазон: +/-5 мТл</t>
  </si>
  <si>
    <t>521-301-1703-0006</t>
  </si>
  <si>
    <t>Датчик углекислого газа CO2 типа Sense disc S1007. Диапазон: 0-100000 ppm.
Разрешение: 2 ppm</t>
  </si>
  <si>
    <t>521-301-1703-0007</t>
  </si>
  <si>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</si>
  <si>
    <t>521-301-1703-0008</t>
  </si>
  <si>
    <t>Датчик углекислого газа. Диапазон измерения: от 350 до 5000 мд (ppm). Точность: +/-20 %</t>
  </si>
  <si>
    <t>521-301-1704</t>
  </si>
  <si>
    <t>Датчик давления</t>
  </si>
  <si>
    <t>521-301-1704-0001</t>
  </si>
  <si>
    <t>Датчик давления газа беспроводной Go Direct GDX-GP. Диапазон: от 0 до 400 кПа. Цена деления: 0,03 кПа. Точность ± 3 кПа. Внутренний объем: 0,8 мл</t>
  </si>
  <si>
    <t>521-301-1704-0002</t>
  </si>
  <si>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</si>
  <si>
    <t>521-301-1704-0003</t>
  </si>
  <si>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</si>
  <si>
    <t>521-301-1704-0004</t>
  </si>
  <si>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</si>
  <si>
    <t>521-301-1704-0005</t>
  </si>
  <si>
    <t>Einstein™ Датчик давления газа (400 кПа) ENPRS015-4. Диапазон: 20-400 кПа.
Точность: ±1,5 % по всему диапазону. Разрешение (12 бит): 0,10 кПа</t>
  </si>
  <si>
    <t>521-301-1704-0006</t>
  </si>
  <si>
    <t>Einstein™ Датчик давления (барометрическое давление) ENPRS015. Диапазон: от 150 до 1150 мбар. Точность:
+/-1,5 % по всему диапазону. Разрешение (12 бит): 0,27 мбар</t>
  </si>
  <si>
    <t>521-301-1704-0007</t>
  </si>
  <si>
    <t>Датчик абсолютного давления беспроводной типа Phywe Cobra SMARTsense Absolute Pressure 12905-01. Диапазон: 20-400 кПа.
Разрешение: 0.1 кПа. Частота измерений: 500 Гц</t>
  </si>
  <si>
    <t>521-301-1704-0008</t>
  </si>
  <si>
    <t>Датчик для измерения артериального давления беспроводной типа Phywe Cobra SMARTsense Blood Pressure 12944-00.
Диапазон: 0 ... 375 мм рт. ст. Разрешение:
0.05 мм рт. ст. Частота: 500 Гц</t>
  </si>
  <si>
    <t>521-301-1704-0009</t>
  </si>
  <si>
    <t>Датчик давления газа беспроводной типа ScienceCube,WL103P.   Диапазон:
-1000~+3000 гПа.Точность: +/-1%. Разрешение: 0,244 гПа</t>
  </si>
  <si>
    <t>521-301-1704-0010</t>
  </si>
  <si>
    <t>Датчик атмосферного давления беспроводной типа WL116, ScienceCube. Диапазон: -650+650 ГПа. Разрешение: 0,355 ГПа</t>
  </si>
  <si>
    <t>521-301-1704-0011</t>
  </si>
  <si>
    <t>Датчик абсолютного давления типа Sense disc S0024. Диапазон: 0-400 кПа. Точность:
+/-6 кПа. Разрешение: 0.1 кПа</t>
  </si>
  <si>
    <t>521-301-1704-0012</t>
  </si>
  <si>
    <t>Датчик относительного давления типа Sense disc S0025. Диапазон: -20 кПа+20 кПа.
Точность: 0.01 кПа. Разрешение: +/-5%</t>
  </si>
  <si>
    <t>521-301-1704-0013</t>
  </si>
  <si>
    <t>Датчик давления газа типа MicroLab Mlab_gaspressure. Диапазон от 15 кПа до 700 кПа</t>
  </si>
  <si>
    <t>521-301-1704-0014</t>
  </si>
  <si>
    <t>Датчик атмосферного давления типа MicroLab Mlab_pressure. Диапазон измерения 300–1100 гПа (1 гПа = сто Па) с точностью +/-1,0 гПа</t>
  </si>
  <si>
    <t>521-301-1704-0015</t>
  </si>
  <si>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</si>
  <si>
    <t>521-301-1704-0016</t>
  </si>
  <si>
    <t>Датчик атмосферного давления. Диапазон измерения: 0- 2,068 гПа. Разрешение: 0,6 гПа</t>
  </si>
  <si>
    <t>521-301-1706</t>
  </si>
  <si>
    <t>Датчик температуры</t>
  </si>
  <si>
    <t>521-301-1706-0001</t>
  </si>
  <si>
    <t>Датчик температуры беспроводной Go Direct GDX-TMP. Диапазон: от -40 до 125 ° C. Норма для корпуса: 10 — 45 ° C. Цена деления: 0,07 ° C. Точность: ± 0,3 ° C</t>
  </si>
  <si>
    <t>521-301-1706-0002</t>
  </si>
  <si>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</si>
  <si>
    <t>521-301-1706-0003</t>
  </si>
  <si>
    <t>Einstein™ Датчик солености + температуры ENSLT. Диапазон: 24 - 52 000 ppm.
Точность: +/-8 % по всему диапазону. Разрешение (12 бит): 12 стр./мин</t>
  </si>
  <si>
    <t>521-301-1706-0004</t>
  </si>
  <si>
    <t>Einstein™ Датчик температуры поверхности (-40 to 140 °C) ENTMP060. Диапазон: от -40 до 140°C. Диапазон: от -40 до 284°F. Точность: ±2% по всему диапазону.
Разрешение (12 бит): 0,03%</t>
  </si>
  <si>
    <t>521-301-1706-0005</t>
  </si>
  <si>
    <t>Einstein™ Датчик универсальный температуры (-40 to 140 °C) ENTMP029. Диапазон: от -40 до 140°C, от -40 до 284°F, от 233,15 до 413,15 К. Точность: ±2% по
всему диапазону. Разрешение (12 бит): 0,03
°C</t>
  </si>
  <si>
    <t>521-301-1706-0006</t>
  </si>
  <si>
    <t>Einstein™ Датчик температуры PT-100 (-200 to 400 °C) ENTMP027. Диапазон: от -200 до 400 °C, от -328 до 752 °F, 73.15 до 673.15
тыс. Точность: ±2% по всему диапазону. Разрешение (12 бит): 0,15 °C</t>
  </si>
  <si>
    <t>521-301-1706-0007</t>
  </si>
  <si>
    <t>Einstein™ Датчик температуры-термопара ENTMP025. Диапазон: от -40 до 140 °C, от
-40 до 284 °F, 233.15 до 413.15 тыс.
Точность: +/-2% по всему диапазону. Разрешение (12 бит): 0,03 °C</t>
  </si>
  <si>
    <t>521-301-1706-0008</t>
  </si>
  <si>
    <t>Внешний датчик температуры из нержавеющей стали Globisense. Диапазон: от
-25 до +125°С. Точность:+/-2 °С</t>
  </si>
  <si>
    <t>521-301-1706-0009</t>
  </si>
  <si>
    <t>Датчик температуры беспроводной типа Phywe Cobra SMARTsense Temperature 12903-00. Диапазон: -40+120 °C.
Разрешение: 0.01°. Частота измерений: 10 Гц</t>
  </si>
  <si>
    <t>521-301-1706-0010</t>
  </si>
  <si>
    <t>Датчик для измерения температуры высокочувствительный беспроводной типа Phywe Cobra SMARTsense Thermocouple 12938-01. Диапазон: -200°C+1200°C.
Разрешение: 0.4°C. Частота: 10 Гц</t>
  </si>
  <si>
    <t>521-301-1706-0011</t>
  </si>
  <si>
    <t>Датчик температуры беспроводной типа ScienceCube, WL100T. Диапазон: от -40°C до
+125°C. Точность измерения: +/-0.5°C. Разрешение: +/-0.625°C</t>
  </si>
  <si>
    <t>521-301-1706-0012</t>
  </si>
  <si>
    <t>Датчик инфракрасного термометра типа Sense disc S0010. Диапазон: -70℃+380℃. Разрешение: 0.1℃</t>
  </si>
  <si>
    <t>521-301-1706-0013</t>
  </si>
  <si>
    <t>Датчик температуры окружающей среды типа Sense disc S0012. Диапазон:
-30℃+150℃. Точность: +/-0.8℃ (0-100℃). Разрешение: 0.1℃</t>
  </si>
  <si>
    <t>521-301-1706-0014</t>
  </si>
  <si>
    <t>Датчик  термопара типа Sense disc S0013. Диапазон: -200℃+1200℃. Точность: +/-6℃. Разрешение: 0.25℃</t>
  </si>
  <si>
    <t>521-301-1706-0015</t>
  </si>
  <si>
    <t>Датчик температуры типа MicroLab Mlab_temp. Диапазон измерения: -50+600°С</t>
  </si>
  <si>
    <t>521-301-1706-0016</t>
  </si>
  <si>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</si>
  <si>
    <t>521-301-1706-0017</t>
  </si>
  <si>
    <t>Датчик термоэлектрический (термопара). Диапазон измерения: от 0°С до +1200°С. Разрешение: 0,3°С</t>
  </si>
  <si>
    <t>521-301-1707</t>
  </si>
  <si>
    <t>Датчик частоты сердечных сокращений</t>
  </si>
  <si>
    <t>521-301-1707-0001</t>
  </si>
  <si>
    <t>Einstein™ Датчик частоты сердечных сокращений (при физических нагрузках) ENEXRT298. Диапазон импульса: 0 – 250 уд/мин (ударов в минуту)</t>
  </si>
  <si>
    <t>521-301-1707-0002</t>
  </si>
  <si>
    <t>Датчик беспроводной для измерения частоты сердечных сокращений беспроводной типа Phywe Cobra SMARTsense Heart Rate 12935-01. Диапазон: 30-200 ударов в минуту</t>
  </si>
  <si>
    <t>521-301-1707-0003</t>
  </si>
  <si>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</si>
  <si>
    <t>521-301-1708</t>
  </si>
  <si>
    <t>Датчик электрокардиограммы</t>
  </si>
  <si>
    <t>521-301-1708-0001</t>
  </si>
  <si>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</si>
  <si>
    <t>521-301-1708-0002</t>
  </si>
  <si>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</si>
  <si>
    <t>521-301-1708-0003</t>
  </si>
  <si>
    <t>Einstein™датчик ЭКГ ENEKG189. Диапазон: от 0 до 3 В. Разрешение (12 бит): 732 мкВ</t>
  </si>
  <si>
    <t>521-301-1708-0004</t>
  </si>
  <si>
    <t>Датчик электрокардиограммы беспроводной типа Phywe Cobra SMARTsense EKG
12934-01. Диапазон: 0-4,5 мВ. Разрешение:
4,5 мкВ. Частота измерений: 1000 Гц</t>
  </si>
  <si>
    <t>521-301-1708-0005</t>
  </si>
  <si>
    <t>Датчик электрокардиограммы беспроводной типа ScienceCube, WL121EKG  Wireless EKG (ECG). Диапазон: 0-5 мВ. Разрешение: 5uV</t>
  </si>
  <si>
    <t>521-301-1708-0006</t>
  </si>
  <si>
    <t>Датчик ЭКГ типа Sense disc S1011. Диапазон: -1 мВ+5 мВ</t>
  </si>
  <si>
    <t>521-301-1708-0007</t>
  </si>
  <si>
    <t>Датчик электрокардиограммы типа MicroLab Mlab_ecg. Диапазаон измерений 1.5В - 3.3В. В комплекте одноразовые кожные электроды</t>
  </si>
  <si>
    <t>521-301-1709</t>
  </si>
  <si>
    <t>Датчик электропроводности</t>
  </si>
  <si>
    <t>521-301-1709-0001</t>
  </si>
  <si>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</si>
  <si>
    <t>521-301-1709-0002</t>
  </si>
  <si>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</si>
  <si>
    <t>521-301-1709-0003</t>
  </si>
  <si>
    <t>Einstein™ Датчик проводимости температуры ENCNT435A. Диапазон: 0,05–80 мс. Точность: ±8 % по всему диапазону. Разрешение (12 бит): 5 мкс</t>
  </si>
  <si>
    <t>521-301-1709-0004</t>
  </si>
  <si>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</si>
  <si>
    <t>521-301-1709-0005</t>
  </si>
  <si>
    <t>Датчик проводимости беспроводной типа ScienceCube, WL107EC. Диапазон: 0-20000 мкСм, Разрешение 0,3 мкСм/см</t>
  </si>
  <si>
    <t>521-301-1709-0006</t>
  </si>
  <si>
    <t>Датчик проводимости типа Sense disc S1003. Точность: +/-4%. Диапазон: 0-20000 мкСм/см. Разрешение: 6 мкСм/см</t>
  </si>
  <si>
    <t>521-301-1709-0007</t>
  </si>
  <si>
    <t>Датчик проводимости типа MicroLab Mlab_conductivity. Рабочее напряжение 3,3В/5В. Диапазон 0–2000 мкс/см.
Разрешение +/-5% (STP). Рабочая температура 5–80℃</t>
  </si>
  <si>
    <t>521-301-1709-0008</t>
  </si>
  <si>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</si>
  <si>
    <t>521-301-1710</t>
  </si>
  <si>
    <t>Колориметр</t>
  </si>
  <si>
    <t>521-301-1710-0001</t>
  </si>
  <si>
    <t>Колориметр беспроводной Go Direct GDX-COL. Диапазон: 0 — 3 (абсорбция).
Полезный диапазон: 0,05-1,0. Коэффициент пропускания от 90% до 10% (% T). Длины волн: 430 нм, 470 нм, 565 нм, 635 нм</t>
  </si>
  <si>
    <t>521-301-1710-0002</t>
  </si>
  <si>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</si>
  <si>
    <t>521-301-1710-0003</t>
  </si>
  <si>
    <t>Датчик колориметр беспроводной типа Phywe Cobra SMARTsense Colorimeter 12924-01. Диапазон измерения: 0 ... 400 NTU. Разрешение: 0.1 NTU</t>
  </si>
  <si>
    <t>521-301-1710-0004</t>
  </si>
  <si>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</si>
  <si>
    <t>521-301-1710-0005</t>
  </si>
  <si>
    <t>Датчик колориметр типа MicroLab Mlab_colorimeter. Коэффициент пропускания: 20–90 %. Точность +/-10 %. Разрешение (12 бит): 0,03 %</t>
  </si>
  <si>
    <t>521-301-1710-0006</t>
  </si>
  <si>
    <t>Датчик колориметр типа Einstein
ENCOL-A185. Коэффициент пропускания: 20-90%. Точность +/-10. Разрешение (12
бит): 0,03%. Объем ячейки: 3,5 куб.см. Ширина ячейки: 1 см</t>
  </si>
  <si>
    <t>521-301-1711</t>
  </si>
  <si>
    <t>Микроскоп цифровой портативный USB</t>
  </si>
  <si>
    <t>521-301-1712</t>
  </si>
  <si>
    <t>Спирометр</t>
  </si>
  <si>
    <t>521-301-1712-0001</t>
  </si>
  <si>
    <t>Внешний датчик дыхания Globisense. Диапазон:+/-200 л/мин</t>
  </si>
  <si>
    <t>521-301-1712-0002</t>
  </si>
  <si>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</si>
  <si>
    <t>521-301-1712-0003</t>
  </si>
  <si>
    <t>Датчик спирометр типа Sense disc S1012. Диапазон: -10 л/с+10 л/с. Точность: +/-3%. Разрешение: 0.01 л/с</t>
  </si>
  <si>
    <t>521-301-1713</t>
  </si>
  <si>
    <t>Датчик рН</t>
  </si>
  <si>
    <t>521-301-1713-0001</t>
  </si>
  <si>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</si>
  <si>
    <t>521-301-1713-0002</t>
  </si>
  <si>
    <t>Einstein™ Датчик PH с обычным электродом ENPH-A016. Диапазон: от 0 до 14 pH. Точность: ±2 % по всему диапазону после температурной компенсации. Разрешение (12 бит): 0,004 pH</t>
  </si>
  <si>
    <t>521-301-1713-0003</t>
  </si>
  <si>
    <t>Датчик измерений качества воды беспроводной pH типа Phywe Cobra SMARTsense pH 12921-00. Диапазон: 0-14.
Разрешение: 0.01. Частота измерений: 100 Гц</t>
  </si>
  <si>
    <t>521-301-1713-0004</t>
  </si>
  <si>
    <t>Датчик измерений качества воды беспроводной (pH) типа ScienceCube, WL104PH. Диапазон: от 0 до 14. Точность:
+/-0.1 pH. Разрешение: 0.01 pH</t>
  </si>
  <si>
    <t>521-301-1713-0005</t>
  </si>
  <si>
    <t>Датчик pH типа Sense disc S1002. Диапазон:
0-14. Точность: +/-0.2pH. Разрешение: 0.01</t>
  </si>
  <si>
    <t>521-301-1713-0006</t>
  </si>
  <si>
    <t>Датчик измерений качества воды (pH) типа MicroLab Mlab_ph. Рабочее напряжение 3,3 В/5 В. Диапазон 0-14PH. Разрешение
+/-0,15PH (STP)</t>
  </si>
  <si>
    <t>521-301-1713-0007</t>
  </si>
  <si>
    <t>Датчик рН. Диапазон измерения: от 0 до 14 рН. Точность: +/- 2%. Разрешение: 0,004 рН</t>
  </si>
  <si>
    <t>521-301-1714</t>
  </si>
  <si>
    <t>Датчик пульса</t>
  </si>
  <si>
    <t>521-301-1714-0001</t>
  </si>
  <si>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</si>
  <si>
    <t>521-301-1714-0002</t>
  </si>
  <si>
    <t>Датчик пульса беспроводной типа Phywe Cobra SMARTsense Heart Rate 12935-01. Диапазон: 30-200 ударов в минуту.
Разрешение: 1  ударов в минуту. Частота измерений: 10 Гц</t>
  </si>
  <si>
    <t>521-301-1714-0003</t>
  </si>
  <si>
    <t>Датчик пульса типа Sense disc S1024. Диапазон: 0-200 уд/мин. Точность: +/-2 уд/мин. Разрешение: 1 уд/мин</t>
  </si>
  <si>
    <t>521-301-1714-0004</t>
  </si>
  <si>
    <t>Датчик пульса типа MicroLab Mlab_pulse. Рабочая температура: -20+60 ℃. Входящая частота 6.8MГц. Частота измерений (fps) до 3000. Диапазон измерений 30-210 ударов в минуту</t>
  </si>
  <si>
    <t>521-301-1714-0005</t>
  </si>
  <si>
    <t>Датчик пульса. Диапазон измерения частоты пульса от 40 до 200 ударов\мин. Диапазон рабочих температур от 10 до 35 градусов</t>
  </si>
  <si>
    <t>521-301-1715</t>
  </si>
  <si>
    <t>Датчик влажности</t>
  </si>
  <si>
    <t>521-301-1715-0001</t>
  </si>
  <si>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</si>
  <si>
    <t>521-301-1715-0002</t>
  </si>
  <si>
    <t>Einstein™ Датчик влажности ENHMD014. Диапазон: от 0 до 100 % относительной влажности. Точность: ±3 % (от 10 до 90 % относительной влажности</t>
  </si>
  <si>
    <t>521-301-1715-0003</t>
  </si>
  <si>
    <t>Einstein™ Датчик влажности + температуры ENHMT041. Диапазон: от 0 до 100 % относительной влажности. Точность: ±3 % (от 10 до 90 % относительной влажности</t>
  </si>
  <si>
    <t>521-301-1715-0004</t>
  </si>
  <si>
    <t>Einstein™ Датчик влажности почвы
ENSOI-A171. Диапазон: от 0 до 200 кбар, от 0 до 200 кПа. Точность: +/-2 % по всему диапазону. Разрешение (12 бит): 0,05 cbar</t>
  </si>
  <si>
    <t>521-301-1715-0005</t>
  </si>
  <si>
    <t>Датчик влажности почвы беспроводной типа Phywe Cobra SMARTsense Relative Humidity 12931-01. 0-100 %. Разрешение: 0.1 %.
Частота измерений: 10</t>
  </si>
  <si>
    <t>521-301-1715-0006</t>
  </si>
  <si>
    <t>Датчик влажности почвы беспроводной типа ScienceCube, WL117H. Диапазон: от 0% до 100% относительной влажности.
Разрешение: 2%</t>
  </si>
  <si>
    <t>521-301-1715-0007</t>
  </si>
  <si>
    <t>Датчик влажности типа Sense disc S1008. Диапазон: 0-100%. Точность: +/-4%.
Разрешение: 0.1%</t>
  </si>
  <si>
    <t>521-301-1715-0008</t>
  </si>
  <si>
    <t>Датчик влажности почвы типа MicroLab Mlab_moisture. Точность: +/-2 % по всему диапазону. Разрешение (12 бит): 0,05 сбар. Частота дискретизации по умолчанию: 10 выборок в секунду</t>
  </si>
  <si>
    <t>521-301-1715-0009</t>
  </si>
  <si>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</si>
  <si>
    <t>521-301-1716</t>
  </si>
  <si>
    <t>Цифровая лаборатория по естественным наукам</t>
  </si>
  <si>
    <t>521-301-1716-0001</t>
  </si>
  <si>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</si>
  <si>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</si>
  <si>
    <t>521-301-1716-0002</t>
  </si>
  <si>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</si>
  <si>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</si>
  <si>
    <t>521-301-1716-0003</t>
  </si>
  <si>
    <t>Лаборатория цифровая мобильная по естественным наукам с методическими материалами типа ScienceCube Pro в комплекте с датчиками</t>
  </si>
  <si>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</si>
  <si>
    <t>521-301-1717</t>
  </si>
  <si>
    <t>521-301-1717-0001</t>
  </si>
  <si>
    <t>Einstein™ Анемометр ENANM012A. Скорость ветра. Запас хода: от 1 до 322 км/ч; от 1 до 174 миль в час. Разрешение: 0,1 км/ч. Точность: ± 5%</t>
  </si>
  <si>
    <t>521-301-1718</t>
  </si>
  <si>
    <t>Датчик сердечного ритма</t>
  </si>
  <si>
    <t>521-301-1718-0001</t>
  </si>
  <si>
    <t>Einstein™ Датчик сердечного ритма (пульс) ENHRT-A155. Импульс диапазона: 0 – 250 ударов в минуту.  Форма сигнала диапазона: 0 – 3 В</t>
  </si>
  <si>
    <t>521-301-1718-0002</t>
  </si>
  <si>
    <t>Внешний датчик сердечного ритма Globisense. Диапазон: от 0 до 5В. Точность:+/-2 %</t>
  </si>
  <si>
    <t>521-301-1718-0003</t>
  </si>
  <si>
    <t>Датчик сердечного ритма типа ScienceCube, KDS-1070 Heart Rate Monitor. Диапазон:
0-250 уд/мин. Разрешение: 1 уд/мин</t>
  </si>
  <si>
    <t>521-301-1719</t>
  </si>
  <si>
    <t>Датчик мутности</t>
  </si>
  <si>
    <t>521-301-1719-0001</t>
  </si>
  <si>
    <t>Einstein™ Датчик мутности ENTRB-A095. Диапазон: от 0 до 200 NTU. Точность: 20% по всему диапазону. Разрешение (12 бит): 0,25 NTU</t>
  </si>
  <si>
    <t>521-301-1719-0002</t>
  </si>
  <si>
    <t>Датчик мутности растворов типа ScienceCube, WL128ST Turbidity Sensor. Диапазон: 0 до 200 НТУ. Разрешение: 0,25 НТУ. Точность: +/-2 НТУ</t>
  </si>
  <si>
    <t>521-301-1719-0003</t>
  </si>
  <si>
    <t>Датчик мутности растворов типа MicroLab Mlab_turbidity. Диапазон измерений 0–4500 NTU</t>
  </si>
  <si>
    <t>521-301-1720</t>
  </si>
  <si>
    <t>Цифровая лаборатория по естествознанию Globisense Labdisc GENSCI - K-12 general science со встроенными датчиками</t>
  </si>
  <si>
    <t>521-301-1721</t>
  </si>
  <si>
    <t>Цифровая лаборатория по биологии/химии Globisense, Labdisc , BIO-CHEM - 9-12 Chemistry со встроенными датчиками</t>
  </si>
  <si>
    <t>521-301-1722</t>
  </si>
  <si>
    <t>Лаборатория цифровая по экологии</t>
  </si>
  <si>
    <t>521-301-1722-0001</t>
  </si>
  <si>
    <t>Лаборатория цифровая по науке об окружающей среде типа Globisense Labdisc ENVIRO - K-12 Environmental science со встроенными датчиками</t>
  </si>
  <si>
    <t>521-301-1722-0002</t>
  </si>
  <si>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</si>
  <si>
    <t>521-301-1723</t>
  </si>
  <si>
    <t>Погодная станция</t>
  </si>
  <si>
    <t>521-301-1723-0001</t>
  </si>
  <si>
    <t>Погодная станция беспроводная типа Phywe Cobra SMARTsense Weatherstation 12946-00</t>
  </si>
  <si>
    <t>521-301-1723-0002</t>
  </si>
  <si>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</si>
  <si>
    <t>521-301-1724</t>
  </si>
  <si>
    <t>Лаборатория цифровая по химии</t>
  </si>
  <si>
    <t>521-301-1724-0001</t>
  </si>
  <si>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</si>
  <si>
    <t>521-301-1725</t>
  </si>
  <si>
    <t>Лаборатория цифровая по биологии</t>
  </si>
  <si>
    <t>521-301-1725-0001</t>
  </si>
  <si>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</si>
  <si>
    <t>521-301-1725-0002</t>
  </si>
  <si>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</si>
  <si>
    <t>521-301-1726</t>
  </si>
  <si>
    <t>Датчик счетчика капель</t>
  </si>
  <si>
    <t>521-301-1726-0001</t>
  </si>
  <si>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</si>
  <si>
    <t>521-301-1800</t>
  </si>
  <si>
    <t>Кабинет химии и лаборантская</t>
  </si>
  <si>
    <t>521-301-1801</t>
  </si>
  <si>
    <t>Шкаф вытяжной демонстрационный</t>
  </si>
  <si>
    <t>521-301-1801-0001</t>
  </si>
  <si>
    <t>Шкаф вытяжной демонстрационный с защитным экраном, раковиной и смесителем 1200х690х2200мм</t>
  </si>
  <si>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</si>
  <si>
    <t>521-301-1801-0002</t>
  </si>
  <si>
    <t>Шкаф вытяжной демонстрационный с защитным экраном, раковиной и смесителем 900х640х2087мм</t>
  </si>
  <si>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</si>
  <si>
    <t>521-301-1801-0003</t>
  </si>
  <si>
    <t>Шкаф вытяжной демонстрационный с защитным экраном, раковиной и смесителем 1200х700х2200мм</t>
  </si>
  <si>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</si>
  <si>
    <t>521-301-1801-0004</t>
  </si>
  <si>
    <t>Шкаф вытяжной демонстрационный с защитным экраном, раковиной и смесителем 1200х600х2200мм</t>
  </si>
  <si>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</si>
  <si>
    <t>521-301-1801-0005</t>
  </si>
  <si>
    <t>Шкаф вытяжной демонстрационный с защитным экраном, раковиной и смесителем 1200х600х2000мм</t>
  </si>
  <si>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</si>
  <si>
    <t>521-301-1801-0006</t>
  </si>
  <si>
    <t>Шкаф вытяжной демонстрационный с защитным экраном и раковиной, размер 1100х600х2400мм</t>
  </si>
  <si>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</si>
  <si>
    <t>521-301-1801-0007</t>
  </si>
  <si>
    <t>Шкаф вытяжной металлический демонстрационный с защитным экраном, раковиной и смесителем 1500х850х2350мм</t>
  </si>
  <si>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</si>
  <si>
    <t>521-301-1802</t>
  </si>
  <si>
    <t>Тележка пластиковая с 4 лотками</t>
  </si>
  <si>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</si>
  <si>
    <t>521-301-1803</t>
  </si>
  <si>
    <t>Шкаф металлический для реактивов</t>
  </si>
  <si>
    <t>521-301-1803-0001</t>
  </si>
  <si>
    <t>Шкаф для химических реактивов 800*500*1800</t>
  </si>
  <si>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</si>
  <si>
    <t>521-301-1803-0002</t>
  </si>
  <si>
    <t>Шкаф для химических реактивов 900х420х1920</t>
  </si>
  <si>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</si>
  <si>
    <t>521-301-1803-0003</t>
  </si>
  <si>
    <t>Шкаф для химических реактивов пожарозащищенный 500х500х900</t>
  </si>
  <si>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</si>
  <si>
    <t>521-301-1803-0004</t>
  </si>
  <si>
    <t>Шкаф для химических реактивов 800х400х1750мм</t>
  </si>
  <si>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</si>
  <si>
    <t>521-301-1805</t>
  </si>
  <si>
    <t>Стол демонстрационный с раковиной</t>
  </si>
  <si>
    <t>521-301-1805-0001</t>
  </si>
  <si>
    <t>Стол демонстрационный с раковиной
(составной из двух столов) 2400*750*750мм</t>
  </si>
  <si>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</si>
  <si>
    <t>521-301-1805-0002</t>
  </si>
  <si>
    <t>Стол демонстрационный с раковиной
2800*600*900мм столешница-постформинг</t>
  </si>
  <si>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</si>
  <si>
    <t>521-301-1805-0003</t>
  </si>
  <si>
    <t>Стол демонстрационный с раковиной
2800*700*900мм столешница-керамо-плитка</t>
  </si>
  <si>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</si>
  <si>
    <t>521-301-1805-0004</t>
  </si>
  <si>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</si>
  <si>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</si>
  <si>
    <t>521-301-1805-0005</t>
  </si>
  <si>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</si>
  <si>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</si>
  <si>
    <t>521-301-1805-0006</t>
  </si>
  <si>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</si>
  <si>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</si>
  <si>
    <t>521-301-1805-0007</t>
  </si>
  <si>
    <t>Стол демонстрационный с раковиной, розетками, размер 2000*750*900мм</t>
  </si>
  <si>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</si>
  <si>
    <t>521-301-1805-0008</t>
  </si>
  <si>
    <t>Стол демонстрационный с раковиной и письменным столом в комплекте, столешница постформинг 25мм, размер 2400х600х900(750) мм</t>
  </si>
  <si>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</si>
  <si>
    <t>521-301-1805-0010</t>
  </si>
  <si>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</si>
  <si>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</si>
  <si>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521-301-1806</t>
  </si>
  <si>
    <t>Шкаф лабораторный для хранения методических материалов, наборов и посуды</t>
  </si>
  <si>
    <t>521-301-1806-0001</t>
  </si>
  <si>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</si>
  <si>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</si>
  <si>
    <t>521-301-1806-0002</t>
  </si>
  <si>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</si>
  <si>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</si>
  <si>
    <t>521-301-1806-0003</t>
  </si>
  <si>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</si>
  <si>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</si>
  <si>
    <t>521-301-1806-0004</t>
  </si>
  <si>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</si>
  <si>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</si>
  <si>
    <t>521-301-1900</t>
  </si>
  <si>
    <t>Коллекции и модели демонстрационные для кабинета химии</t>
  </si>
  <si>
    <t>521-301-1922</t>
  </si>
  <si>
    <t>Набор моделей масштабных молекул</t>
  </si>
  <si>
    <t>521-301-1923</t>
  </si>
  <si>
    <t>Набор моделей молекул по органике и неорганике для учащегося</t>
  </si>
  <si>
    <t>521-301-1923-0001</t>
  </si>
  <si>
    <t>521-301-1923-0002</t>
  </si>
  <si>
    <t>Набор моделей молекул по органике и неорганике для учащихся типа Cornelsen Experimenta 36685/44237</t>
  </si>
  <si>
    <t>521-301-1924</t>
  </si>
  <si>
    <t>Набор моделей молекул по органике и неорганике для учителя</t>
  </si>
  <si>
    <t>521-301-1924-0001</t>
  </si>
  <si>
    <t>521-301-1925</t>
  </si>
  <si>
    <t>Набор моделей образования p и s связей</t>
  </si>
  <si>
    <t>521-301-1925-0001</t>
  </si>
  <si>
    <t>521-301-1925-0002</t>
  </si>
  <si>
    <t>Набор моделей образования p и s связей типа SHANGYU SEEWELL TEACHING COMPANY XMM-303, XMM-304, XMM-301</t>
  </si>
  <si>
    <t>521-301-1926</t>
  </si>
  <si>
    <t>Набор моделей р и d облаков и шаростержневых молекул</t>
  </si>
  <si>
    <t>521-301-1926-0001</t>
  </si>
  <si>
    <t>521-301-1926-0002</t>
  </si>
  <si>
    <t>Набор моделей р и d облаков и шаростержневых молекул типа SHANGYU SEEWELL TEACHING COMPANY
XMM-301</t>
  </si>
  <si>
    <t>521-301-1927</t>
  </si>
  <si>
    <t>Набор моделей электронных облаков и химических связей</t>
  </si>
  <si>
    <t>521-301-1927-0001</t>
  </si>
  <si>
    <t>521-301-1927-0002</t>
  </si>
  <si>
    <t>Набор моделей электронных облаков и химических связей типа SHANGYU SEEWELL TEACHING COMPANY XMM-304</t>
  </si>
  <si>
    <t>521-301-2000</t>
  </si>
  <si>
    <t>Наборы химических реактивов</t>
  </si>
  <si>
    <t>521-301-2001</t>
  </si>
  <si>
    <t>Набор "Кислоты"</t>
  </si>
  <si>
    <t>521-301-2002</t>
  </si>
  <si>
    <t>Набор "Гидроксиды"</t>
  </si>
  <si>
    <t>521-301-2003</t>
  </si>
  <si>
    <t>Набор "Оксиды металлов"</t>
  </si>
  <si>
    <t>521-301-2004</t>
  </si>
  <si>
    <t>Набор "Металлы"</t>
  </si>
  <si>
    <t>521-301-2004-0001</t>
  </si>
  <si>
    <t>Набор "Металлы", малый</t>
  </si>
  <si>
    <t>521-301-2005</t>
  </si>
  <si>
    <t>Набор "Минеральные удобрения"</t>
  </si>
  <si>
    <t>521-301-2006</t>
  </si>
  <si>
    <t>Набор "Иониты"</t>
  </si>
  <si>
    <t>521-301-2007</t>
  </si>
  <si>
    <t>Набор "Образцы неорганических веществ"</t>
  </si>
  <si>
    <t>521-301-2008</t>
  </si>
  <si>
    <t>Набор "Галогениды"</t>
  </si>
  <si>
    <t>521-301-2009</t>
  </si>
  <si>
    <t>Набор "Сульфаты, сульфиды, сульфиты"</t>
  </si>
  <si>
    <t>521-301-2010</t>
  </si>
  <si>
    <t>Набор "Соли для демонстрационных опытов"</t>
  </si>
  <si>
    <t>521-301-2011</t>
  </si>
  <si>
    <t>Набор "Фосфаты, силикаты"</t>
  </si>
  <si>
    <t>521-301-2012</t>
  </si>
  <si>
    <t>Набор "Соединения марганца"</t>
  </si>
  <si>
    <t>521-301-2013</t>
  </si>
  <si>
    <t>Набор "Нитраты"</t>
  </si>
  <si>
    <t>521-301-2014</t>
  </si>
  <si>
    <t>Набор "Индикаторы"</t>
  </si>
  <si>
    <t>521-301-2015</t>
  </si>
  <si>
    <t>Набор "Соединения хрома"</t>
  </si>
  <si>
    <t>521-301-2016</t>
  </si>
  <si>
    <t>Набор "Материалы"</t>
  </si>
  <si>
    <t>521-301-2018</t>
  </si>
  <si>
    <t>Набор для экспериментов "Электрохимия"</t>
  </si>
  <si>
    <t>521-301-2018-0001</t>
  </si>
  <si>
    <t>Набор для экспериментов по электрохимии типа Cornelsen Experimenta 51901</t>
  </si>
  <si>
    <t>521-301-2100</t>
  </si>
  <si>
    <t>Посуда лабораторная и принадлежности для кабинета химии</t>
  </si>
  <si>
    <t>521-301-2101</t>
  </si>
  <si>
    <t>Набор посуды и принадлежностей для химических опытов</t>
  </si>
  <si>
    <t>521-301-2101-0001</t>
  </si>
  <si>
    <t>Набор химической посуды и принадлежностей для лабораторных работ</t>
  </si>
  <si>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</si>
  <si>
    <t>521-301-2101-0002</t>
  </si>
  <si>
    <t>Набор химической посуды и принадлежностей для кабинета физики</t>
  </si>
  <si>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</si>
  <si>
    <t>521-301-2102</t>
  </si>
  <si>
    <t>Аппарат для проведения химических реакций</t>
  </si>
  <si>
    <t>521-301-2102-0001</t>
  </si>
  <si>
    <t>521-301-2102-0002</t>
  </si>
  <si>
    <t>Аппарат для проведения химических реакций. Емкость колбы реактора 500 мл</t>
  </si>
  <si>
    <t>Емкость колбы реактора 500 мл.</t>
  </si>
  <si>
    <t>521-301-2103</t>
  </si>
  <si>
    <t>Аппарат Киппа. Обьем - 250мл</t>
  </si>
  <si>
    <t>521-301-2104</t>
  </si>
  <si>
    <t>Колбонагреватель</t>
  </si>
  <si>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</si>
  <si>
    <t>521-301-2105</t>
  </si>
  <si>
    <t>Набор ареометров (19 шт)</t>
  </si>
  <si>
    <t>Предназначены для изучения устройства ареометра и измерения плотности жидкостей. Диапазон от 700 до 1840 кг/м3. В наборе 19 штук</t>
  </si>
  <si>
    <t>521-301-2106</t>
  </si>
  <si>
    <t>Нагреватель пробирок</t>
  </si>
  <si>
    <t>521-301-2106-0001</t>
  </si>
  <si>
    <t>Нагреватель пробирок универсальный</t>
  </si>
  <si>
    <t>Нагреватель пробирок. Должен обеспечивать нагрев не менее 5 см3 воды в пробирке от температуры 20 °С ± 5 °С до кипения.</t>
  </si>
  <si>
    <t>521-301-2106-0002</t>
  </si>
  <si>
    <t>Нагреватель пробирок электрический</t>
  </si>
  <si>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</si>
  <si>
    <t>521-301-2107</t>
  </si>
  <si>
    <t>Прибор для сбора газов</t>
  </si>
  <si>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</si>
  <si>
    <t>521-301-2109</t>
  </si>
  <si>
    <t>Штатив лабораторный химический</t>
  </si>
  <si>
    <t>521-301-2111</t>
  </si>
  <si>
    <t>Дистиллятор</t>
  </si>
  <si>
    <t>521-301-2111-0001</t>
  </si>
  <si>
    <t>Аппарат для дистилляции воды</t>
  </si>
  <si>
    <t>Аппарат для дистилляции воды. Производства дистиллированной воды 5 л/ч, выход воды 5 л, потребляемая мощность 4,5 кВт, входная мощность 220 В</t>
  </si>
  <si>
    <t>521-301-2111-0002</t>
  </si>
  <si>
    <t>Дистиллятор воды типа ScienceCube, MDS-102. Производительность: 1 л/ч.
Водосборник: пластик, объём 3,6 л. Ёмкость: нержавеющая сталь. Потребляемая мощность: 750 Вт</t>
  </si>
  <si>
    <t>521-301-2112</t>
  </si>
  <si>
    <t>Сушильный шкаф</t>
  </si>
  <si>
    <t>521-301-2112-0001</t>
  </si>
  <si>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</si>
  <si>
    <t>521-301-2113</t>
  </si>
  <si>
    <t>Горелка</t>
  </si>
  <si>
    <t>521-301-2113-0001</t>
  </si>
  <si>
    <t>Горелка универсальная</t>
  </si>
  <si>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</si>
  <si>
    <t>521-301-2114</t>
  </si>
  <si>
    <t>Прибор для получения растворимых веществ
в твердом виде</t>
  </si>
  <si>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</si>
  <si>
    <t>521-301-2115</t>
  </si>
  <si>
    <t>Эвдиометр</t>
  </si>
  <si>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</si>
  <si>
    <t>521-301-2116</t>
  </si>
  <si>
    <t>Аппарат для электролиза</t>
  </si>
  <si>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</si>
  <si>
    <t>521-301-2117</t>
  </si>
  <si>
    <t>Колонка адсорбционная</t>
  </si>
  <si>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</si>
  <si>
    <t>521-301-2118</t>
  </si>
  <si>
    <t>Прибор для иллюстрации сохранения массы
веществ</t>
  </si>
  <si>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</si>
  <si>
    <t>521-301-2119</t>
  </si>
  <si>
    <t>Прибор для опытов с электрическим током</t>
  </si>
  <si>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</si>
  <si>
    <t>521-301-2120</t>
  </si>
  <si>
    <t>Станция для промывки глаз</t>
  </si>
  <si>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</si>
  <si>
    <t>521-301-2121</t>
  </si>
  <si>
    <t>РН-тестер кондуктивный со встроенным
электродом</t>
  </si>
  <si>
    <t>521-301-2122</t>
  </si>
  <si>
    <t>Мешалка магнитная</t>
  </si>
  <si>
    <t>521-301-2122-0001</t>
  </si>
  <si>
    <t>Мешалка магнитная типа ScienceCube, MDS-101. Мощность: 5 Вт. Скорость: 200-2000 об/мин. Размер рабочей платформы: 135 мм</t>
  </si>
  <si>
    <t>521-301-2122-0002</t>
  </si>
  <si>
    <t>Магнитная мешалка. Мощность: 10Вт.
Скорость: 100-600 оборотов/мин</t>
  </si>
  <si>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</si>
  <si>
    <t>521-301-2122-0003</t>
  </si>
  <si>
    <t>Магнитная мешалка с подогревом. Скорость:
от 120 до 1500 об/мин</t>
  </si>
  <si>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</si>
  <si>
    <t>521-301-2123</t>
  </si>
  <si>
    <t>Плитка электрическая лабораторная</t>
  </si>
  <si>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</si>
  <si>
    <t>521-301-2124</t>
  </si>
  <si>
    <t>Центрифуга термальная</t>
  </si>
  <si>
    <t>521-301-2124-0001</t>
  </si>
  <si>
    <t>Центрифуга электрическая. Максимальный объем: 60 мл. 6 пробирок по 20 мл. Частота вращения ротора: 1000-4000 об/мин</t>
  </si>
  <si>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</si>
  <si>
    <t>521-301-2124-0002</t>
  </si>
  <si>
    <t>Центрифуга демонстрационная. Максимальная вместимость 4×15 мл. Максимальная скорость вращения 3000 об/мин</t>
  </si>
  <si>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</si>
  <si>
    <t>521-301-2300</t>
  </si>
  <si>
    <t>Кабинет музыки</t>
  </si>
  <si>
    <t>521-301-2302</t>
  </si>
  <si>
    <t>Музыкальный центр с беспроводными технологиями</t>
  </si>
  <si>
    <t>521-301-2302-0001</t>
  </si>
  <si>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</si>
  <si>
    <t>521-301-2306</t>
  </si>
  <si>
    <t>Пюпитр</t>
  </si>
  <si>
    <t>Пюпитр. Регулируемая высота 940 - 1420 мм; Держатель для нот 475 х 345 мм; Металлические узлы; Материал: сталь; Цвет: черный.</t>
  </si>
  <si>
    <t>521-301-2600</t>
  </si>
  <si>
    <t>Кабинет самопознания</t>
  </si>
  <si>
    <t>521-301-2602</t>
  </si>
  <si>
    <t>Стул полумягкий с пюпитром</t>
  </si>
  <si>
    <t>521-301-2602-0001</t>
  </si>
  <si>
    <t>Стул "Визитер" с пюпитром</t>
  </si>
  <si>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</si>
  <si>
    <t>521-301-2602-0002</t>
  </si>
  <si>
    <t>Стул "ИЗО" с пюпитром</t>
  </si>
  <si>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</si>
  <si>
    <t>521-301-2700</t>
  </si>
  <si>
    <t>Кабинет изобразительного искусства и черчения</t>
  </si>
  <si>
    <t>521-301-2701</t>
  </si>
  <si>
    <t>Тумбочка</t>
  </si>
  <si>
    <t>521-301-2701-0001</t>
  </si>
  <si>
    <t>Тумба, размеры не менее 416х416х625мм</t>
  </si>
  <si>
    <t>Размеры не менее 416х416х625 мм. Материал ЛДСП, толщиной не менее 16 мм. Имеет выдвижные и секционные ящики.</t>
  </si>
  <si>
    <t>521-301-2702</t>
  </si>
  <si>
    <t>Рейсшина</t>
  </si>
  <si>
    <t>521-301-2704</t>
  </si>
  <si>
    <t>Мольберт в комплекте с доской и чехлом</t>
  </si>
  <si>
    <t>521-301-2710</t>
  </si>
  <si>
    <t>Набор изделий декоративно-прикладного искусства и народных промыслов</t>
  </si>
  <si>
    <t>521-301-2711</t>
  </si>
  <si>
    <t>Набор драпировки</t>
  </si>
  <si>
    <t>521-301-2900</t>
  </si>
  <si>
    <t>Технология обработки древесины, металла и художественной обработки материалов</t>
  </si>
  <si>
    <t>521-301-2901</t>
  </si>
  <si>
    <t>Верстак универсальный ученический</t>
  </si>
  <si>
    <t>521-301-2901-0001</t>
  </si>
  <si>
    <t>Стол верстак однотумбовый (дверь+полки) без надстройки 1500*700*950</t>
  </si>
  <si>
    <t>521-301-2901-0002</t>
  </si>
  <si>
    <t>Стол верстак однотумбовый (дверь+полки) с надстройкой 1500*700*950/1610</t>
  </si>
  <si>
    <t>521-301-2901-0003</t>
  </si>
  <si>
    <t>Стол верстак однотумбовый (ящики) без надстройки 1500*700*950</t>
  </si>
  <si>
    <t>521-301-2901-0004</t>
  </si>
  <si>
    <t>Верстак инструментальный ITP-1-T. Размер 1200х600х860мм.</t>
  </si>
  <si>
    <t>521-301-2901-0005</t>
  </si>
  <si>
    <t>Верстак инструментальный ITP-1-T-S. Тумба с дверцей и перфопанель. Размер 1200х600х1310мм.</t>
  </si>
  <si>
    <t>Верстак инструментальный ITP-1-T-S. Тумба с дверцей и перфопанель.
Размер 1200х600х1310мм.</t>
  </si>
  <si>
    <t>521-301-2901-0006</t>
  </si>
  <si>
    <t>Верстак Profi (№201) WT120.WD1/F1.000</t>
  </si>
  <si>
    <t>Верстак Profi (№201) WT120.WD1/F1.000. Тумба и полка. Размер 866х1200х700мм.</t>
  </si>
  <si>
    <t>521-301-2901-0007</t>
  </si>
  <si>
    <t>Верстак Profi (№108) WT100.F1/F1.000</t>
  </si>
  <si>
    <t>521-301-2901-0008</t>
  </si>
  <si>
    <t>Верстак бестумбовый с подвесными ящиками ВПЭ</t>
  </si>
  <si>
    <t>521-301-2901-0009</t>
  </si>
  <si>
    <t>Верстак ВП-1</t>
  </si>
  <si>
    <t>521-301-2901-0010</t>
  </si>
  <si>
    <t>Верстак однотумбовый, тумба с дверцей ВП-2. Размер 1200х685х860мм.</t>
  </si>
  <si>
    <t>521-301-2901-0011</t>
  </si>
  <si>
    <t>Верстак однотумбовый, тумба с ящиками ВП-3. Размер 1200х685х860мм.</t>
  </si>
  <si>
    <t>521-301-2901-0012</t>
  </si>
  <si>
    <t>Верстак двухтумбовый, тумба с дверцей и тумба с 5 ящиками ВП-4. Размер 1600х685х860мм.</t>
  </si>
  <si>
    <t>521-301-2901-0013</t>
  </si>
  <si>
    <t>Верстак двухтумбовый, две тумбы с дверцами ВП-5. Размер 1600х685х860мм.</t>
  </si>
  <si>
    <t>521-301-2901-0014</t>
  </si>
  <si>
    <t>Верстак двухтумбовый, две тумбы с ящиками ВП-6/1,6. Размер 1600х685х860мм.</t>
  </si>
  <si>
    <t>521-301-2901-0015</t>
  </si>
  <si>
    <t>Верстак Стол ВС-1</t>
  </si>
  <si>
    <t>521-301-2901-0016</t>
  </si>
  <si>
    <t>Верстак с драйвером ВД-1.2</t>
  </si>
  <si>
    <t>521-301-2901-0017</t>
  </si>
  <si>
    <t>Верстак с тумбой ВТ-1.2</t>
  </si>
  <si>
    <t>521-301-2901-0018</t>
  </si>
  <si>
    <t>Верстак с драйвером и тумбой ВДТ-1.6</t>
  </si>
  <si>
    <t>521-301-2901-0019</t>
  </si>
  <si>
    <t>Верстак с двумя Тумбами ВТ2-1.6</t>
  </si>
  <si>
    <t>521-301-2901-0020</t>
  </si>
  <si>
    <t>Верстак с двумя драйверами ВД2-1.6</t>
  </si>
  <si>
    <t>521-301-2901-0021</t>
  </si>
  <si>
    <t>Верстак инструментальный ITP-1-D. Тумба с ящиками. Размер 1200х600х860мм.</t>
  </si>
  <si>
    <t>521-301-2901-0022</t>
  </si>
  <si>
    <t>Верстак инструментальный ITP-1-TT. Размер 1200х600х860мм.</t>
  </si>
  <si>
    <t>521-301-2901-0023</t>
  </si>
  <si>
    <t>Верстак инструментальный ITP-1-TD. Тумба с дверцей и тумба с ящиками. Размер 1200х600х860мм.</t>
  </si>
  <si>
    <t>Верстак инструментальный ITP-1-TD. Тумба с дверцей и тумба с ящиками.
Размер 1200х600х860мм.</t>
  </si>
  <si>
    <t>521-301-2901-0024</t>
  </si>
  <si>
    <t>Верстак инструментальный ITP-1-D-S. Перфопанель и тумба с ящиками. Размер 1200х600х1310мм.</t>
  </si>
  <si>
    <t>Верстак инструментальный ITP-1-D-S. Перфопанель и тумба с ящиками.
Размер 1200х600х1310мм.</t>
  </si>
  <si>
    <t>521-301-2901-0025</t>
  </si>
  <si>
    <t>Верстак инструментальный ITP-1-TD-S. Тумба с дверцей и тумба с ящиками, перфопанель. Размер 1200х600х1310мм.</t>
  </si>
  <si>
    <t>521-301-2901-0026</t>
  </si>
  <si>
    <t>Верстак инструментальный ITP-1-TT-S. 2 тумбы и перфопанель. Размер 1200х600х1310мм.</t>
  </si>
  <si>
    <t>521-301-2901-0027</t>
  </si>
  <si>
    <t>Верстак инструментальный ITP-2-TT-S. 2 тумбы и перфопанель. Размер 1600х600х1310мм.</t>
  </si>
  <si>
    <t>521-301-2901-0028</t>
  </si>
  <si>
    <t>Верстак инструментальный ITP-2-TD-S. Тумба с дверцей и тумба с ящиками, перфопанель. Размер 1600х600х1310мм.</t>
  </si>
  <si>
    <t>521-301-2901-0029</t>
  </si>
  <si>
    <t>Верстак со столешницей без накладки Master (№102)</t>
  </si>
  <si>
    <t>521-301-2901-0030</t>
  </si>
  <si>
    <t>Верстак со столешницей с накладкой Master (№101)</t>
  </si>
  <si>
    <t>521-301-2901-0031</t>
  </si>
  <si>
    <t>Верстак с ящиком Master (№103)</t>
  </si>
  <si>
    <t>521-301-2901-0032</t>
  </si>
  <si>
    <t>Верстак слесарный с подвесной тумбой металлический (CraftLab). Размер 1000х860х685</t>
  </si>
  <si>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</si>
  <si>
    <t>521-301-2901-0033</t>
  </si>
  <si>
    <t>Верстак бестумбовый со столешницей из деревяного бруса (CraftLab). Размер 2500х1200х1050</t>
  </si>
  <si>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</si>
  <si>
    <t>521-301-2901-0034</t>
  </si>
  <si>
    <t>Верстак на металлическом каркасе со столешницей из деревянного бруса (CraftLab), размер 1200мм х 600мм х 750мм шт.</t>
  </si>
  <si>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</si>
  <si>
    <t>521-301-2901-0035</t>
  </si>
  <si>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</si>
  <si>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</si>
  <si>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521-301-2901-0036</t>
  </si>
  <si>
    <t>Верстак универсальный ученический с защитным экраном и полкой, столешница из фанеры 30 мм, каркас из стального профиля, размер 1000х500х860мм</t>
  </si>
  <si>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</si>
  <si>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521-301-2901-0037</t>
  </si>
  <si>
    <t>Верстак бестумбовый с полкой, столешница из фанеры 30 мм, каркас из стального профиля, размер 1000х680х860мм</t>
  </si>
  <si>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</si>
  <si>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521-301-2902</t>
  </si>
  <si>
    <t>Шкаф инструментальный</t>
  </si>
  <si>
    <t>521-301-2902-0001</t>
  </si>
  <si>
    <t>Шкаф инструментальный в комплекте с инструментами по дереву (CraftLab), размер 1000мм х 550мм х 1800мм</t>
  </si>
  <si>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</si>
  <si>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521-301-2902-0002</t>
  </si>
  <si>
    <t>Шкаф инструментальный в комплекте с инструментами по металлу (CraftLab), размер 1000мм х 550мм х 1800мм</t>
  </si>
  <si>
    <t>521-301-2902-0003</t>
  </si>
  <si>
    <t>Шкаф инструментальный в комплекте с электроинструментами (CraftLab), размер 1000мм х 550мм х 1800мм</t>
  </si>
  <si>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</si>
  <si>
    <t>521-301-2903</t>
  </si>
  <si>
    <t>Станок сверлильный по металлу</t>
  </si>
  <si>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</si>
  <si>
    <t>521-301-2904</t>
  </si>
  <si>
    <t>Подставка под сверлильный станок</t>
  </si>
  <si>
    <t>521-301-2904-0001</t>
  </si>
  <si>
    <t>Подставка под сверлильный станок
600х500х800мм</t>
  </si>
  <si>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</si>
  <si>
    <t>521-301-2904-0002</t>
  </si>
  <si>
    <t>Подставка под сверлильный станок
(CraftLab), размер 500мм х 500мм х 700мм</t>
  </si>
  <si>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</si>
  <si>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521-301-2904-0003</t>
  </si>
  <si>
    <t>Стол со столешницей из ЛДСП 32мм и каркасом из стального профиля, размер 700х700х750мм</t>
  </si>
  <si>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</si>
  <si>
    <t>521-301-2905</t>
  </si>
  <si>
    <t>Станок токарный по металлу</t>
  </si>
  <si>
    <t>521-301-2905-0001</t>
  </si>
  <si>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</si>
  <si>
    <t>521-301-2905-0002</t>
  </si>
  <si>
    <t>Станок токарный по металлу типа MetalCraft Pro 591488</t>
  </si>
  <si>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</si>
  <si>
    <t>521-301-2906</t>
  </si>
  <si>
    <t>Подставка под токарный станок</t>
  </si>
  <si>
    <t>521-301-2906-0001</t>
  </si>
  <si>
    <t>Подставка под токарный станок 600х500х800мм</t>
  </si>
  <si>
    <t>521-301-2906-0002</t>
  </si>
  <si>
    <t>Подставка под токарный станок (CraftLab), размер 1100мм х 550мм х 600мм</t>
  </si>
  <si>
    <t>521-301-2907</t>
  </si>
  <si>
    <t>Станок комбинированный деревообрабатывающий</t>
  </si>
  <si>
    <t>521-301-2907-0001</t>
  </si>
  <si>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</si>
  <si>
    <t>521-301-2907-0002</t>
  </si>
  <si>
    <t>Станок деревообрабатывающий комбинированный типа WoodMaster Combo 145182</t>
  </si>
  <si>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</si>
  <si>
    <t>521-301-2907-0003</t>
  </si>
  <si>
    <t>Комбо станок - дробилка экструдер типа ShredXpress DuoTech</t>
  </si>
  <si>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</si>
  <si>
    <t>521-301-2908</t>
  </si>
  <si>
    <t>Подставка под комбинированный, деревообрабатывающий  станок</t>
  </si>
  <si>
    <t>521-301-2908-0001</t>
  </si>
  <si>
    <t>Подставка под деревообрабатывающий станок (CraftLab), размер 600мм х 500мм х 400мм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</si>
  <si>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</si>
  <si>
    <t>521-301-2908-0002</t>
  </si>
  <si>
    <t>Подставка под мини-станки (CraftLab), размер 1200мм х 600мм х 1200мм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</si>
  <si>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</si>
  <si>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521-301-2908-0003</t>
  </si>
  <si>
    <t>Стол для обработки материала типа Craft Lab</t>
  </si>
  <si>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</si>
  <si>
    <t>521-301-2908-0004</t>
  </si>
  <si>
    <t>Craftlab типті станоктарға арналған арнайы үстел</t>
  </si>
  <si>
    <t>Специализированный стол для станков, размером не менее 600*1200*1050мм (ГxШxВ). Материал: каркас – металл, столешница – клееный брус сосны толщиной не менее 45мм.</t>
  </si>
  <si>
    <t>521-301-2909</t>
  </si>
  <si>
    <t>Электроточило с подставкой</t>
  </si>
  <si>
    <t>521-301-2910</t>
  </si>
  <si>
    <t>Лобзик электрический</t>
  </si>
  <si>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</si>
  <si>
    <t>521-301-2911</t>
  </si>
  <si>
    <t>Дрель-шуруповерт аккумуляторная</t>
  </si>
  <si>
    <t>Дрель-шуруповерт аккумуляторная: компактный и легкий дизайн, идеальна для сверления и закручивания в различных материалах.</t>
  </si>
  <si>
    <t>521-301-2912</t>
  </si>
  <si>
    <t>Машина угловая шлифовальная</t>
  </si>
  <si>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</si>
  <si>
    <t>521-301-2914</t>
  </si>
  <si>
    <t>Прибор для выжигания</t>
  </si>
  <si>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</si>
  <si>
    <t>521-301-2918</t>
  </si>
  <si>
    <t>Доска перфорированная</t>
  </si>
  <si>
    <t>521-301-2918-0001</t>
  </si>
  <si>
    <t>Перфорированная доска для подвешивания инструментов Pegboard для хранения и переноса инструментов типа CraftLab</t>
  </si>
  <si>
    <t>521-301-2918-0002</t>
  </si>
  <si>
    <t>Панель перфорированная 2100х300х1200мм</t>
  </si>
  <si>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</si>
  <si>
    <t>521-301-2954</t>
  </si>
  <si>
    <t>Штангенциркуль</t>
  </si>
  <si>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</si>
  <si>
    <t>521-301-2959</t>
  </si>
  <si>
    <t>Мультиметр цифровой</t>
  </si>
  <si>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</si>
  <si>
    <t>521-301-2963</t>
  </si>
  <si>
    <t>Станок модульный</t>
  </si>
  <si>
    <t>521-301-2963-0001</t>
  </si>
  <si>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</si>
  <si>
    <t>521-301-2963-0002</t>
  </si>
  <si>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</si>
  <si>
    <t>521-301-2964</t>
  </si>
  <si>
    <t>Станок для резки пенопласта</t>
  </si>
  <si>
    <t>521-301-2964-0001</t>
  </si>
  <si>
    <t>Станок с ЧПУ для фигурной резки пенопласта с расходниками типа Form Carve CNC</t>
  </si>
  <si>
    <t>Размер рабочего поля - 0,7*0,7*0,7 м. Длина режущих струн - 0,7.
Количество нитей - 1. Мощность потребления - 300 Вт. Файловый формат - PLT, DXF, STL</t>
  </si>
  <si>
    <t>521-301-2966</t>
  </si>
  <si>
    <t>Пылесос индустриальный</t>
  </si>
  <si>
    <t>521-301-2966-0001</t>
  </si>
  <si>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</si>
  <si>
    <t>521-301-2967</t>
  </si>
  <si>
    <t>Станок фрезерно-гравировальный</t>
  </si>
  <si>
    <t>521-301-2967-0001</t>
  </si>
  <si>
    <t>Станок фрезерно-гравировальный с ЧПУ для дизайна и технологий типа TechGenius Pro 370891</t>
  </si>
  <si>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</si>
  <si>
    <t>521-301-2967-0002</t>
  </si>
  <si>
    <t>Система безопасности с фрезерным станком типа Craft Mill</t>
  </si>
  <si>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</si>
  <si>
    <t>521-301-2967-0003</t>
  </si>
  <si>
    <t>Станок с ЧПУ с возможностями лазерной гравировки, фрезеровки и 3D-печати типа CNC MasterLab 3-in-1 Laser Nova</t>
  </si>
  <si>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</si>
  <si>
    <t>521-301-2967-0004</t>
  </si>
  <si>
    <t>Станок гравировальный типа СNС Wegstr</t>
  </si>
  <si>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</si>
  <si>
    <t>521-301-2968</t>
  </si>
  <si>
    <t>Станок гравировальный лазерный</t>
  </si>
  <si>
    <t>521-301-2968-0001</t>
  </si>
  <si>
    <t>Станок гравировальный лазерный в комплекте с чиллером и стабилизатором типа LaserPro 958452</t>
  </si>
  <si>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</si>
  <si>
    <t>521-301-2968-0002</t>
  </si>
  <si>
    <t>Станок лазерный с ЧПУ типа Laser Nova</t>
  </si>
  <si>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</si>
  <si>
    <t>521-301-2969</t>
  </si>
  <si>
    <t>Пила торцовочная</t>
  </si>
  <si>
    <t>521-301-2969-0001</t>
  </si>
  <si>
    <t>Пила торцовочная электрическая типа Umachine 447591. Мощность 1,4 Квт, диаметр 30 мм, макс. глубина пропила под углом 90° 70мм</t>
  </si>
  <si>
    <t>521-301-2970</t>
  </si>
  <si>
    <t>Распылитель</t>
  </si>
  <si>
    <t>521-301-2970-0001</t>
  </si>
  <si>
    <t>Пистолет краскораспылитель</t>
  </si>
  <si>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</si>
  <si>
    <t>521-301-3000</t>
  </si>
  <si>
    <t>Технология приготовления пищи</t>
  </si>
  <si>
    <t>521-301-3001</t>
  </si>
  <si>
    <t>Стол-тумба кухонный</t>
  </si>
  <si>
    <t>521-301-3001-0001</t>
  </si>
  <si>
    <t>Стол-тумба купе СРО-К-8/6СНК (800*600*850-870 мм)</t>
  </si>
  <si>
    <t>521-301-3001-0002</t>
  </si>
  <si>
    <t>Стол-тумба купе СРО-К-8/7СНК (800*700*850-870 мм)</t>
  </si>
  <si>
    <t>521-301-3001-0003</t>
  </si>
  <si>
    <t>Стол-тумба купе СРО-К-10/6СНК (1000*600*850-870 мм)</t>
  </si>
  <si>
    <t>521-301-3001-0004</t>
  </si>
  <si>
    <t>Стол-тумба купе СТКО-6-2 островной (1000*600*900(860) мм)</t>
  </si>
  <si>
    <t>521-301-3001-0005</t>
  </si>
  <si>
    <t>Стол пристенный НБМСЗК-9/7Б купе (900*700*850мм, с бортом)</t>
  </si>
  <si>
    <t>521-301-3001-0006</t>
  </si>
  <si>
    <t>Стол-тумба купе СТКП-6-2 пристенный с бортом (1000*600*900(860) мм)</t>
  </si>
  <si>
    <t>521-301-3001-0007</t>
  </si>
  <si>
    <t>Стол-тумба купе СТКО-7-2 островной (1000*700*900(860) мм)</t>
  </si>
  <si>
    <t>521-301-3001-0008</t>
  </si>
  <si>
    <t>Стол-тумба купе СТКП-7-2 пристенный с бортом (1000*700*900(860) мм)</t>
  </si>
  <si>
    <t>521-301-3001-0009</t>
  </si>
  <si>
    <t>Стол-тумба купе СТКО-6-3 островной (1200*600*900(860) мм)</t>
  </si>
  <si>
    <t>521-301-3001-0010</t>
  </si>
  <si>
    <t>Стол-тумба купе СРО-К-12/6СНК (1200*600*850-870 мм)</t>
  </si>
  <si>
    <t>521-301-3001-0011</t>
  </si>
  <si>
    <t>Стол-тумба купе СТКП-6-3 пристенный с бортом (1200*600*900(860)мм)</t>
  </si>
  <si>
    <t>521-301-3001-0012</t>
  </si>
  <si>
    <t>Стол-тумба купе СРО-К-12/7СНК (1200*700*850-870 мм)</t>
  </si>
  <si>
    <t>521-301-3001-0013</t>
  </si>
  <si>
    <t>Стол-тумба купе СТКО-7-3 островной (1200*700*900(860) мм)</t>
  </si>
  <si>
    <t>521-301-3001-0014</t>
  </si>
  <si>
    <t>Стол-тумба купе СТКП-7-3 пристенный с бортом (1200*700*900(860) мм)</t>
  </si>
  <si>
    <t>521-301-3001-0015</t>
  </si>
  <si>
    <t>Стол-тумба купе СРО-К-15/6СНК (1500*600*850-870 мм)</t>
  </si>
  <si>
    <t>521-301-3001-0016</t>
  </si>
  <si>
    <t>Стол-тумба купе СРО-К-15/7СНК (1500*700*850-870 мм)</t>
  </si>
  <si>
    <t>521-301-3001-0017</t>
  </si>
  <si>
    <t>Стол-тумба купе СТК-2Д корпус-нерж.</t>
  </si>
  <si>
    <t>521-301-3003</t>
  </si>
  <si>
    <t>Стол-мойка</t>
  </si>
  <si>
    <t>521-301-3003-0001</t>
  </si>
  <si>
    <t>Стол мойка со смесителем 500х500х850 мм</t>
  </si>
  <si>
    <t>Стол-мойка производственный со смесителем. Размеры 500х500х850мм</t>
  </si>
  <si>
    <t>521-301-3004</t>
  </si>
  <si>
    <t>Стол кухонный рабочий</t>
  </si>
  <si>
    <t>521-301-3004-0001</t>
  </si>
  <si>
    <t>Стол разделочный ЭКОНОМ ЦК
СРО-6/6ЭЦК 600*600 мм, полка-решетка</t>
  </si>
  <si>
    <t>521-301-3004-0002</t>
  </si>
  <si>
    <t>Стол разделочный ЭКОНОМ ЦК с бортом СРОб-6/6ЭЦК  600*600*915(935) мм,
полка-решетка</t>
  </si>
  <si>
    <t>521-301-3004-0003</t>
  </si>
  <si>
    <t>Стол разделочный СТАНДАРТ ЦК с бортом СРОб-6/6СЦК 600*600*915(935) мм,
полка-решетка</t>
  </si>
  <si>
    <t>521-301-3004-0004</t>
  </si>
  <si>
    <t>Стол разделочный ЭКОНОМ ЦК
СРО-8/6ЭЦК 800*600 мм, полка-решетка</t>
  </si>
  <si>
    <t>521-301-3004-0005</t>
  </si>
  <si>
    <t>Стол разделочный ЭКОНОМ ЦК с бортом СРОб-8/6ЭЦК 800*600 мм, полка-решетка</t>
  </si>
  <si>
    <t>521-301-3004-0006</t>
  </si>
  <si>
    <t>Стол разделочный ЭКОНОМ ЦК
СРО-10/6ЭЦК 1000*600 мм, полка-решетка</t>
  </si>
  <si>
    <t>521-301-3004-0007</t>
  </si>
  <si>
    <t>Стол разделочный ЭКОНОМ ЦК с бортом СРОб-10/6ЭЦК 1000*600 мм, полка-решетка</t>
  </si>
  <si>
    <t>521-301-3004-0008</t>
  </si>
  <si>
    <t>Стол разделочный СТАНДАРТ ЦК с бортом СРОб-10/6СЦК  1000*600*915(935) мм,
полка-решетка</t>
  </si>
  <si>
    <t>521-301-3004-0009</t>
  </si>
  <si>
    <t>Стол разделочный ЭКОНОМ ЦК СРО-12/6ЭЦК 1200*600*870(890) мм,
полка-решетка</t>
  </si>
  <si>
    <t>521-301-3004-0010</t>
  </si>
  <si>
    <t>Стол разделочный ЭКОНОМ ЦК с бортом СРОб-12/6ЭЦК 1200*600*915(935) мм,
полка-решетка</t>
  </si>
  <si>
    <t>521-301-3004-0011</t>
  </si>
  <si>
    <t>Стол разделочный СТАНДАРТ ЦК СРО-12/6СЦК 1200*600*870(890) мм,
полка-решетка</t>
  </si>
  <si>
    <t>521-301-3004-0012</t>
  </si>
  <si>
    <t>Стол разделочный СТАНДАРТ ЦК с бортом СРОб-12/6СЦК 1200*600*915(935) мм,
полка-решетка</t>
  </si>
  <si>
    <t>521-301-3004-0013</t>
  </si>
  <si>
    <t>Стол разделочный ЭКОНОМ ЦК СРО-15/6ЭЦК 1500*600*870(890) мм,
полка-решетка</t>
  </si>
  <si>
    <t>521-301-3004-0014</t>
  </si>
  <si>
    <t>Стол разделочный ЭКОНОМ ЦК с бортом СРОб-15/6ЭЦК 1500*600*915(935) мм,
полка-решетка</t>
  </si>
  <si>
    <t>521-301-3004-0015</t>
  </si>
  <si>
    <t>Стол разделочный ЭКОНОМ ЦК
СРО-12/7ЭЦК 1200*700 мм, полка-решетка</t>
  </si>
  <si>
    <t>521-301-3004-0016</t>
  </si>
  <si>
    <t>Стол разделочный ЭКОНОМ ЦК с бортом СРОб-12/7ЭЦК 1200*700 мм, полка-решетка</t>
  </si>
  <si>
    <t>521-301-3004-0017</t>
  </si>
  <si>
    <t>Стол разделочный ЭКОНОМ ЦК СРО-18/6ЭЦК 1800*600*870(890) мм,
полка-решетка</t>
  </si>
  <si>
    <t>521-301-3004-0018</t>
  </si>
  <si>
    <t>Стол разделочный ЭКОНОМ ЦК с бортом СРОб-18/6ЭЦК 1800*600*915(935) мм,
полка-решетка</t>
  </si>
  <si>
    <t>521-301-3004-0019</t>
  </si>
  <si>
    <t>Стол разделочный ЭКОНОМ ЦК СРО-18/7ЭЦК 1800*700*870(890) мм,
полка-решетка</t>
  </si>
  <si>
    <t>521-301-3004-0020</t>
  </si>
  <si>
    <t>Стол разделочный ЭКОНОМ ЦК с бортом СРОб-15/7ЭЦК 1500*700*915(935) мм,
полка-решетка</t>
  </si>
  <si>
    <t>521-301-3005</t>
  </si>
  <si>
    <t>Табурет</t>
  </si>
  <si>
    <t>521-301-3005-0001</t>
  </si>
  <si>
    <t>Табурет. Основание металлокаркас, сиденье из ЛДСП 16мм, размеры 300х300х420мм</t>
  </si>
  <si>
    <t>521-301-3005-0003</t>
  </si>
  <si>
    <t>Табурет, каркас из квадратной профильной трубы, сиденье из ЛДСП 16 мм, размеры 350х350х450 мм</t>
  </si>
  <si>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</si>
  <si>
    <t>521-301-3006</t>
  </si>
  <si>
    <t>Весы бытовые настольные</t>
  </si>
  <si>
    <t>521-301-3007</t>
  </si>
  <si>
    <t>Кофеварка</t>
  </si>
  <si>
    <t>521-301-3007-0001</t>
  </si>
  <si>
    <t>Кофеварка электрическая Ф1КФЭ (кофе на
песке) (305*280*190 мм)</t>
  </si>
  <si>
    <t>521-301-3007-0002</t>
  </si>
  <si>
    <t>Кофеварка HURAKAN HKN-ME709
(415*315*355 мм)</t>
  </si>
  <si>
    <t>521-301-3008</t>
  </si>
  <si>
    <t>Кофемолка</t>
  </si>
  <si>
    <t>521-301-3008-0001</t>
  </si>
  <si>
    <t>Кофемолка AIRHOT SCG-3000 (220*120*360 мм)</t>
  </si>
  <si>
    <t>521-301-3008-0002</t>
  </si>
  <si>
    <t>Кофемолка AIRHOT MCG-1800 (230*140*430 мм)</t>
  </si>
  <si>
    <t>521-301-3008-0003</t>
  </si>
  <si>
    <t>Кофемолка Macap MC6 (черная/серебро, 230x370x600 мм)</t>
  </si>
  <si>
    <t>521-301-3008-0004</t>
  </si>
  <si>
    <t>Кофемолка Macap MX (черная/серебро, 230x370x600 мм)</t>
  </si>
  <si>
    <t>521-301-3008-0005</t>
  </si>
  <si>
    <t>Кофемолка Sirman MC (230*360*700 мм)</t>
  </si>
  <si>
    <t>521-301-3008-0006</t>
  </si>
  <si>
    <t>Кофемолка-дозатор Nuova Simonelli MDX on DEMAND(190*360*590 мм)</t>
  </si>
  <si>
    <t>521-301-3008-0007</t>
  </si>
  <si>
    <t>Кофемолка Fiorenzato F64 E черная (230*270*615 мм)</t>
  </si>
  <si>
    <t>521-301-3008-0008</t>
  </si>
  <si>
    <t>Кофемолка-дозатор Nuova Simonelli MDXS on DEMAND (212*290*585 мм)</t>
  </si>
  <si>
    <t>521-301-3009</t>
  </si>
  <si>
    <t>Микроволновая печь</t>
  </si>
  <si>
    <t>521-301-3009-0001</t>
  </si>
  <si>
    <t>Микроволновая печь. Мощность 700Вт, внутренний объем не менее 20л, тип управления механическое</t>
  </si>
  <si>
    <t>521-301-3010</t>
  </si>
  <si>
    <t>Чайник электрический</t>
  </si>
  <si>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</si>
  <si>
    <t>521-301-3011</t>
  </si>
  <si>
    <t>Тостер</t>
  </si>
  <si>
    <t>521-301-3011-0001</t>
  </si>
  <si>
    <t>Тостер BOSCH TAT 3P424, мощностью 970 Вт</t>
  </si>
  <si>
    <t>521-301-3011-0002</t>
  </si>
  <si>
    <t>Тостер PHILIPS HD 2635/90, мощностью 240 Вт</t>
  </si>
  <si>
    <t>521-301-3011-0003</t>
  </si>
  <si>
    <t>Тостер ELECTROLUX E3T1-3ST,
мощностью 800 Вт</t>
  </si>
  <si>
    <t>521-301-3011-0004</t>
  </si>
  <si>
    <t>Тостер BORK T702, мощностью 1000 Вт</t>
  </si>
  <si>
    <t>521-301-3011-0005</t>
  </si>
  <si>
    <t>Тостер KITCHEN AID 5KMT221EAC,
мощностью 1100 Вт</t>
  </si>
  <si>
    <t>521-301-3012</t>
  </si>
  <si>
    <t>Кухонный комбайн</t>
  </si>
  <si>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</si>
  <si>
    <t>521-301-3013</t>
  </si>
  <si>
    <t>Миксер</t>
  </si>
  <si>
    <t>521-301-3014</t>
  </si>
  <si>
    <t>Мясорубка электрическая</t>
  </si>
  <si>
    <t>521-301-3014-0001</t>
  </si>
  <si>
    <t>Мясорубка SXC-12 (385*220*430 мм)</t>
  </si>
  <si>
    <t>521-301-3014-0002</t>
  </si>
  <si>
    <t>Мясорубка SXC-22 (440*220*450 мм)</t>
  </si>
  <si>
    <t>521-301-3014-0003</t>
  </si>
  <si>
    <t>Мясорубка настольная ТМ-12М (500*460*350 мм)</t>
  </si>
  <si>
    <t>521-301-3014-0005</t>
  </si>
  <si>
    <t>Мясорубка настольная ТМ-32 (560*460*430 мм)</t>
  </si>
  <si>
    <t>521-301-3014-0006</t>
  </si>
  <si>
    <t>Мясорубка настольная ТМ-32М (560*460*430 мм)</t>
  </si>
  <si>
    <t>521-301-3014-0007</t>
  </si>
  <si>
    <t>Мясорубка настольная МИМ-300М (560*460*420 мм)</t>
  </si>
  <si>
    <t>521-301-3015</t>
  </si>
  <si>
    <t>Плита электрическая</t>
  </si>
  <si>
    <t>521-301-3015-0001</t>
  </si>
  <si>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</si>
  <si>
    <t>521-301-3015-0002</t>
  </si>
  <si>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</si>
  <si>
    <t>521-301-3015-0003</t>
  </si>
  <si>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</si>
  <si>
    <t>521-301-3015-0004</t>
  </si>
  <si>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</si>
  <si>
    <t>521-301-3015-0005</t>
  </si>
  <si>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</si>
  <si>
    <t>521-301-3016</t>
  </si>
  <si>
    <t>Вытяжка над плитой</t>
  </si>
  <si>
    <t>521-301-3016-0001</t>
  </si>
  <si>
    <t>Зонт вытяжной FINES вентилируемый HTB-HV (980*1040*340 мм)</t>
  </si>
  <si>
    <t>521-301-3016-0002</t>
  </si>
  <si>
    <t>Зонт вытяжной FINES конденсируемый FBM-K60 (930*840*220 мм)</t>
  </si>
  <si>
    <t>521-301-3016-0003</t>
  </si>
  <si>
    <t>Зонт вытяжной FINES конденсируемый FBM-K40 (730*840*220 мм)</t>
  </si>
  <si>
    <t>521-301-3016-0004</t>
  </si>
  <si>
    <t>Зонт вытяжной FINES вентилируемый HV-86 (1165*1080*340 мм)</t>
  </si>
  <si>
    <t>521-301-3016-0005</t>
  </si>
  <si>
    <t>Зонт вытяжной FINES конденсируемый HTB-HK (980*880*340 мм)</t>
  </si>
  <si>
    <t>521-301-3016-0006</t>
  </si>
  <si>
    <t>Зонт вытяжной FINES конденсируемый HK-86 (1165*880*340 мм)</t>
  </si>
  <si>
    <t>521-301-3016-0007</t>
  </si>
  <si>
    <t>Зонт вытяжной пристенный с жироулавливающим лабиринтным фильтром ЗВ-П08/08 (800*800*350 мм)</t>
  </si>
  <si>
    <t>521-301-3016-0008</t>
  </si>
  <si>
    <t>Зонт вытяжной пристенный с жироулавливающим лабиринтным фильтром ЗВ-П09/09 (900*900*350 мм)</t>
  </si>
  <si>
    <t>521-301-3016-0009</t>
  </si>
  <si>
    <t>Зонт вытяжной пристенный с жироулавливающим лабиринтным фильтром ЗВ-П12/09 (1200*900*350 мм)</t>
  </si>
  <si>
    <t>521-301-3016-0010</t>
  </si>
  <si>
    <t>Вытяжка над плитой MAUNFELD MPA 60, производительностью 420 м3/ч</t>
  </si>
  <si>
    <t>521-301-3016-0011</t>
  </si>
  <si>
    <t>Вытяжка над плитой DAUSCHER
DCH-1560BL, производительностью 500 м3/ч</t>
  </si>
  <si>
    <t>521-301-3016-0012</t>
  </si>
  <si>
    <t>Вытяжка над плитой MBS PILEA 160 BLACK, производительностью 100-399 м3/ч</t>
  </si>
  <si>
    <t>521-301-3016-0013</t>
  </si>
  <si>
    <t>Вытяжка над плитой MAUNFELD CORK 60 БЕЛЫЙ, производительностью 620 м3/ч</t>
  </si>
  <si>
    <t>521-301-3016-0014</t>
  </si>
  <si>
    <t>Вытяжка над плитой HANSA OTP 6233 IH, производительностью 350 м3/ч</t>
  </si>
  <si>
    <t>521-301-3016-0015</t>
  </si>
  <si>
    <t>Вытяжка над плитой MBS VALLOTA 160 BLACK, производительностью 650 м3/ч</t>
  </si>
  <si>
    <t>521-301-3016-0016</t>
  </si>
  <si>
    <t>Вытяжка над плитой BOSCH DHU 632 HQ, производительностью 210 м3/ч</t>
  </si>
  <si>
    <t>521-301-3016-0017</t>
  </si>
  <si>
    <t>Вытяжка над плитой MBS PRIMULA 160 BLACK, производительностью 500 м3/ч</t>
  </si>
  <si>
    <t>521-301-3016-0018</t>
  </si>
  <si>
    <t>Вытяжка над плитой BEKO HNU 51311 SH, производительностью 381 м3/ч</t>
  </si>
  <si>
    <t>521-301-3016-0019</t>
  </si>
  <si>
    <t>Вытяжка над плитой MBS GERBERA 160 BLACK, производительностью 100-399 м3/ч</t>
  </si>
  <si>
    <t>521-301-3016-0020</t>
  </si>
  <si>
    <t>Вытяжка над плитой ELECTROLUX EFV 516 K, производительностью 530 м3/ч</t>
  </si>
  <si>
    <t>521-301-3016-0021</t>
  </si>
  <si>
    <t>Вытяжка над плитой BOSCH DWK 67CM60, производительностью 700 м3/ч</t>
  </si>
  <si>
    <t>521-301-3016-0022</t>
  </si>
  <si>
    <t>Вытяжка над плитой MBS LILIA 135 INOX, производительностью 1030 м3/ч</t>
  </si>
  <si>
    <t>521-301-3016-0023</t>
  </si>
  <si>
    <t>Вытяжка над плитой BEKO CWB 6410 CR, производительностью 400-699 м3/ч</t>
  </si>
  <si>
    <t>521-301-3016-0024</t>
  </si>
  <si>
    <t>Вытяжка над плитой LG HCEZ 2415 S, производительностью 800 м3/ч</t>
  </si>
  <si>
    <t>521-301-3017</t>
  </si>
  <si>
    <t>Холодильник</t>
  </si>
  <si>
    <t>521-301-3017-0007</t>
  </si>
  <si>
    <t>Холодильник, общий объем не менее 94л,
однокамерный</t>
  </si>
  <si>
    <t>Тип холодильника: однокамерный. Общий объем не менее 94л. Класс энергопотребления А+</t>
  </si>
  <si>
    <t>521-301-3018</t>
  </si>
  <si>
    <t>Кухонный гарнитур</t>
  </si>
  <si>
    <t>521-301-3018-0001</t>
  </si>
  <si>
    <t>Шкаф для посуды (кухонный гарнитур) 1200х500х1800мм</t>
  </si>
  <si>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</si>
  <si>
    <t>521-301-3100</t>
  </si>
  <si>
    <t>Технология обработки тканей и художественной обработки материалов</t>
  </si>
  <si>
    <t>521-301-3101</t>
  </si>
  <si>
    <t>Стол для труда под швейную машину</t>
  </si>
  <si>
    <t>521-301-3101-0001</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</si>
  <si>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</si>
  <si>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</si>
  <si>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521-301-3101-0002</t>
  </si>
  <si>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</si>
  <si>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</si>
  <si>
    <t>521-301-3101-0003</t>
  </si>
  <si>
    <t>Стол под швейную машину 500х800х800 мм. Столешница из ЛДСП 16мм, тумба с выдвижными ящиками, основание металлическое</t>
  </si>
  <si>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</si>
  <si>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521-301-3101-0005</t>
  </si>
  <si>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</si>
  <si>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</si>
  <si>
    <t>521-301-3101-0006</t>
  </si>
  <si>
    <t>Стол для раскроя ткани на колесах, размеры столешницы 1600х1200 мм, толщина ЛДСП 22 мм</t>
  </si>
  <si>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</si>
  <si>
    <t>521-301-3102</t>
  </si>
  <si>
    <t>Стол для раскроя ткани. Столешница 32мм,
опоры ЛДСП 16мм. Размеры 1000х800мм.</t>
  </si>
  <si>
    <t>Стол для раскроя ткани. Столешница ЛДСП 32мм, опоры ЛДСП 16мм.
Размеры 1000х800мм.</t>
  </si>
  <si>
    <t>521-301-3103</t>
  </si>
  <si>
    <t>Оверлок</t>
  </si>
  <si>
    <t>521-301-3103-0001</t>
  </si>
  <si>
    <t>Оверлок швейный  TOYOTA SLR 4D, потребляемая мощность 90Вт, количество швейных операций - 7, максимальная скорость шитья 1200 ст/мин</t>
  </si>
  <si>
    <t>521-301-3103-0002</t>
  </si>
  <si>
    <t>Оверлок швейный CHAYKA ЧАЙКА 649, потребляемая мощность 100 Вт, количество швейных операций - 12, максимальная скорость шитья 1300 ст/мин</t>
  </si>
  <si>
    <t>521-301-3103-0003</t>
  </si>
  <si>
    <t>Оверлок швейный TRIO Dreamlock 777, потребляемая мощность 135 Вт, количество швейных операций - 8, максимальная скорость шитья 1200 ст/мин</t>
  </si>
  <si>
    <t>521-301-3103-0004</t>
  </si>
  <si>
    <t>Оверлок швейный JANOME ARTSTYLE 4057, потребляемая мощность 105 Вт, количество швейных операций - 8, максимальная скорость шитья 1300 ст/мин</t>
  </si>
  <si>
    <t>521-301-3103-0005</t>
  </si>
  <si>
    <t>Оверлок швейный JANOME MYLOCK 4952, потребляемая мощность 120 Вт, количество швейных операций - 4, максимальная скорость шитья 1300 ст/мин</t>
  </si>
  <si>
    <t>521-301-3103-0006</t>
  </si>
  <si>
    <t>Оверлок швейный ELNA 664 Pro, потребляемая мощность 120 Вт, количество швейных операций - 12, максимальная скорость шитья 1300 ст/мин</t>
  </si>
  <si>
    <t>521-301-3103-0007</t>
  </si>
  <si>
    <t>Оверлок швейный BERNETTE B44, потребляемая мощность 90 Вт, количество швейных операций - 15, максимальная скорость шитья 1300 ст/мин</t>
  </si>
  <si>
    <t>521-301-3103-0008</t>
  </si>
  <si>
    <t>Оверлок JANOME MYLOCK 944 D,
потребляемая мощность 105 Вт, количество швейных операций - 11, максимальная скорость шитья 1300 ст/мин</t>
  </si>
  <si>
    <t>521-301-3103-0009</t>
  </si>
  <si>
    <t>Оверлок (UniCraft RK-95), размер 470мм х 330мм х 490мм</t>
  </si>
  <si>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</si>
  <si>
    <t>521-301-3103-0010</t>
  </si>
  <si>
    <t>Оверлок швейный типа bernette FUNLOCK 44, потребляемая мощность 90Вт, количество швейных операций - 15, максимальная скорость шитья 1300 ст/мин</t>
  </si>
  <si>
    <t>521-301-3104</t>
  </si>
  <si>
    <t>Доска гладильная напольная</t>
  </si>
  <si>
    <t>521-301-3105</t>
  </si>
  <si>
    <t>Манекен женский</t>
  </si>
  <si>
    <t>521-301-3106</t>
  </si>
  <si>
    <t>Манекен мужской</t>
  </si>
  <si>
    <t>521-301-3109</t>
  </si>
  <si>
    <t>Станок ткацкий</t>
  </si>
  <si>
    <t>521-301-3109-0001</t>
  </si>
  <si>
    <t>Станок ткацкий ручной (UniCraft RT -95), размер 385мм х270мм х320мм</t>
  </si>
  <si>
    <t>Материал-дерево, с разборным корпусом,оснащен регулируемыми натяжителями нитей, различными режимами настройки.</t>
  </si>
  <si>
    <t>521-301-3112</t>
  </si>
  <si>
    <t>Машина вышивальная</t>
  </si>
  <si>
    <t>521-301-3112-0001</t>
  </si>
  <si>
    <t>Машина вышивальная JANOME Memory Craft 550E, количество вышивальных дизайнов - 180, потребляемая мощность 55 Вт, максимальная скорость шитья 860 ст/мин</t>
  </si>
  <si>
    <t>521-301-3112-0002</t>
  </si>
  <si>
    <t>Машина вышивальная (UniCraft Memory Craft), размер 450мм х 350мм х480мм</t>
  </si>
  <si>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</si>
  <si>
    <t>521-301-3113</t>
  </si>
  <si>
    <t>Машина швейная</t>
  </si>
  <si>
    <t>521-301-3113-0001</t>
  </si>
  <si>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</si>
  <si>
    <t>521-301-3113-0002</t>
  </si>
  <si>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</si>
  <si>
    <t>521-301-3113-0003</t>
  </si>
  <si>
    <t>Машина швейная электромеханическая VERITAS Janis, количество швейных операций - 9, потребляемая мощность 70 Вт, максимальная скорость шитья 750 ст/мин</t>
  </si>
  <si>
    <t>521-301-3113-0004</t>
  </si>
  <si>
    <t>Машина швейная  JAGUAR PS 650, количество швейных операций - 80, потребляемая мощность 85 Вт, максимальная скорость шитья 750 ст/мин</t>
  </si>
  <si>
    <t>521-301-3113-0005</t>
  </si>
  <si>
    <t>Машина швейная электромеханическая TOYOTA SUPER J 34, количество швейных операций - 34, потребляемая мощность 65 Вт, максимальная скорость шитья 700 ст/мин</t>
  </si>
  <si>
    <t>521-301-3113-0006</t>
  </si>
  <si>
    <t>Машина швейная электромеханическая JANOME Cherry 20, количество швейных операций - 20, потребляемая мощность 60 Вт, максимальная скорость шитья 600 ст/мин</t>
  </si>
  <si>
    <t>521-301-3113-0007</t>
  </si>
  <si>
    <t>Машина швейная электромеханическая JANOME HighStyle 1818, количество швейных операций - 19, потребляемая мощность 65 Вт, максимальная скорость шитья 400 ст/мин</t>
  </si>
  <si>
    <t>521-301-3113-0008</t>
  </si>
  <si>
    <t>Машина швейная электромеханическая BERNETTE Sublime Milan 3, количество швейных операций - 21, потребляемая мощность 80 Вт, максимальная скорость шитья 800 ст/мин</t>
  </si>
  <si>
    <t>521-301-3113-0009</t>
  </si>
  <si>
    <t>Машина швейная электромеханическая JANOME 1225s, количество швейных операций - 25, потребляемая мощность 85 Вт, максимальная скорость шитья 700 ст/мин</t>
  </si>
  <si>
    <t>521-301-3113-0010</t>
  </si>
  <si>
    <t>Машина швейная электромеханическая BERNETTE Sublime Milan 5, количество швейных операций - 28, потребляемая мощность 85 Вт, максимальная скорость шитья 800 ст/мин</t>
  </si>
  <si>
    <t>521-301-3113-0011</t>
  </si>
  <si>
    <t>Машина швейная электромеханическая BERNETTE B35, количество швейных операций - 23, потребляемая мощность 85 Вт, максимальная скорость шитья 860 ст/мин</t>
  </si>
  <si>
    <t>521-301-3113-0012</t>
  </si>
  <si>
    <t>Машина швейная электромеханическая JANOME 7515, количество швейных операций - 15, потребляемая мощность 85 Вт, максимальная скорость шитья 860 ст/мин</t>
  </si>
  <si>
    <t>521-301-3113-0013</t>
  </si>
  <si>
    <t>Машина швейная электронная CHAYKA ЧАЙКА NEW WAVE 877, количество швейных операций - 100, потребляемая мощность 51 Вт, максимальная скорость шитья 1000 ст/мин</t>
  </si>
  <si>
    <t>521-301-3113-0014</t>
  </si>
  <si>
    <t>Машина швейная электромеханическая BERNETTE 05 Academy, количество швейных операций - 30, потребляемая мощность 60 Вт, максимальная скорость шитья 1100 ст/мин</t>
  </si>
  <si>
    <t>521-301-3113-0015</t>
  </si>
  <si>
    <t>Машина швейная компьютеризированная (UniCraft RC 4300), размер 510мм х380мм х380мм</t>
  </si>
  <si>
    <t>Максимальная скорость шитья: не менее 570 стежков в минуту, с ЖК-дисплеем для выбора строчек и настройки параметров</t>
  </si>
  <si>
    <t>521-301-3113-0016</t>
  </si>
  <si>
    <t>Машина швейная электрическая (UniCraft SK-95), размер 580мм х 250мм х 540мм</t>
  </si>
  <si>
    <t>Максимальная скорость шитья: не менее 4 100 стежков в минуту</t>
  </si>
  <si>
    <t>521-301-3113-0017</t>
  </si>
  <si>
    <t>Машина швейная типа bernette Sew and Go 5, электромеханическая, количество швейных операций - 23, потребляемая мощность 70 Вт</t>
  </si>
  <si>
    <t>521-301-3113-0018</t>
  </si>
  <si>
    <t>Машина швейная типа bernette Sew and Go 8, компьютерная, количество швейных операций - 197, потребляемая мощность 70 Вт</t>
  </si>
  <si>
    <t>521-301-3113-0019</t>
  </si>
  <si>
    <t>Машина швейная типа bernette b70 DECO, электронная, количество швейных операций
- 208, потребляемая мощность 90 Вт</t>
  </si>
  <si>
    <t>521-301-3119</t>
  </si>
  <si>
    <t>Кабина примерочная</t>
  </si>
  <si>
    <t>521-301-3119-0001</t>
  </si>
  <si>
    <t>Кабина примерочная прямоугольная с занавесом</t>
  </si>
  <si>
    <t>Кабина примерочная со шторкой, ЛДСП 16 мм, размеры не менее 1500*1500*1800мм</t>
  </si>
  <si>
    <t>521-301-3120</t>
  </si>
  <si>
    <t>Шкаф для швейных инструментов</t>
  </si>
  <si>
    <t>521-301-3120-0001</t>
  </si>
  <si>
    <t>Шкаф в комплекте со швейными инструментами и расходниками (CraftLab). Размер 1200х550х1800</t>
  </si>
  <si>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</si>
  <si>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521-301-3400</t>
  </si>
  <si>
    <t>Помещение для хранения оружия и военно-технического имущества</t>
  </si>
  <si>
    <t>521-301-3401</t>
  </si>
  <si>
    <t>Стеллаж металлический для хранения противогазов и военно-технического имущества. Размеры 700х300х1800мм.</t>
  </si>
  <si>
    <t>Стеллаж металлический для хранения противогазов и военно-технического имущества. Размеры 700х300х1800мм. Изготовлен из высококачественной стали.</t>
  </si>
  <si>
    <t>521-301-3402</t>
  </si>
  <si>
    <t>Шкаф (пирамида) для хранения оружия</t>
  </si>
  <si>
    <t>521-301-3402-0001</t>
  </si>
  <si>
    <t>Пирамида 1054*530*360/1822 (из 3мм) 20 единиц оружия</t>
  </si>
  <si>
    <t>521-301-3402-0002</t>
  </si>
  <si>
    <t>Пирамида 1190*450*1920 (из 3мм) 14 единиц оружия</t>
  </si>
  <si>
    <t>521-301-3402-0003</t>
  </si>
  <si>
    <t>Шкаф для хранения оружия, ЛДСП 16мм, 10 единиц оружия, размер 1000х500х2000мм</t>
  </si>
  <si>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</si>
  <si>
    <t>521-301-3402-0004</t>
  </si>
  <si>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</si>
  <si>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</si>
  <si>
    <t>521-301-3404</t>
  </si>
  <si>
    <t>Массогабаритный макет автомата
Калашникова</t>
  </si>
  <si>
    <t>521-301-3406</t>
  </si>
  <si>
    <t>Общевойсковой защитный комплект</t>
  </si>
  <si>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</si>
  <si>
    <t>521-301-3407</t>
  </si>
  <si>
    <t>Противогаз общевойсковой фильтрующий</t>
  </si>
  <si>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</si>
  <si>
    <t>521-301-3408</t>
  </si>
  <si>
    <t>Противогаз гражданский</t>
  </si>
  <si>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</si>
  <si>
    <t>521-301-3409</t>
  </si>
  <si>
    <t>Респиратор</t>
  </si>
  <si>
    <t>521-301-3410</t>
  </si>
  <si>
    <t>Войсковой прибор химической разведки</t>
  </si>
  <si>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</si>
  <si>
    <t>521-301-3412</t>
  </si>
  <si>
    <t>Комплект индивидуальных дозиметров</t>
  </si>
  <si>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</si>
  <si>
    <t>521-301-3415</t>
  </si>
  <si>
    <t>Малая пехотная лопата</t>
  </si>
  <si>
    <t>521-301-3418</t>
  </si>
  <si>
    <t>Компас армейский</t>
  </si>
  <si>
    <t>521-301-3420</t>
  </si>
  <si>
    <t>Индивидуальный перевязочный пакет</t>
  </si>
  <si>
    <t>521-301-3422</t>
  </si>
  <si>
    <t>Сумка санитарная со спецукладкой в комплекте</t>
  </si>
  <si>
    <t>521-301-3900</t>
  </si>
  <si>
    <t>Тир</t>
  </si>
  <si>
    <t>521-301-3906</t>
  </si>
  <si>
    <t>Стойка – подставка для стрельбы стоя</t>
  </si>
  <si>
    <t>521-301-3906-0001</t>
  </si>
  <si>
    <t>Стойка для хранения лука для стрельбы. Габариты: 1300х250х1300 мм</t>
  </si>
  <si>
    <t>Основание каркаса металл. Порошковая краска. Материал изготовления: металл покрытый порошковой краской.</t>
  </si>
  <si>
    <t>521-301-3907</t>
  </si>
  <si>
    <t>Стол для чистки и смазки стрелкового оружия</t>
  </si>
  <si>
    <t>521-301-4000</t>
  </si>
  <si>
    <t>Наборы и принадлежности для кабинета биотехнологий</t>
  </si>
  <si>
    <t>521-301-4001</t>
  </si>
  <si>
    <t>Набор оборудования для проведения экспериментов электрофореза агароза</t>
  </si>
  <si>
    <t>521-301-4001-0001</t>
  </si>
  <si>
    <t>Набор оборудования для проведения экспериментов электрофореза агароза типа Experia BN-15</t>
  </si>
  <si>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</si>
  <si>
    <t>521-301-4001-0002</t>
  </si>
  <si>
    <t>Набор оборудования для проведения экспериментов электрофореза агароза типа Wards Science 4701</t>
  </si>
  <si>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</si>
  <si>
    <t>521-301-4002</t>
  </si>
  <si>
    <t>Лабораторный практикум "Анализ отпечатков пальцев"</t>
  </si>
  <si>
    <t>521-301-4002-0001</t>
  </si>
  <si>
    <t>Лабораторный практикум "Анализ отпечатков пальцев" типа Experia BN-16</t>
  </si>
  <si>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</si>
  <si>
    <t>521-301-4002-0002</t>
  </si>
  <si>
    <t>Лабораторный практикум "Анализ отпечатков пальцев" типа Wards Science 4702</t>
  </si>
  <si>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</si>
  <si>
    <t>521-301-4003</t>
  </si>
  <si>
    <t>Экспериментальный набор "Электрофорез"</t>
  </si>
  <si>
    <t>521-301-4003-0001</t>
  </si>
  <si>
    <t>Экспериментальный набор "Электрофорез" типа Experia BN-17</t>
  </si>
  <si>
    <t>521-301-4003-0002</t>
  </si>
  <si>
    <t>Экспериментальный набор "Электрофорез" типа Wards Science 4703</t>
  </si>
  <si>
    <t>521-301-4004</t>
  </si>
  <si>
    <t>Экспериментальный набор "Строение ДНК"</t>
  </si>
  <si>
    <t>521-301-4004-0001</t>
  </si>
  <si>
    <t>Экспериментальный набор "Строение ДНК" типа Experia BN-19</t>
  </si>
  <si>
    <t>521-301-4004-0002</t>
  </si>
  <si>
    <t>Экспериментальный набор "Строение ДНК" типа Wards Science 4705</t>
  </si>
  <si>
    <t>521-301-4005</t>
  </si>
  <si>
    <t>Практикум "Электрофорез ДНК часть 1"</t>
  </si>
  <si>
    <t>521-301-4005-0001</t>
  </si>
  <si>
    <t>Практикум "Электрофорез ДНК часть 1" типа Experia BN-20</t>
  </si>
  <si>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</si>
  <si>
    <t>521-301-4005-0002</t>
  </si>
  <si>
    <t>Практикум "Электрофорез ДНК часть 1" типа Wards Science 4706</t>
  </si>
  <si>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</si>
  <si>
    <t>521-301-4006</t>
  </si>
  <si>
    <t>Практикум "Электрофорез ДНК часть 2"</t>
  </si>
  <si>
    <t>521-301-4006-0001</t>
  </si>
  <si>
    <t>Практикум "Электрофорез ДНК часть 2" типа Experia BN-21</t>
  </si>
  <si>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</si>
  <si>
    <t>521-301-4006-0002</t>
  </si>
  <si>
    <t>Практикум "Электрофорез ДНК часть 2" типа Wards Science 4707</t>
  </si>
  <si>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</si>
  <si>
    <t>521-301-4007</t>
  </si>
  <si>
    <t>Учебный практикум "Экстракция ДНК из фруктов и овощей"</t>
  </si>
  <si>
    <t>521-301-4007-0001</t>
  </si>
  <si>
    <t>Учебный практикум "Экстракция ДНК из фруктов и овощей" типа Experia BN-22</t>
  </si>
  <si>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</si>
  <si>
    <t>521-301-4007-0002</t>
  </si>
  <si>
    <t>Учебный практикум "Экстракция ДНК из фруктов и овощей" типа Wards Science 4708</t>
  </si>
  <si>
    <t>В комплект входит: • Буфер экстракции ДНК  • калибровочные пипетки  • деревянная палочка  • большие тест трубки  •  маленькие тест трубки</t>
  </si>
  <si>
    <t>521-301-4008</t>
  </si>
  <si>
    <t>Набор для лабораторных работ по исследованию ДНК бактерий</t>
  </si>
  <si>
    <t>521-301-4008-0001</t>
  </si>
  <si>
    <t>Набор для лабораторных работ по исследованию ДНК бактерий типа Experia BN-23</t>
  </si>
  <si>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</si>
  <si>
    <t>521-301-4008-0002</t>
  </si>
  <si>
    <t>Набор для лабораторных работ по исследованию ДНК бактерий типа Wards Science 4709</t>
  </si>
  <si>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</si>
  <si>
    <t>521-301-4009</t>
  </si>
  <si>
    <t>Практикум "Регулирование экспрессии гена: эксперимент по метилированию ДНК"</t>
  </si>
  <si>
    <t>521-301-4009-0001</t>
  </si>
  <si>
    <t>Практикум "Регулирование экспрессии гена: эксперимент по метилированию ДНК" типа Experia BN-24</t>
  </si>
  <si>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</si>
  <si>
    <t>521-301-4009-0002</t>
  </si>
  <si>
    <t>Практикум "Регулирование экспрессии гена: эксперимент по метилированию ДНК" типа Wards Science 47010</t>
  </si>
  <si>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</si>
  <si>
    <t>521-301-4010</t>
  </si>
  <si>
    <t>Практикум "Расщепление молекул: Система анализа белка и ДНК"</t>
  </si>
  <si>
    <t>521-301-4010-0001</t>
  </si>
  <si>
    <t>Практикум "Расщепление молекул: Система анализа белка и ДНК" типа Experia BN-25</t>
  </si>
  <si>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</si>
  <si>
    <t>521-301-4010-0002</t>
  </si>
  <si>
    <t>Практикум "Расщепление молекул: Система анализа белка и ДНК" типа Wards Science 47011</t>
  </si>
  <si>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</si>
  <si>
    <t>521-301-4011</t>
  </si>
  <si>
    <t>Лабораторный практикум "Открытие ДНК"</t>
  </si>
  <si>
    <t>521-301-4011-0002</t>
  </si>
  <si>
    <t>Лабораторный практикум "Открытие ДНК"
типа Wards Science 47012</t>
  </si>
  <si>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</si>
  <si>
    <t>521-301-4012</t>
  </si>
  <si>
    <t>Лабораторный практикум "Карта ДНК
семьи"</t>
  </si>
  <si>
    <t>521-301-4012-0001</t>
  </si>
  <si>
    <t>Лабораторный практикум "Карта ДНК
семьи" типа Experia BN-27</t>
  </si>
  <si>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</si>
  <si>
    <t>521-301-4012-0002</t>
  </si>
  <si>
    <t>Лабораторный практикум "Карта ДНК
семьи" типа Wards Science 47013</t>
  </si>
  <si>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</si>
  <si>
    <t>521-301-4013</t>
  </si>
  <si>
    <t>Практикум "Воссоздание
кариотипирования"</t>
  </si>
  <si>
    <t>521-301-4013-0001</t>
  </si>
  <si>
    <t>Практикум "Воссоздание
кариотипирования" типа Experia BN-28</t>
  </si>
  <si>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</si>
  <si>
    <t>521-301-4013-0002</t>
  </si>
  <si>
    <t>Практикум "Воссоздание кариотипирования" типа Wards Science 47014</t>
  </si>
  <si>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</si>
  <si>
    <t>521-301-4014</t>
  </si>
  <si>
    <t>Лабораторный практикум "Рекомбинант
ДНК, демонстрация моделей"</t>
  </si>
  <si>
    <t>521-301-4014-0001</t>
  </si>
  <si>
    <t>Лабораторный практикум "Рекомбинант ДНК, демонстрация моделей" типа Experia BN-29</t>
  </si>
  <si>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</si>
  <si>
    <t>521-301-4014-0002</t>
  </si>
  <si>
    <t>Лабораторный практикум "Рекомбинант ДНК, демонстрация моделей" типа Wards Science 47016</t>
  </si>
  <si>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</si>
  <si>
    <t>521-301-4015</t>
  </si>
  <si>
    <t>Набор для определения уровня антител</t>
  </si>
  <si>
    <t>521-301-4015-0001</t>
  </si>
  <si>
    <t>Набор для определения уровня антител типа Experia BN-30</t>
  </si>
  <si>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</si>
  <si>
    <t>521-301-4015-0002</t>
  </si>
  <si>
    <t>Набор для определения уровня антител типа Wards Science 47017</t>
  </si>
  <si>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</si>
  <si>
    <t>521-301-4016</t>
  </si>
  <si>
    <t>Учебный набор "Определение диагноза"</t>
  </si>
  <si>
    <t>521-301-4016-0001</t>
  </si>
  <si>
    <t>Учебный набор "Определение диагноза"
типа Experia BN-31</t>
  </si>
  <si>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</si>
  <si>
    <t>521-301-4016-0002</t>
  </si>
  <si>
    <t>Учебный набор "Определение диагноза"
типа Wards Science 47018</t>
  </si>
  <si>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</si>
  <si>
    <t>521-301-4017</t>
  </si>
  <si>
    <t>Комплект оборудования для ферментации</t>
  </si>
  <si>
    <t>521-301-4017-0001</t>
  </si>
  <si>
    <t>Комплект оборудования для ферментации типа Experia BN-32</t>
  </si>
  <si>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</si>
  <si>
    <t>521-301-4017-0002</t>
  </si>
  <si>
    <t>Комплект оборудования для ферментации типа Wards Science 47019</t>
  </si>
  <si>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</si>
  <si>
    <t>521-301-4018</t>
  </si>
  <si>
    <t>Учебный набор "Тестирование продуктов ферментации"</t>
  </si>
  <si>
    <t>521-301-4018-0001</t>
  </si>
  <si>
    <t>Учебный набор "Тестирование продуктов ферментации" типа Experia BN-34</t>
  </si>
  <si>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</si>
  <si>
    <t>521-301-4018-0002</t>
  </si>
  <si>
    <t>Учебный набор "Тестирование продуктов ферментации" типа Wards Science 47021</t>
  </si>
  <si>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</si>
  <si>
    <t>521-301-4018-0003</t>
  </si>
  <si>
    <t>Учебный набор "Тестирование продуктов ферментации" типа Wards Science 47060</t>
  </si>
  <si>
    <t>В комплект входит: 50 г глюкозы 50 г сахарозы 50 г лактозы 50 г фруктозы 10 г дрожжей</t>
  </si>
  <si>
    <t>521-301-4019</t>
  </si>
  <si>
    <t>Экспериментальный набор "Изучение свойств энзимов на практике"</t>
  </si>
  <si>
    <t>521-301-4019-0001</t>
  </si>
  <si>
    <t>Экспериментальный набор "Изучение свойств энзимов на практике" типа Experia BN-35</t>
  </si>
  <si>
    <t>521-301-4019-0002</t>
  </si>
  <si>
    <t>Экспериментальный набор "Изучение свойств энзимов на практике" типа Wards Science 47024</t>
  </si>
  <si>
    <t>521-301-4020</t>
  </si>
  <si>
    <t>Лабораторный практикум "Пища, как инструмент научной деятельности лаборатории"</t>
  </si>
  <si>
    <t>521-301-4020-0001</t>
  </si>
  <si>
    <t>Лабораторный практикум "Пища, как инструмент научной деятельности лаборатории" типа Experia BN-36</t>
  </si>
  <si>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</si>
  <si>
    <t>521-301-4020-0002</t>
  </si>
  <si>
    <t>Лабораторный практикум "Пища, как инструмент научной деятельности лаборатории" типа Wards Science 47026</t>
  </si>
  <si>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</si>
  <si>
    <t>521-301-4021</t>
  </si>
  <si>
    <t>Лабораторный практикум "Геномодифицированные продукты: полиразмерная идентификация"</t>
  </si>
  <si>
    <t>521-301-4021-0001</t>
  </si>
  <si>
    <t>Лабораторный практикум "Геномодифицированные продукты: полиразмерная идентификация" типа Experia BN-37</t>
  </si>
  <si>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</si>
  <si>
    <t>521-301-4021-0002</t>
  </si>
  <si>
    <t>Лабораторный практикум "Геномодифицированные продукты: полиразмерная идентификация" типа Wards Science 47027</t>
  </si>
  <si>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</si>
  <si>
    <t>521-301-4022</t>
  </si>
  <si>
    <t>Набор микропрепаратов "Ткани" (растений, грибов, животных)</t>
  </si>
  <si>
    <t>521-301-4022-0001</t>
  </si>
  <si>
    <t>Набор микропрепаратов "Ткани" (растений, грибов, животных) типа Experia BN-38</t>
  </si>
  <si>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</si>
  <si>
    <t>521-301-4022-0002</t>
  </si>
  <si>
    <t>Набор микропрепаратов "Ткани" (растений, грибов, животных) типа Wards Science 47028</t>
  </si>
  <si>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</si>
  <si>
    <t>521-301-4023</t>
  </si>
  <si>
    <t>Набор "Ткани животных"</t>
  </si>
  <si>
    <t>521-301-4023-0001</t>
  </si>
  <si>
    <t>Набор "Ткани животных" типа Experia
BN-39</t>
  </si>
  <si>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</si>
  <si>
    <t>521-301-4023-0002</t>
  </si>
  <si>
    <t>Набор "Ткани животных" типа Wards Science
47029</t>
  </si>
  <si>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</si>
  <si>
    <t>521-301-4024</t>
  </si>
  <si>
    <t>Набор для исследования по выращивания
клеток живой ткани</t>
  </si>
  <si>
    <t>521-301-4024-0001</t>
  </si>
  <si>
    <t>Набор для исследования по выращивания
клеток живой ткани типа Experia BN-40</t>
  </si>
  <si>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</si>
  <si>
    <t>521-301-4024-0002</t>
  </si>
  <si>
    <t>Набор для исследования по выращивания клеток живой ткани типа Wards Science 47030</t>
  </si>
  <si>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</si>
  <si>
    <t>521-301-4025</t>
  </si>
  <si>
    <t>Комплект "Растительные ткани"</t>
  </si>
  <si>
    <t>521-301-4025-0001</t>
  </si>
  <si>
    <t>Комплект "Растительные ткани" типа Experia BN-41</t>
  </si>
  <si>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</si>
  <si>
    <t>521-301-4025-0002</t>
  </si>
  <si>
    <t>Комплект "Растительные ткани" типа Wards Science 47031</t>
  </si>
  <si>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</si>
  <si>
    <t>521-301-4026</t>
  </si>
  <si>
    <t>Лабораторный набор "Патология растений"</t>
  </si>
  <si>
    <t>521-301-4026-0001</t>
  </si>
  <si>
    <t>Лабораторный набор "Патология растений" типа Experia BN-42</t>
  </si>
  <si>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</si>
  <si>
    <t>521-301-4026-0002</t>
  </si>
  <si>
    <t>Лабораторный набор "Патология растений" типа Wards Science 47032</t>
  </si>
  <si>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</si>
  <si>
    <t>521-301-4027</t>
  </si>
  <si>
    <t>ДНК набор: Вирусы и бактерии</t>
  </si>
  <si>
    <t>521-301-4027-0001</t>
  </si>
  <si>
    <t>ДНК набор: Вирусы и бактерии типа Experia BN-43</t>
  </si>
  <si>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</si>
  <si>
    <t>521-301-4027-0002</t>
  </si>
  <si>
    <t>ДНК набор: Вирусы и бактерии типа Wards Science 47033</t>
  </si>
  <si>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</si>
  <si>
    <t>521-301-4028</t>
  </si>
  <si>
    <t>Набор слайдов по бактериологии</t>
  </si>
  <si>
    <t>521-301-4028-0001</t>
  </si>
  <si>
    <t>Набор слайдов по бактериологии типа Experia BN-44</t>
  </si>
  <si>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</si>
  <si>
    <t>521-301-4028-0002</t>
  </si>
  <si>
    <t>Набор слайдов по бактериологии типа Wards Science 47034</t>
  </si>
  <si>
    <t>Компоненты:  Azotobacter chroococcum; Agrobacterium tumefaciens; Bacillus anthracis; Bacillus subtilis; Lactococcus lactis; Mycobacterium sp.; Proteus hauseri; Rhodospirillum rubrum; Streptococcus pyogenes</t>
  </si>
  <si>
    <t>521-301-4029</t>
  </si>
  <si>
    <t>Лабораторный практикум "Морфология цианобактерий"</t>
  </si>
  <si>
    <t>521-301-4029-0001</t>
  </si>
  <si>
    <t>Лабораторный практикум "Морфология цианобактерий" типа Experia BN-45</t>
  </si>
  <si>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</si>
  <si>
    <t>521-301-4029-0002</t>
  </si>
  <si>
    <t>Лабораторный практикум "Морфология цианобактерий" типа Wards Science 47035</t>
  </si>
  <si>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</si>
  <si>
    <t>521-301-4030</t>
  </si>
  <si>
    <t>Набор микропрепаратов "Основы бактериологии"</t>
  </si>
  <si>
    <t>521-301-4030-0001</t>
  </si>
  <si>
    <t>Набор микропрепаратов "Основы бактериологии" типа  Experia BN-46</t>
  </si>
  <si>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</si>
  <si>
    <t>521-301-4030-0002</t>
  </si>
  <si>
    <t>Набор микропрепаратов "Основы бактериологии" типа Wards Science 47036</t>
  </si>
  <si>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</si>
  <si>
    <t>521-301-4031</t>
  </si>
  <si>
    <t>Набор микропрепаратов "Структура бактерий"</t>
  </si>
  <si>
    <t>521-301-4031-0001</t>
  </si>
  <si>
    <t>Набор микропрепаратов "Структура бактерий" типа Experia BN-47</t>
  </si>
  <si>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</si>
  <si>
    <t>521-301-4031-0002</t>
  </si>
  <si>
    <t>Набор микропрепаратов "Структура бактерий" типа Wards Science 47037</t>
  </si>
  <si>
    <t>Набор содержит 6 образцов: • стенка клетки • Жировое тело • Метахроматические гранулы  • Споравбактерии • Оболочкабактерии • обычная бактерия</t>
  </si>
  <si>
    <t>521-301-4032</t>
  </si>
  <si>
    <t>Лабораторный практикум "Введение в гистологию"</t>
  </si>
  <si>
    <t>521-301-4032-0001</t>
  </si>
  <si>
    <t>Лабораторный практикум "Введение в гистологию"  типа Experia BN-48</t>
  </si>
  <si>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</si>
  <si>
    <t>521-301-4032-0002</t>
  </si>
  <si>
    <t>Лабораторный практикум "Введение в гистологию" типа Wards Science 47038</t>
  </si>
  <si>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</si>
  <si>
    <t>521-301-4033</t>
  </si>
  <si>
    <t>Лабораторный практикум "Биоремедиация на нефть. Деятельность бактерий"</t>
  </si>
  <si>
    <t>521-301-4033-0001</t>
  </si>
  <si>
    <t>Лабораторный практикум "Биоремедиация на нефть. Деятельность бактерий"  типа Experia BN-49</t>
  </si>
  <si>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</si>
  <si>
    <t>521-301-4033-0002</t>
  </si>
  <si>
    <t>Лабораторный практикум "Биоремедиация на нефть. Деятельность бактерий" типа Wards Science 47040</t>
  </si>
  <si>
    <t>В набор входят: 1. Споры:      A)Penicillium sp.  (темп. режим, живые) B)Pseudomonas sp. (темп. режим, живые)  2. Трансферные пипетки, 3.
Ватные палочки.</t>
  </si>
  <si>
    <t>521-301-4034</t>
  </si>
  <si>
    <t>Практикум "Бактерии в питьевой воде"</t>
  </si>
  <si>
    <t>521-301-4034-0001</t>
  </si>
  <si>
    <t>Практикум "Бактерии в питьевой воде" типа
Experia BN-50</t>
  </si>
  <si>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</si>
  <si>
    <t>521-301-4034-0002</t>
  </si>
  <si>
    <t>Практикум "Бактерии в питьевой воде" типа
Wards Science 47041</t>
  </si>
  <si>
    <t>Набор включает в себя: - бутылек среда агара  (темп. режим , живые)  - бутылек среда агара  (темп. режим , живые)  -транферные пипетки
-теструбки  -чаши петри</t>
  </si>
  <si>
    <t>521-301-4035</t>
  </si>
  <si>
    <t>Экспериментальный набор: Эпидемия</t>
  </si>
  <si>
    <t>521-301-4035-0001</t>
  </si>
  <si>
    <t>Экспериментальный набор: Эпидемия типа Experia BN-51</t>
  </si>
  <si>
    <t>521-301-4035-0002</t>
  </si>
  <si>
    <t>Экспериментальный набор: Эпидемия типа Wards Science 47042</t>
  </si>
  <si>
    <t>521-301-4036</t>
  </si>
  <si>
    <t>Лабораторный практикум "Аллергия"</t>
  </si>
  <si>
    <t>521-301-4036-0001</t>
  </si>
  <si>
    <t>Лабораторный практикум "Аллергия"  типа Experia BN-52</t>
  </si>
  <si>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</si>
  <si>
    <t>521-301-4036-0002</t>
  </si>
  <si>
    <t>Лабораторный практикум "Аллергия" типа Wards Science 47043</t>
  </si>
  <si>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</si>
  <si>
    <t>521-301-4037</t>
  </si>
  <si>
    <t>Лабораторный практикум "Фотосинтез и клеточное дыхание"</t>
  </si>
  <si>
    <t>521-301-4037-0001</t>
  </si>
  <si>
    <t>Лабораторный практикум "Фотосинтез и клеточное дыхание"  типа Experia BN-53</t>
  </si>
  <si>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</si>
  <si>
    <t>521-301-4037-0002</t>
  </si>
  <si>
    <t>Лабораторный практикум "Фотосинтез и клеточное дыхание" типа Wards Science 47044</t>
  </si>
  <si>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</si>
  <si>
    <t>521-301-4038</t>
  </si>
  <si>
    <t>Лабораторный практикум "Основы микробиологической деятельности"</t>
  </si>
  <si>
    <t>521-301-4038-0001</t>
  </si>
  <si>
    <t>Лабораторный практикум "Основы микробиологической деятельности" типа Experia  BN-54</t>
  </si>
  <si>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</si>
  <si>
    <t>521-301-4038-0002</t>
  </si>
  <si>
    <t>Лабораторный практикум  «Основы микробиологии» типа Wards Science 47045</t>
  </si>
  <si>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</si>
  <si>
    <t>521-301-4039</t>
  </si>
  <si>
    <t>Лабораторный набор "Диффузия и размер клетки"</t>
  </si>
  <si>
    <t>521-301-4039-0001</t>
  </si>
  <si>
    <t>Лабораторный набор "Диффузия и размер клетки" типа Experia BN-55</t>
  </si>
  <si>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</si>
  <si>
    <t>521-301-4039-0002</t>
  </si>
  <si>
    <t>Лабораторный набор "Диффузия и размер клетки" типа Wards Science 47046</t>
  </si>
  <si>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</si>
  <si>
    <t>521-301-4040</t>
  </si>
  <si>
    <t>Лабораторный практикум "Гены в пробирке"</t>
  </si>
  <si>
    <t>521-301-4040-0001</t>
  </si>
  <si>
    <t>Лабораторный практикум "Гены в пробирке"
типа Experia BN-56</t>
  </si>
  <si>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</si>
  <si>
    <t>521-301-4040-0002</t>
  </si>
  <si>
    <t>Лабораторный практикум "Гены в пробирке"
типа Wards Science 47047</t>
  </si>
  <si>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</si>
  <si>
    <t>521-301-4041</t>
  </si>
  <si>
    <t>Лабораторный практикум "Принцип
Менделя"</t>
  </si>
  <si>
    <t>521-301-4041-0001</t>
  </si>
  <si>
    <t>Лабораторный практикум "Принцип
Менделя" типа Experia BN-57</t>
  </si>
  <si>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</si>
  <si>
    <t>521-301-4041-0002</t>
  </si>
  <si>
    <t>Лабораторный практикум "Принцип
Менделя" типа Wards Science 47048</t>
  </si>
  <si>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</si>
  <si>
    <t>521-301-4042</t>
  </si>
  <si>
    <t>Лабораторный практикум "Введение в
определение наличия антител"</t>
  </si>
  <si>
    <t>521-301-4042-0001</t>
  </si>
  <si>
    <t>Лабораторный практикум "Введение в определение наличия антител" типа Experia BN-58</t>
  </si>
  <si>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</si>
  <si>
    <t>521-301-4042-0002</t>
  </si>
  <si>
    <t>Лабораторный практикум "Введение в определение наличия антител" типа Wards Science 47051</t>
  </si>
  <si>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</si>
  <si>
    <t>521-301-4043</t>
  </si>
  <si>
    <t>Лабораторный практикум "Наркотест"</t>
  </si>
  <si>
    <t>521-301-4043-0001</t>
  </si>
  <si>
    <t>Лабораторный практикум "Наркотест" типа Wards Science 47015</t>
  </si>
  <si>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</si>
  <si>
    <t>521-301-4044</t>
  </si>
  <si>
    <t>Учебный практикум "Полиразмерный цепной анализ"</t>
  </si>
  <si>
    <t>521-301-4044-0001</t>
  </si>
  <si>
    <t>Учебный практикум "Полиразмерный цепной анализ" типа Wards Science 47022</t>
  </si>
  <si>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</si>
  <si>
    <t>521-301-4045</t>
  </si>
  <si>
    <t>Комплект для полиразмерной реакции магнезия хлорида</t>
  </si>
  <si>
    <t>521-301-4045-0001</t>
  </si>
  <si>
    <t>Комплект для полиразмерной реакции магнезия хлорида типа Wards Science 47023</t>
  </si>
  <si>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</si>
  <si>
    <t>521-301-4046</t>
  </si>
  <si>
    <t>Комплект для полиразмерной реакции энзимов</t>
  </si>
  <si>
    <t>521-301-4046-0001</t>
  </si>
  <si>
    <t>Комплект для полиразмерной реакции энзимов типа Wards Science 47025</t>
  </si>
  <si>
    <t>521-301-4047</t>
  </si>
  <si>
    <t>Набор учебный "Генетика"</t>
  </si>
  <si>
    <t>521-301-4047-0001</t>
  </si>
  <si>
    <t>Набор учебный по курсу "Генетика" типа Wards Science 47049</t>
  </si>
  <si>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</si>
  <si>
    <t>521-301-4048</t>
  </si>
  <si>
    <t>Набор учебный "Визуализация клеточных процессов"</t>
  </si>
  <si>
    <t>521-301-4048-0001</t>
  </si>
  <si>
    <t>Набор учебный по курсу "Визуализация клеточных процессов" типа Wards Science 470450</t>
  </si>
  <si>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</si>
  <si>
    <t>521-301-4049</t>
  </si>
  <si>
    <t>Лабораторный эксперимент: "Осмос и диффузия"</t>
  </si>
  <si>
    <t>521-301-4049-0001</t>
  </si>
  <si>
    <t>Лабораторный эксперимент: "Осмос и диффузия" типа Wards Science 47061</t>
  </si>
  <si>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</si>
  <si>
    <t>521-301-4050</t>
  </si>
  <si>
    <t>Учебный практикум «Изучение растений и митоза животных»</t>
  </si>
  <si>
    <t>521-301-4050-0001</t>
  </si>
  <si>
    <t>Учебный практикум «Изучение растений и митоза животных» типа Wards Science 47062</t>
  </si>
  <si>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</si>
  <si>
    <t>521-301-4051</t>
  </si>
  <si>
    <t>УФ-Трансиллюминатор</t>
  </si>
  <si>
    <t>521-301-4051-0001</t>
  </si>
  <si>
    <t>УФ-Трансиллюминатор типа Wards Science</t>
  </si>
  <si>
    <t>521-301-4100</t>
  </si>
  <si>
    <t>Наборы и принадлежности для кабинета
нанотехнологий</t>
  </si>
  <si>
    <t>521-301-4101</t>
  </si>
  <si>
    <t>Набор "Зеленая нанохимия: синтез
наночастиц серебра"</t>
  </si>
  <si>
    <t>521-301-4101-0001</t>
  </si>
  <si>
    <t>Набор "Зеленая нанохимия: синтез
наночастиц серебра" типа Experia BN-61</t>
  </si>
  <si>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</si>
  <si>
    <t>521-301-4101-0002</t>
  </si>
  <si>
    <t>Набор "Зеленая нанохимия: синтез наночастиц серебра" типа Wards Science 47053</t>
  </si>
  <si>
    <t>В набор входит:  1 бутылка Нитрат серебра, 0,1 - 1 мл, Декстроза/Глюкоза 5 мл, Растворимый крахмал, Гидроксид натрия 0,1 - 5 мл, пластиковые пипетки.</t>
  </si>
  <si>
    <t>521-301-4102</t>
  </si>
  <si>
    <t>Учебный набор: Скрытые отпечатки пальцев</t>
  </si>
  <si>
    <t>521-301-4102-0001</t>
  </si>
  <si>
    <t>Учебный набор: Скрытые отпечатки пальцев типа Experia BN-62</t>
  </si>
  <si>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</si>
  <si>
    <t>521-301-4102-0002</t>
  </si>
  <si>
    <t>Учебный набор: Скрытые отпечатки пальцев типа Wards Science 47054</t>
  </si>
  <si>
    <t>Комплектность: 1. магнитный порошок, 1 гр. 2. моток ленты,  3. магнитный аппликатор 4. Дактилокарта 5. кейс, черный пластик 6. диск с инструкцией по использованию</t>
  </si>
  <si>
    <t>521-301-4103</t>
  </si>
  <si>
    <t>Лабораторный практикум по курсу "Спектроскопия"</t>
  </si>
  <si>
    <t>521-301-4103-0001</t>
  </si>
  <si>
    <t>Лабораторный практикум по курсу "Спектроскопия" типа Experia BN-63</t>
  </si>
  <si>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</si>
  <si>
    <t>521-301-4103-0002</t>
  </si>
  <si>
    <t>Лабораторный практикум по курсу "Спектроскопия": Идентификация металлов типа Wards Science 47055</t>
  </si>
  <si>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</si>
  <si>
    <t>521-301-4104</t>
  </si>
  <si>
    <t>Набор для лабораторных экспериментов по спектральному анализу и анализу окраски пламени</t>
  </si>
  <si>
    <t>521-301-4104-0001</t>
  </si>
  <si>
    <t>Набор для лабораторных экспериментов по спектральному анализу и анализу окраски пламени типа Experia BN-64</t>
  </si>
  <si>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</si>
  <si>
    <t>521-301-4104-0002</t>
  </si>
  <si>
    <t>Набор для лабораторных экспериментов по спектральному анализу и анализу окраски пламени типа Wards Science 47058</t>
  </si>
  <si>
    <t>Набор содержит • 4 соли: содиум хлорид, кальциум хлорид, стронциум хлорид, потассум хлорид, • 4 петли проволочные, • 6 спектроскопов, • пособие</t>
  </si>
  <si>
    <t>521-301-4105</t>
  </si>
  <si>
    <t>Экспериментальный набор в чемодане для школьных опытов по нанотехнологиям</t>
  </si>
  <si>
    <t>521-301-4105-0001</t>
  </si>
  <si>
    <t>Экспериментальный набор в чемодане для школьных опытов по нанотехнологиям типа Experia BN-59</t>
  </si>
  <si>
    <t>521-301-4105-0002</t>
  </si>
  <si>
    <t>Экспериментальный набор в чемодане для школьных опытов по нанотехнологиям типа Wards Science 47052</t>
  </si>
  <si>
    <t>521-301-4106</t>
  </si>
  <si>
    <t>Набор "Нанотехнологии" для экспериментов базового уровня</t>
  </si>
  <si>
    <t>521-301-4106-0001</t>
  </si>
  <si>
    <t>Набор "Нанотехнологии" для экспериментов базового уровня типа Experia BN-60</t>
  </si>
  <si>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</si>
  <si>
    <t>521-301-4106-0002</t>
  </si>
  <si>
    <t>Набор "Нанотехнологии" для экспериментов базового уровня типа Wards Science 47059</t>
  </si>
  <si>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</si>
  <si>
    <t>521-301-4107</t>
  </si>
  <si>
    <t>Набор экспериментальный в чемодане для школьных опытов по нанотехнологиям (15 экспериментов)</t>
  </si>
  <si>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</si>
  <si>
    <t>521-301-4108</t>
  </si>
  <si>
    <t>Спектроскоп</t>
  </si>
  <si>
    <t>521-301-4108-0001</t>
  </si>
  <si>
    <t>Спектроскоп учебный типа Wards Science
47056</t>
  </si>
  <si>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</si>
  <si>
    <t>521-301-4200</t>
  </si>
  <si>
    <t>Кабинет "Гончарное дело"</t>
  </si>
  <si>
    <t>521-301-4201</t>
  </si>
  <si>
    <t>Оборудование для гончарного дела</t>
  </si>
  <si>
    <t>521-301-4201-0001</t>
  </si>
  <si>
    <t>Отстойник для глины типа PotteryMagic</t>
  </si>
  <si>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</si>
  <si>
    <t>521-301-4201-0002</t>
  </si>
  <si>
    <t>Раскатчик мини для глиняных пластов типа PotteryMagic</t>
  </si>
  <si>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</si>
  <si>
    <t>521-301-4201-0003</t>
  </si>
  <si>
    <t>Экструдер для глины настенный механический типа PotteryMagic</t>
  </si>
  <si>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</si>
  <si>
    <t>521-301-4201-0004</t>
  </si>
  <si>
    <t>Турнетка типа PotteryMagic</t>
  </si>
  <si>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</si>
  <si>
    <t>521-301-4201-0005</t>
  </si>
  <si>
    <t>Гончарный круг настольный типа PotteryMagic</t>
  </si>
  <si>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</si>
  <si>
    <t>521-301-4201-0006</t>
  </si>
  <si>
    <t>Печь для обжига с вертикальной загрузкой типа PotteryMagic</t>
  </si>
  <si>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</si>
  <si>
    <t>521-301-4202</t>
  </si>
  <si>
    <t>Мебель для гончарного дела</t>
  </si>
  <si>
    <t>521-301-4202-0001</t>
  </si>
  <si>
    <t>Стол для гончарного круга типа CraftLab</t>
  </si>
  <si>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</si>
  <si>
    <t>521-301-4202-0002</t>
  </si>
  <si>
    <t>Стеллаж для сушки и хранения готовых изделий 900 х 450 х 1900 мм типа (PotteryMagic)</t>
  </si>
  <si>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</si>
  <si>
    <t>521-301-4300</t>
  </si>
  <si>
    <t>Кабинет ракетостроения и космических технологий</t>
  </si>
  <si>
    <t>521-301-4301</t>
  </si>
  <si>
    <t>Набор ракетостроения</t>
  </si>
  <si>
    <t>521-301-4301-0001</t>
  </si>
  <si>
    <t>Набор ракетостроения для начального и среднего уровней, с прогнозируемой высотой не менее 150-300 м типа RocketRise Explorer Set</t>
  </si>
  <si>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</si>
  <si>
    <t>521-301-4301-0002</t>
  </si>
  <si>
    <t>Набор ракетостроения с прогнозируемой высотой не менее 450 м типа RocketRise Explorer Set</t>
  </si>
  <si>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</si>
  <si>
    <t>521-301-4301-0003</t>
  </si>
  <si>
    <t>Набор ракетостроения с прогнозируемой высотой не менее 150 м типа RocketRise Explorer Set</t>
  </si>
  <si>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</si>
  <si>
    <t>521-301-4301-0004</t>
  </si>
  <si>
    <t>Набор для сборки летающей модели с высотой полета не менее 60м, не менее 10 парашютов типа RocketRise Explorer Set</t>
  </si>
  <si>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</si>
  <si>
    <t>521-301-4301-0005</t>
  </si>
  <si>
    <t>Образовательный набор для сборки ракеты с содержанием более 90 элементов типа RocketRise Explorer Set</t>
  </si>
  <si>
    <t>521-301-4301-0006</t>
  </si>
  <si>
    <t>Наполнение ракеты для спасательной системы типа RocketRise Explorer Set</t>
  </si>
  <si>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</si>
  <si>
    <t>521-301-4302</t>
  </si>
  <si>
    <t>Набор твердотопливных двигателей</t>
  </si>
  <si>
    <t>521-301-4302-0001</t>
  </si>
  <si>
    <t>Набор твердотопливных двигателей типа RocketRise Explorer Set</t>
  </si>
  <si>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</si>
  <si>
    <t>521-301-4302-0002</t>
  </si>
  <si>
    <t>Набор креплений твердотопливных двигателей типа RocketRise Explorer Set</t>
  </si>
  <si>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</si>
  <si>
    <t>521-301-4303</t>
  </si>
  <si>
    <t>Модель ракеты сборочная модель</t>
  </si>
  <si>
    <t>521-301-4303-0001</t>
  </si>
  <si>
    <t>Модель ракеты сборочная для учеников среднего класса Тип 1 RocketRise Explorer Set</t>
  </si>
  <si>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</si>
  <si>
    <t>521-301-4303-0002</t>
  </si>
  <si>
    <t>Модель ракеты сборочная для учеников среднего класса Тип 2 RocketRise Explorer Set</t>
  </si>
  <si>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</si>
  <si>
    <t>521-301-4303-0003</t>
  </si>
  <si>
    <t>Модель ракеты сборочная для учеников среднего класса Тип 3 RocketRise Explorer Set</t>
  </si>
  <si>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</si>
  <si>
    <t>521-301-4303-0004</t>
  </si>
  <si>
    <t>Модель ракеты сборочная для учеников среднего класса Тип 4 RocketRise Explorer Set</t>
  </si>
  <si>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</si>
  <si>
    <t>521-301-4303-0005</t>
  </si>
  <si>
    <t>Модель ракеты сборочная для учеников среднего класса Тип 5 RocketRise Explorer Set</t>
  </si>
  <si>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</si>
  <si>
    <t>521-301-4303-0006</t>
  </si>
  <si>
    <t>Модель ракеты сборочная для учеников среднего класса Тип 6 RocketRise Explorer Set</t>
  </si>
  <si>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</si>
  <si>
    <t>521-301-4303-0007</t>
  </si>
  <si>
    <t>Модель ракеты сборочная для учеников среднего класса Тип 7 RocketRise Explorer Set</t>
  </si>
  <si>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</si>
  <si>
    <t>521-301-4303-0008</t>
  </si>
  <si>
    <t>Модель ракеты сборочная для учеников среднего класса Тип 8 RocketRise Explorer Set</t>
  </si>
  <si>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</si>
  <si>
    <t>521-301-4303-0009</t>
  </si>
  <si>
    <t>Модель ракеты сборочная для учеников среднего класса Тип 9 RocketRise Explorer Set</t>
  </si>
  <si>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</si>
  <si>
    <t>521-301-4304</t>
  </si>
  <si>
    <t>Стартер</t>
  </si>
  <si>
    <t>521-301-4304-0001</t>
  </si>
  <si>
    <t>Стартер зажигания двигателя сборочной
ракеты типа RocketRise Explorer Set</t>
  </si>
  <si>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</si>
  <si>
    <t>521-301-4304-0002</t>
  </si>
  <si>
    <t>Крепление стартера типа RocketRise Explorer
Set</t>
  </si>
  <si>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</si>
  <si>
    <t>521-301-4305</t>
  </si>
  <si>
    <t>Парашют</t>
  </si>
  <si>
    <t>521-301-4305-0001</t>
  </si>
  <si>
    <t>Парашют 24 дюйма типа RocketRise Explorer Set</t>
  </si>
  <si>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</si>
  <si>
    <t>521-301-4305-0002</t>
  </si>
  <si>
    <t>Парашют 16 дюйма типа RocketRise Explorer Set</t>
  </si>
  <si>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</si>
  <si>
    <t>521-301-4305-0003</t>
  </si>
  <si>
    <t>Парашют 6 дюйма типа RocketRise Explorer Set</t>
  </si>
  <si>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</si>
  <si>
    <t>521-301-4306</t>
  </si>
  <si>
    <t>Станция и контроллер запуска</t>
  </si>
  <si>
    <t>521-301-4306-0001</t>
  </si>
  <si>
    <t>Станция запуска для средних моделей ракет типа RocketRise Explorer Set</t>
  </si>
  <si>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</si>
  <si>
    <t>521-301-4306-0002</t>
  </si>
  <si>
    <t>Станция запуска для высоких моделей ракет типа RocketRise Explorer Set</t>
  </si>
  <si>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</si>
  <si>
    <t>521-301-4306-0003</t>
  </si>
  <si>
    <t>Контроллер запуска двигателя ракеты для средних моделей ракет типа RocketRise Explorer Set</t>
  </si>
  <si>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</si>
  <si>
    <t>521-301-4306-0004</t>
  </si>
  <si>
    <t>Контроллер запуска двигателя ракеты для высоких моделей ракет типа RocketRise Explorer Set</t>
  </si>
  <si>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</si>
  <si>
    <t>521-301-4307</t>
  </si>
  <si>
    <t>Устройство отслеживания высоты</t>
  </si>
  <si>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</si>
  <si>
    <t>521-301-4308</t>
  </si>
  <si>
    <t>Форма для приклеивания ребер к корпусу ракеты</t>
  </si>
  <si>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</si>
  <si>
    <t>521-301-4309</t>
  </si>
  <si>
    <t>Инструмент для разметки линии ребер</t>
  </si>
  <si>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</si>
  <si>
    <t>521-301-4310</t>
  </si>
  <si>
    <t>Подставка для моделей ракет</t>
  </si>
  <si>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</si>
  <si>
    <t>521-301-4400</t>
  </si>
  <si>
    <t>Кабинет по изучению основ микроэлектроники, радиотехники и телекоммуникации</t>
  </si>
  <si>
    <t>521-301-4401</t>
  </si>
  <si>
    <t>Набор радиотехнический</t>
  </si>
  <si>
    <t>521-301-4401-0001</t>
  </si>
  <si>
    <t>Набор радиотехнический для участия в международных соревнованиях типа ARDFinder Kit</t>
  </si>
  <si>
    <t>Комплектация:
Радиочастотный передатчик с возможностью регулировки частоты Высокочастотный приемник
Наушники
Антенны для приема и передачи</t>
  </si>
  <si>
    <t>521-301-4402</t>
  </si>
  <si>
    <t>Конструктор малых космических апаратов</t>
  </si>
  <si>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</si>
  <si>
    <t>521-301-4403</t>
  </si>
  <si>
    <t>Модуль беспроводной NRF приемников и
передатчиков</t>
  </si>
  <si>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</si>
  <si>
    <t>521-301-4404</t>
  </si>
  <si>
    <t>Комплект базовый цифрового лабораторного оборудования (мультиметры, генератор, осциллограф, анализатор)</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</si>
  <si>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</si>
  <si>
    <t>521-301-4405</t>
  </si>
  <si>
    <t>Телекоммуникационные технологии</t>
  </si>
  <si>
    <t>521-301-4405-0001</t>
  </si>
  <si>
    <t>COM3LAB курс: Технология передачи TX433 LD DIDACTIC</t>
  </si>
  <si>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</si>
  <si>
    <t>521-301-4405-0003</t>
  </si>
  <si>
    <t>COM3LAB курс: Телекоммуникационные линии типа LD DIDACTIC</t>
  </si>
  <si>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</si>
  <si>
    <t>521-301-4405-0004</t>
  </si>
  <si>
    <t>COM3LAB курс: Цифровые коммуникационные технологии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</si>
  <si>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</si>
  <si>
    <t>521-301-4405-0005</t>
  </si>
  <si>
    <t>COM3LAB: Принадлежности для телекоммуникационных линий типа LD DIDACTIC</t>
  </si>
  <si>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</si>
  <si>
    <t>521-301-4405-0006</t>
  </si>
  <si>
    <t>COM3LAB курс: Технология модема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</si>
  <si>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</si>
  <si>
    <t>521-301-4405-0007</t>
  </si>
  <si>
    <t>Система обучения RFID типа LD DIDACTIC</t>
  </si>
  <si>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</si>
  <si>
    <t>521-301-4405-0008</t>
  </si>
  <si>
    <t>Система обучения Телекоммуникационное оборудование типа LD DIDACTIC</t>
  </si>
  <si>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</si>
  <si>
    <t>521-301-4405-0009</t>
  </si>
  <si>
    <t>Наладочная станция подогреватель печатных плат типа Crafttronics Lab</t>
  </si>
  <si>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</si>
  <si>
    <t>521-301-4405-0010</t>
  </si>
  <si>
    <t>Набор  pcb  электронных компонентов типа Crafttronics Lab</t>
  </si>
  <si>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</si>
  <si>
    <t>521-301-4500</t>
  </si>
  <si>
    <t>Кабинет авиамоделирования</t>
  </si>
  <si>
    <t>521-301-4501</t>
  </si>
  <si>
    <t>Наборы по авиамоделированию</t>
  </si>
  <si>
    <t>521-301-4501-0001</t>
  </si>
  <si>
    <t>Набор авиамодели для быстрой сборки тип 1 типа AviaCraft Explore Kit</t>
  </si>
  <si>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</si>
  <si>
    <t>521-301-4501-0002</t>
  </si>
  <si>
    <t>Набор авиамодели для быстрой сборки тип 2 типа AviaCraft Explore Kit</t>
  </si>
  <si>
    <t>Размах крыла: 550 мм
В комплект входят: Зарядное устройство постоянного тока (требуются батареи), быстрый электродвигатель и перезаряжаемая батарея</t>
  </si>
  <si>
    <t>521-301-4501-0003</t>
  </si>
  <si>
    <t>Набор авиамодели для быстрой сборки тип 3 типа AviaCraft Explore Kit</t>
  </si>
  <si>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</si>
  <si>
    <t>521-301-4502</t>
  </si>
  <si>
    <t>Сборочные модели, детали, аппараты по авиамоделированию</t>
  </si>
  <si>
    <t>521-301-4502-0001</t>
  </si>
  <si>
    <t>Сборочная модель самолета из бальзового дерева типа AviaCraft Explore Kit</t>
  </si>
  <si>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</si>
  <si>
    <t>521-301-4502-0002</t>
  </si>
  <si>
    <t>Летательное крыло типа AviaCraft Explore Kit</t>
  </si>
  <si>
    <t>Размах крыльев: 990 мм Длина: 730 мм
Вес: 160 г
Площадь крыла: 11.17dm2 (sq.dm) Нагрузка на крыло: 14.3 г/дм2 (5.4 унции/кв.фут)</t>
  </si>
  <si>
    <t>521-301-4502-0003</t>
  </si>
  <si>
    <t>Сборочная модель самолета из сверхпрочной пены EPO типа AviaCraft Explore Kit</t>
  </si>
  <si>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</si>
  <si>
    <t>521-301-4502-0004</t>
  </si>
  <si>
    <t>Винтажная модель самолета типа AviaCraft Explore Kit</t>
  </si>
  <si>
    <t>Размах крыльев: 1000 мм Длина: 700 мм
Вес всей конструкции:  Приблизительно 650 г в зависимости от установки Конструкция:  Бальза, карбон, пластик</t>
  </si>
  <si>
    <t>521-301-4502-0005</t>
  </si>
  <si>
    <t>Миниатюрный летательный аппарат типа AviaCraft Explore Kit</t>
  </si>
  <si>
    <t>Размах крыльев: 1400 мм Длина: 1036 мм
Площадь крыла: 22.30дм2 Двигатель: 2212 Brushless Outrunner 1350кв
Пропеллер: 9 x 5 дюйм складного типа ESC: 20A w/BEC
Сервопривод: 9г x 6</t>
  </si>
  <si>
    <t>521-301-4502-0006</t>
  </si>
  <si>
    <t>Военный самолет сборочного типа AviaCraft Explore Kit</t>
  </si>
  <si>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</si>
  <si>
    <t>521-301-4502-0007</t>
  </si>
  <si>
    <t>Тренажерный летательный аппарат типа AviaCraft Explore Kit</t>
  </si>
  <si>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</si>
  <si>
    <t>521-301-4502-0008</t>
  </si>
  <si>
    <t>Манометр типа AviaCraft Explore Kit</t>
  </si>
  <si>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</si>
  <si>
    <t>Группа 521-302. Оборудование для спортивного зала и секционных занятий</t>
  </si>
  <si>
    <t>521-302-0400</t>
  </si>
  <si>
    <t>Туризм и спортивные игры</t>
  </si>
  <si>
    <t>521-302-0420</t>
  </si>
  <si>
    <t>Жилетка игровая с номером</t>
  </si>
  <si>
    <t>521-302-0420-0001</t>
  </si>
  <si>
    <t>Жилетка игровая с номером TGV-010</t>
  </si>
  <si>
    <t>Жилетка игровая с номером (манишки) TGV-010. Материал манишки сетка.
Ткань 100% полиэстер. Без окантовки</t>
  </si>
  <si>
    <t>521-302-0423</t>
  </si>
  <si>
    <t>Часы шахматные механические</t>
  </si>
  <si>
    <t>521-302-0423-0001</t>
  </si>
  <si>
    <t>Часы шахматные механические.</t>
  </si>
  <si>
    <t>Группа 521-305. Информационно-коммуникационные технологии</t>
  </si>
  <si>
    <t>521-305-0100</t>
  </si>
  <si>
    <t>521-305-0101</t>
  </si>
  <si>
    <t>3-D принтер с пластиком для печати</t>
  </si>
  <si>
    <t>521-305-0101-0001</t>
  </si>
  <si>
    <t>Принтер HP LaserJet M211dw, A4, 29ppm, 600x600dpi, 64Mb, USB, LAN, Wi-Fi, tray 100+150, duplex</t>
  </si>
  <si>
    <t>521-305-0101-0002</t>
  </si>
  <si>
    <t>Принтер HP LaserJet PRO M404dn,A4, print 1200x1200dpi, 38ppm, USB, LAN, tray 150 pages</t>
  </si>
  <si>
    <t>521-305-0101-0003</t>
  </si>
  <si>
    <t>Принтер Xerox B310DNI, A4, print 1200x1200dpi, 40ppm, tray 900 pages, USB, LAN, Wi-Fi, duplex</t>
  </si>
  <si>
    <t>521-305-0101-0004</t>
  </si>
  <si>
    <t>Принтер HP LaserJet Enterprise M455dn, A4, 27/27ppm, 600x600dpi, 1.25Gb, 800MHz, USB,LAN,tray150+250</t>
  </si>
  <si>
    <t>521-305-0101-0005</t>
  </si>
  <si>
    <t>Принтер HP LaserJet Pro M454dn, A4, 27/27ppm, 1200x1200dpi, tray 150 page, 50000 стр/мес, WLAN</t>
  </si>
  <si>
    <t>521-305-0101-0006</t>
  </si>
  <si>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</si>
  <si>
    <t>521-305-0101-0007</t>
  </si>
  <si>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</si>
  <si>
    <t>521-305-0101-0008</t>
  </si>
  <si>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</si>
  <si>
    <t>521-305-0101-0009</t>
  </si>
  <si>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</si>
  <si>
    <t>521-305-0101-0010</t>
  </si>
  <si>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</si>
  <si>
    <t>521-305-0101-0011</t>
  </si>
  <si>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</si>
  <si>
    <t>521-305-0101-0012</t>
  </si>
  <si>
    <t>3D-принтер, диаметр выходного отверстия 0,4мм, максимальная скорость перемещения выходного отверстия по осям X/Y – 250 мм/с типа CoolTool UNI-PRINT-3D</t>
  </si>
  <si>
    <t>521-305-0112</t>
  </si>
  <si>
    <t>Комплект тренировочных полей для занятий робототехникой (Competition fields FIRST Lego League Challenge).</t>
  </si>
  <si>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</si>
  <si>
    <t>521-305-0113</t>
  </si>
  <si>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</si>
  <si>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</si>
  <si>
    <t>521-305-0114</t>
  </si>
  <si>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</si>
  <si>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</si>
  <si>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521-305-0115</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</si>
  <si>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</si>
  <si>
    <t>521-305-0115-0001</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</si>
  <si>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</si>
  <si>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</si>
  <si>
    <t>521-305-0115-0002</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</si>
  <si>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</si>
  <si>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</si>
  <si>
    <t>521-305-0115-0003</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</si>
  <si>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</si>
  <si>
    <t>521-305-0115-0004</t>
  </si>
  <si>
    <t>Набор роботехнический базовый типа
Fischertechnik Robotics TXT 4.0, 559888</t>
  </si>
  <si>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</si>
  <si>
    <t>521-305-0115-0005</t>
  </si>
  <si>
    <t>Блок питания типа Fischertechnik, 505287, напряжение на выходе: 0-9 В, максимальный Ток: 2,5 А.</t>
  </si>
  <si>
    <t>Предназначен для конструкторских наборов. Оснащен встроенным регулятором напряжения и разъемами для подключения моделей в комплекте.</t>
  </si>
  <si>
    <t>521-305-0115-0006</t>
  </si>
  <si>
    <t>Набор "Автономное движение" типа
Fischertechnik 559896</t>
  </si>
  <si>
    <t>В состав набора входят: Шасси (дифференциал, колеса)
Сервопривод светодиоды Рулевое управление
Детали для конструирования моделей</t>
  </si>
  <si>
    <t>521-305-0115-0007</t>
  </si>
  <si>
    <t>Набор ресурсный "Омниколеса" типа
Fischertechnik 559898</t>
  </si>
  <si>
    <t>В набор входит:
2 мотора с энкодерами; сервомашинка;
другие детали, необходимые для сборки колес; инструкция на нескольких языках.</t>
  </si>
  <si>
    <t>521-305-0115-0008</t>
  </si>
  <si>
    <t>Набор ресурсный "Соревнования" типа
Fischertechnik 560842</t>
  </si>
  <si>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</si>
  <si>
    <t>521-305-0116</t>
  </si>
  <si>
    <t>Набор для подготовки к соревнованиям по робототехнике</t>
  </si>
  <si>
    <t>521-305-0116-0001</t>
  </si>
  <si>
    <t>Набор для подготовки к соревнованиям по робототехнике типа лиги Game Elements FIRST Tech Challenge Championship</t>
  </si>
  <si>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</si>
  <si>
    <t>521-305-0116-0002</t>
  </si>
  <si>
    <t>Набор для подготовки к соревнованиям типа Experia ST-09</t>
  </si>
  <si>
    <t>1 шт. Встроенный светодиод RGB</t>
  </si>
  <si>
    <t>521-305-0117</t>
  </si>
  <si>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</si>
  <si>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</si>
  <si>
    <t>521-305-0118</t>
  </si>
  <si>
    <t>Робототехнический набор на датчиках
«Planet X». ELECFREAKS micro:bit Nezha 48 IN 1 Inventors Kit (With micro:bit Board)</t>
  </si>
  <si>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</si>
  <si>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521-305-0119</t>
  </si>
  <si>
    <t>Набор робототехнический</t>
  </si>
  <si>
    <t>521-305-0119-0001</t>
  </si>
  <si>
    <t>Набор робототехнический типа Makeblock mBot V1.2-Bluetooth Version-Blue-9 Languages</t>
  </si>
  <si>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</si>
  <si>
    <t>521-305-0119-0002</t>
  </si>
  <si>
    <t>Набор робототехнический программируемый  типа Experia ST-13</t>
  </si>
  <si>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</si>
  <si>
    <t>521-305-0119-0003</t>
  </si>
  <si>
    <t>Конструктор робототехнический типа R:ED X EDU</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</si>
  <si>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</si>
  <si>
    <t>521-305-0119-0004</t>
  </si>
  <si>
    <t>Конструктор робототехнический типа R:ED X MAX</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</si>
  <si>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</si>
  <si>
    <t>521-305-0119-0005</t>
  </si>
  <si>
    <t>Набор робототехнический типа UBITECH Ukit Entry 1-го уровня</t>
  </si>
  <si>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</si>
  <si>
    <t>521-305-0119-0006</t>
  </si>
  <si>
    <t>Набор робототехнический типа UBITECH Ukit Advanced 2-го уровня</t>
  </si>
  <si>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</si>
  <si>
    <t>521-305-0119-0007</t>
  </si>
  <si>
    <t>Набор робототехнический типа UBITECH Ukit Explore 3-го уровня</t>
  </si>
  <si>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</si>
  <si>
    <t>521-305-0119-0008</t>
  </si>
  <si>
    <t>Набор робототехнический типа UBITECH Ukit Explore Extention, дополнение к набору 3-го уровня</t>
  </si>
  <si>
    <t>дополнение к набору 3-го уровня, дополнительно 300 шт., 6 сервоприводов, 10 датчиков, Bluetooth динамик, светодиодный фонарь</t>
  </si>
  <si>
    <t>521-305-0120</t>
  </si>
  <si>
    <t>Робототехнический набор Makeblock Ultimate Robot Kit V2.0</t>
  </si>
  <si>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</si>
  <si>
    <t>521-305-0121</t>
  </si>
  <si>
    <t>Робототехнический набор Makeblock mBot Ranger Robot Kit（Bluetooth Version）</t>
  </si>
  <si>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</si>
  <si>
    <t>521-305-0122</t>
  </si>
  <si>
    <t>Роботехнический набор Qbit "Исследователь 4.0"</t>
  </si>
  <si>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</si>
  <si>
    <t>521-305-0123</t>
  </si>
  <si>
    <t>Набор робототехнический для симуляции индустриальных процессов (SimuBot)</t>
  </si>
  <si>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</si>
  <si>
    <t>521-305-0124</t>
  </si>
  <si>
    <t>Набор образовательный для изучения RaspberryPi и Интернет вещей</t>
  </si>
  <si>
    <t>521-305-0124-0001</t>
  </si>
  <si>
    <t>Набор образовательный для изучения RaspberryPi и Интернет вещей типа PiConnect Edu Kit</t>
  </si>
  <si>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</si>
  <si>
    <t>521-305-0124-0002</t>
  </si>
  <si>
    <t>Набор для изучения робототехники на базе Raspberry Pi и Интернета вещей типа Experia ST-08</t>
  </si>
  <si>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</si>
  <si>
    <t>521-305-0124-0003</t>
  </si>
  <si>
    <t>Набор образовательный и интернет вещей типа Experia ST-02</t>
  </si>
  <si>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</si>
  <si>
    <t>521-305-0124-0004</t>
  </si>
  <si>
    <t>Набор продвинутый для интернета вещей Gravity с Raspberry Pi типа Zhiwei Robotics KIT0104</t>
  </si>
  <si>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</si>
  <si>
    <t>521-305-0124-0005</t>
  </si>
  <si>
    <t>Набор ресурсный "Интернет вещей" типа Fischertechnik 559897</t>
  </si>
  <si>
    <t>В состав набора входят: детали для сборки, комбинированный датчик параметров окружающей среды и датчик освещённости (фоторезистор).</t>
  </si>
  <si>
    <t>521-305-0125</t>
  </si>
  <si>
    <t>Набор для изучения нейротехнологий</t>
  </si>
  <si>
    <t>521-305-0125-0001</t>
  </si>
  <si>
    <t>Набор для изучения нейротехнологий типа
MindLab Kit</t>
  </si>
  <si>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</si>
  <si>
    <t>521-305-0125-0002</t>
  </si>
  <si>
    <t>Набор для изучения нейротехнологий типа
Experia ST-03</t>
  </si>
  <si>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</si>
  <si>
    <t>521-305-0126</t>
  </si>
  <si>
    <t>Набор для исследований альтернативной
энергетики с методическими материалами</t>
  </si>
  <si>
    <t>521-305-0126-0001</t>
  </si>
  <si>
    <t>Набор для исследований альтернативной энергетики с методическими материалами типа GreenLab Research Kit</t>
  </si>
  <si>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</si>
  <si>
    <t>521-305-0126-0002</t>
  </si>
  <si>
    <t>Набор для исследований альтернативной
энергетики типа Experia ST-05</t>
  </si>
  <si>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</si>
  <si>
    <t>521-305-0127</t>
  </si>
  <si>
    <t>Очки виртуальной реальности (VRXtreme)</t>
  </si>
  <si>
    <t>521-305-0127-0001</t>
  </si>
  <si>
    <t>Гарнитура виртуальной реальности ClassVR Premium-64, в комплекте: 8 пар очков, кейс для хранения со встроенной зарядной станцией, комплекты контролеров, ПО</t>
  </si>
  <si>
    <t>521-305-0128</t>
  </si>
  <si>
    <t>Набор образовательный с квадрокоптером</t>
  </si>
  <si>
    <t>521-305-0128-0001</t>
  </si>
  <si>
    <t>Набор образовательный с квадрокоптером типа CodyFly Edu Kit</t>
  </si>
  <si>
    <t>В состав набора входит: FPV дрон 5 дюймовый - 1 шт., шлем для FPV режима 2,4Гц -1 шт., пульт управления-1 шт.,  аккумулятор -1 шт., квадрокоптер малых размеров -1 шт.</t>
  </si>
  <si>
    <t>521-305-0128-0002</t>
  </si>
  <si>
    <t>Набор образовательный с квадрокоптером типа Experia ST-10</t>
  </si>
  <si>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</si>
  <si>
    <t>521-305-0129</t>
  </si>
  <si>
    <t>Робот антропоморфный</t>
  </si>
  <si>
    <t>521-305-0129-0001</t>
  </si>
  <si>
    <t>Робот антропоморфный типа RoboMate</t>
  </si>
  <si>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</si>
  <si>
    <t>521-305-0129-0002</t>
  </si>
  <si>
    <t>Робот антропоморфный типа Experia ST-11</t>
  </si>
  <si>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</si>
  <si>
    <t>521-305-0129-0003</t>
  </si>
  <si>
    <t>Робот антропоморфный типа Alpha MINI</t>
  </si>
  <si>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</si>
  <si>
    <t>521-305-0129-0004</t>
  </si>
  <si>
    <t>Робот конструктор типа Jimu Mocol</t>
  </si>
  <si>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</si>
  <si>
    <t>521-305-0129-0005</t>
  </si>
  <si>
    <t>Робот конструктор типа Jimu Super Carrier</t>
  </si>
  <si>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</si>
  <si>
    <t>521-305-0129-0006</t>
  </si>
  <si>
    <t>Робот конструктор типа Jimu Fire Blazer</t>
  </si>
  <si>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</si>
  <si>
    <t>521-305-0130</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</si>
  <si>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t>
  </si>
  <si>
    <t>521-305-0130-0001</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</si>
  <si>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</si>
  <si>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</si>
  <si>
    <t>521-305-0130-0002</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</si>
  <si>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</si>
  <si>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</si>
  <si>
    <t>521-305-0131</t>
  </si>
  <si>
    <t>Программируемый дрон (CodyFly)</t>
  </si>
  <si>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</si>
  <si>
    <t>521-305-0132</t>
  </si>
  <si>
    <t>Набор образовательный на базе Ардуино с научными датчиками</t>
  </si>
  <si>
    <t>521-305-0132-0001</t>
  </si>
  <si>
    <t>Набор образовательный на базе Ардуино с научными датчиками типа Uscience Kit</t>
  </si>
  <si>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</si>
  <si>
    <t>521-305-0132-0002</t>
  </si>
  <si>
    <t>Комплект по микроэлектронике Gravity: Arduino Zero to Hero</t>
  </si>
  <si>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</si>
  <si>
    <t>521-305-0133</t>
  </si>
  <si>
    <t>Набор для изучения Ардуино Arduino UScience Pro Kit</t>
  </si>
  <si>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</si>
  <si>
    <t>521-305-0134</t>
  </si>
  <si>
    <t>Принтер 3D UniMaker Kit</t>
  </si>
  <si>
    <t>Технология печати: Fused Deposition Modeling (FDM) Область печати: не менее 200 мм x 200 мм x 230 мм  Скорость печати: не менее 150 мм/с (может изменяться в зависимости от настроек)</t>
  </si>
  <si>
    <t>521-305-0135</t>
  </si>
  <si>
    <t>Принтер 3D UniMaker Pro</t>
  </si>
  <si>
    <t>521-305-0135-0001</t>
  </si>
  <si>
    <t>3D-принтер с расходным материалом UniMaker ProForge</t>
  </si>
  <si>
    <t>521-305-0135-0002</t>
  </si>
  <si>
    <t>3D-принтер UniMaker XL</t>
  </si>
  <si>
    <t>521-305-0136</t>
  </si>
  <si>
    <t>Станок модульный для создания 3D моделей UniShape</t>
  </si>
  <si>
    <t>Размер 500х280х420мм, мощность -1300 Вт, тип пластика: PE, PP, PVC, PET, ABS, Hips</t>
  </si>
  <si>
    <t>521-305-0137</t>
  </si>
  <si>
    <t>Тумба для 3D-принтера (CraftLab), размер 600мм х 550мм х 1300мм</t>
  </si>
  <si>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</si>
  <si>
    <t>521-305-0138</t>
  </si>
  <si>
    <t>Стол для робототехники</t>
  </si>
  <si>
    <t>521-305-0138-0001</t>
  </si>
  <si>
    <t>Стол для полей (2430мм х1200мм) с бортиками и 4 выкатными тумбочками (CraftLab)</t>
  </si>
  <si>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</si>
  <si>
    <t>521-305-0138-0002</t>
  </si>
  <si>
    <t>Стол для робототехники 1200х750х1020мм. Столешница ЛДСП 22мм, надстройка, каркас из профильной трубы 40х40мм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</si>
  <si>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</si>
  <si>
    <t>521-305-0138-0003</t>
  </si>
  <si>
    <t>Стол для робототехники 1500х1500х750/850мм. Столешница ЛДСП 22мм, бортик высотой 100мм, две мобильные тумбы, каркас из профильной трубы 40х20мм</t>
  </si>
  <si>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</si>
  <si>
    <t>521-305-0138-0004</t>
  </si>
  <si>
    <t>Стол для робототехники 1200х1200мм, с тумбой и бортиками, ЛДСП 16 мм</t>
  </si>
  <si>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</si>
  <si>
    <t>521-305-0138-0005</t>
  </si>
  <si>
    <t>Стол для робототехники 1200х1200х600мм с бортиками и тумбой мобильной</t>
  </si>
  <si>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</si>
  <si>
    <t>521-305-0138-0006</t>
  </si>
  <si>
    <t>Стол 1800х400х1100мм. Столешница из ЛДСП 16мм с бортиком высотой 150мм, основание металлокаркас</t>
  </si>
  <si>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</si>
  <si>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521-305-0138-0009</t>
  </si>
  <si>
    <t>Стол для полей большой не регулируемый, размеры 2407х1207х800 мм, столешница из ЛДСП 16мм, с бортиком высотой 50мм</t>
  </si>
  <si>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</si>
  <si>
    <t>521-305-0138-0010</t>
  </si>
  <si>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</si>
  <si>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</si>
  <si>
    <t>521-305-0139</t>
  </si>
  <si>
    <t>Набор для изучения робототехники на базе Ардуино</t>
  </si>
  <si>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</si>
  <si>
    <t>521-305-0140</t>
  </si>
  <si>
    <t>Комплект тренировочных полей для занятий робототехникой</t>
  </si>
  <si>
    <t>521-305-0140-0001</t>
  </si>
  <si>
    <t>Комплект тренировочных полей для занятий робототехникой типа Инт парк</t>
  </si>
  <si>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</si>
  <si>
    <t>521-305-0141</t>
  </si>
  <si>
    <t>Машина универсальная для мойки и высушивания</t>
  </si>
  <si>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</si>
  <si>
    <t>Подраздел 521-4. Оборудование и мебель специальных организаций образования Группа 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</si>
  <si>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521-401-0100</t>
  </si>
  <si>
    <t>Полифункциональное оборудование</t>
  </si>
  <si>
    <t>521-401-0101</t>
  </si>
  <si>
    <t>Мат напольный для создания мягкого пола</t>
  </si>
  <si>
    <t>521-401-0101-0001</t>
  </si>
  <si>
    <t>Мат напольный, размер: 200х100х10 см</t>
  </si>
  <si>
    <t>521-401-0101-0002</t>
  </si>
  <si>
    <t>Мат напольный, размер: 138х62х10 см</t>
  </si>
  <si>
    <t>521-401-0103</t>
  </si>
  <si>
    <t>Сухой бассейн с мягкими стенками разной конфигурации: угловые квадратные, круглые с наполнителем: цветные пластиковые шарики одного размера</t>
  </si>
  <si>
    <t>521-401-0103-0001</t>
  </si>
  <si>
    <t>Сухой бассейн, шаров-2000шт размер: 200х200х50</t>
  </si>
  <si>
    <t>521-401-0103-0002</t>
  </si>
  <si>
    <t>Сухой бассейн, шаров-1600шт размер: не менее 1500х1500х500мм</t>
  </si>
  <si>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</si>
  <si>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521-401-0104</t>
  </si>
  <si>
    <t>Мягкие полифункциональные конструкторы</t>
  </si>
  <si>
    <t>521-401-0104-0001</t>
  </si>
  <si>
    <t>Полифункциональный набор "Радуга" Комплектация: предметов-52; видов фигур-11</t>
  </si>
  <si>
    <t>521-401-0104-0002</t>
  </si>
  <si>
    <t>Полифункциональный набор "Радуга" Комплектация: предметов-36; видов фигур-11</t>
  </si>
  <si>
    <t>521-401-0104-0003</t>
  </si>
  <si>
    <t>Полифункциональный набор "Радуга" АЛ
203  Комплектация: предметов-22; видов фигур-10</t>
  </si>
  <si>
    <t>521-401-0104-0004</t>
  </si>
  <si>
    <t>Полифункциональный набор "Радуга" Комплектация: предметов-18; видов фигур-7</t>
  </si>
  <si>
    <t>521-401-0104-0005</t>
  </si>
  <si>
    <t>Полифункциональный набор "Радуга" Комплектация: предметов-12; видов фигур-6</t>
  </si>
  <si>
    <t>521-401-0104-0006</t>
  </si>
  <si>
    <t>Конструктор "Мастер"  Комплектация: предметов-24; видов фигур-8</t>
  </si>
  <si>
    <t>521-401-0104-0007</t>
  </si>
  <si>
    <t>Конструктор "Фантазия"  Комплектация: предметов-13; видов фигур-6</t>
  </si>
  <si>
    <t>521-401-0104-0008</t>
  </si>
  <si>
    <t>Полифункциональный набор "Гномик" Комплектация: предметов-28; видов фигур-7</t>
  </si>
  <si>
    <t>521-401-0104-0009</t>
  </si>
  <si>
    <t>Конструктор "Островок" (М)  Комплектация: предметов-9; видов фигур-4</t>
  </si>
  <si>
    <t>521-401-0104-0010</t>
  </si>
  <si>
    <t>Конструктор "Горка"   Комплектация: предметов-3; видов фигур-3</t>
  </si>
  <si>
    <t>521-401-0104-0011</t>
  </si>
  <si>
    <t>Конструктор "Улитка"   Комплектация: 6 треугольников, скрепленных шарнирно, Размер: 303х40х44 см</t>
  </si>
  <si>
    <t>521-401-0104-0012</t>
  </si>
  <si>
    <t>Конструктор "Пазлы" №2 (Д) Комплектация: предметов-2; видов фигур-2</t>
  </si>
  <si>
    <t>521-401-0200</t>
  </si>
  <si>
    <t>Интерактивные модули и панно</t>
  </si>
  <si>
    <t>521-401-0203</t>
  </si>
  <si>
    <t>Интерактивная звуковая панель для звукового воздействия, развития логики, игровой терапии и различать голоса животных</t>
  </si>
  <si>
    <t>521-401-0203-0001</t>
  </si>
  <si>
    <t>Интерактивная звуковая панель "Джунгли" размер: H100 W100</t>
  </si>
  <si>
    <t>521-401-0203-0002</t>
  </si>
  <si>
    <t>Интерактивная звуковая панель "Домашние животные"  размер: H100 W100</t>
  </si>
  <si>
    <t>521-401-0203-0003</t>
  </si>
  <si>
    <t>Интерактивная звуковая панель "Угадай звук"  размер: H45 W48</t>
  </si>
  <si>
    <t>521-401-0203-0004</t>
  </si>
  <si>
    <t>Интерактивная звуковая панель "Угадай звук, сравни животное"  размер: H40 W80 P13</t>
  </si>
  <si>
    <t>521-401-0204</t>
  </si>
  <si>
    <t>Акустическая настенная тактильная панель</t>
  </si>
  <si>
    <t>521-401-0204-0001</t>
  </si>
  <si>
    <t>521-401-0300</t>
  </si>
  <si>
    <t>Дидактические и обучающие игры и пособия</t>
  </si>
  <si>
    <t>521-401-0303</t>
  </si>
  <si>
    <t>Системный дидактический материал для формирования математических знаний</t>
  </si>
  <si>
    <t>521-401-0304</t>
  </si>
  <si>
    <t>Мультимедийный интерактивный обучающий программно-методический комплекс</t>
  </si>
  <si>
    <t>521-401-0304-0001</t>
  </si>
  <si>
    <t>Мультимедийный интерактивный обучающий программно методический комплекс EduQuest (Израиль), с персональным компьютером</t>
  </si>
  <si>
    <t>Группа 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</si>
  <si>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521-402-0100</t>
  </si>
  <si>
    <t>Зал лечебной физкультуры</t>
  </si>
  <si>
    <t>521-402-0101</t>
  </si>
  <si>
    <t>Весы медицинские</t>
  </si>
  <si>
    <t>521-402-0101-0001</t>
  </si>
  <si>
    <t>Весы электронные Seca 354. Цифровые детские, предельная нагрузка: 20 кг/44 фунта. Единицы измерения: кг, фунты</t>
  </si>
  <si>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</si>
  <si>
    <t>521-402-0101-0002</t>
  </si>
  <si>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</si>
  <si>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</si>
  <si>
    <t>521-402-0102</t>
  </si>
  <si>
    <t>Лента измерительная</t>
  </si>
  <si>
    <t>521-402-0102-0001</t>
  </si>
  <si>
    <t>Лента измерительная, длина 1000 мм, ПВХ с армированным нейлоном</t>
  </si>
  <si>
    <t>Сделан из ПВХ с армированным нейлоном. Длина ленты 1000мм, шкала с ценой деления 100мм.</t>
  </si>
  <si>
    <t>521-402-0102-0002</t>
  </si>
  <si>
    <t>Лента измерительная, длина 1500 мм, гибкая с нанесенными делениями</t>
  </si>
  <si>
    <t>Лента измерительная двухсторонняя сантиметровая, гибкая с нанесенными делениями.</t>
  </si>
  <si>
    <t>521-402-0107</t>
  </si>
  <si>
    <t>Шведская стенка</t>
  </si>
  <si>
    <t>521-402-0118</t>
  </si>
  <si>
    <t>Туннель каркасный</t>
  </si>
  <si>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</si>
  <si>
    <t>521-402-0124</t>
  </si>
  <si>
    <t>Батут</t>
  </si>
  <si>
    <t>521-402-0124-0001</t>
  </si>
  <si>
    <t>Детский каркасный пружинный батут "Прыжок"  Размер: 120х120х29 см</t>
  </si>
  <si>
    <t>521-402-0200</t>
  </si>
  <si>
    <t>Кабинет логопеда</t>
  </si>
  <si>
    <t>521-402-0205</t>
  </si>
  <si>
    <t>Логопедический зонд постановочный</t>
  </si>
  <si>
    <t>521-402-0205-0001</t>
  </si>
  <si>
    <t>Зонды постановочные, комплект из 7 штук (по методике Ф.А.Рау)</t>
  </si>
  <si>
    <t>521-402-0206</t>
  </si>
  <si>
    <t>Логопедический зонд массажный</t>
  </si>
  <si>
    <t>521-402-0206-0001</t>
  </si>
  <si>
    <t>Зонды массажные, комплект из 12 штук</t>
  </si>
  <si>
    <t>521-402-0206-0002</t>
  </si>
  <si>
    <t>Зонды массажные, комплект из 8 штук</t>
  </si>
  <si>
    <t>521-402-0206-0003</t>
  </si>
  <si>
    <t>Зонды массажные, комплект из 4 штук</t>
  </si>
  <si>
    <t>521-402-0300</t>
  </si>
  <si>
    <t>Кабинет психолога</t>
  </si>
  <si>
    <t>521-402-0301</t>
  </si>
  <si>
    <t>Диван</t>
  </si>
  <si>
    <t>521-402-0301-0001</t>
  </si>
  <si>
    <t>Диван, модель Браво "3". Длина: 1820 мм, ширина: 830 мм, высота: 730 мм, посадочных мест: 3, материал: обивка -
эко-кожа, наполнитель: поролон, синтепон, синтепух</t>
  </si>
  <si>
    <t>521-402-0301-0002</t>
  </si>
  <si>
    <t>Диван, модель "Илья". Длина: 1920 мм, ширина: 840 мм, высота: 720 мм, посадочных мест: 3, наполнитель: поролон, синтепон, синтепух</t>
  </si>
  <si>
    <t>521-402-0301-0003</t>
  </si>
  <si>
    <t>Диван, модель Кулагер "2". Длина: 1590 мм, ширина: 900 мм, высота до сидения: 650 мм, посадочных мест: 2, материал: обивка -
эко-кожа, наполнитель: поролон, синтепон</t>
  </si>
  <si>
    <t>521-402-0301-0004</t>
  </si>
  <si>
    <t>Диван, модель Кулагер "3". Длина: 1970 мм, ширина: 900 мм, высота до сидения: 650 мм, посадочных мест: 3, материал: обивка -
эко-кожа, наполнитель: поролон, синтепон</t>
  </si>
  <si>
    <t>521-402-0301-0005</t>
  </si>
  <si>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</si>
  <si>
    <t>521-402-0301-0006</t>
  </si>
  <si>
    <t>Диван, модель Ливерпуль "2". Длина: 1500 мм, ширина: 940 мм, высота: 890 мм, посадочных мест: 2, материал: обивка - гобелен уплотненный; наполнитель: поролон, синтепон</t>
  </si>
  <si>
    <t>521-402-0301-0007</t>
  </si>
  <si>
    <t>Диван, модель Ливерпуль "3". Длина: 2030 мм, ширина: 940 мм, высота: 890 мм, посадочных мест: 3, наполнитель: поролон, синтепон, синтепух</t>
  </si>
  <si>
    <t>521-402-0301-0008</t>
  </si>
  <si>
    <t>Диван, модель "Найс 2". Длина: 1330 мм, ширина: 750 мм, высота: 700 мм, посадочных мест: 2, материал: обивка -
эко-кожа, наполнитель: поролон, синтепон, синтепух</t>
  </si>
  <si>
    <t>521-402-0301-0009</t>
  </si>
  <si>
    <t>"Диван, модель Аллегро ""2"". Длина: 1760 мм, ширина: 760 мм, высота: 640 мм, посадочных мест: 2, материал: обивка -
эко-кожа, наполнитель: поролон, синтепон, синтепух"</t>
  </si>
  <si>
    <t>521-402-0301-0010</t>
  </si>
  <si>
    <t>Диван, модель Браво "2". Длина: 1350 мм, ширина: 830 мм, высота: 730 мм, посадочных мест: 2, материал: обивка -
эко-кожа, наполнитель: поролон, синтепон, синтепух</t>
  </si>
  <si>
    <t>521-402-0301-0011</t>
  </si>
  <si>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</si>
  <si>
    <t>521-402-0301-0012</t>
  </si>
  <si>
    <t>Диван, модель Бруно "3". Длина: 2250 мм, ширина: 870 мм, высота: 590 мм, посадочных мест: 3, материал: обивка - гобелен/кзам PU, наполнитель: поролон, синтепон, синтепух</t>
  </si>
  <si>
    <t>521-402-0301-0013</t>
  </si>
  <si>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</si>
  <si>
    <t>521-402-0301-0014</t>
  </si>
  <si>
    <t>Диван, модель Версаль "3". Длина: 2110 мм, ширина: 840 мм, высота: 750 мм, посадочных мест: 3, наполнитель: поролон, синтепон, синтепух</t>
  </si>
  <si>
    <t>521-402-0301-0015</t>
  </si>
  <si>
    <t>Диван, модель Виктория "3". Длина: 2300 мм, ширина: 960 мм, высота: 640 мм, посадочных мест: 3, материал: обивка - эко-кожа, наполнитель: поролон, синтепон</t>
  </si>
  <si>
    <t>521-402-0301-0016</t>
  </si>
  <si>
    <t>Диван, модель Гамильтон "3". Длина: 2140 мм, ширина: 770 мм, высота: 600 мм, посадочных мест: 3, материал: обивка -
эко-кожа, наполнитель: поролон, синтепон, синтепух</t>
  </si>
  <si>
    <t>521-402-0301-0017</t>
  </si>
  <si>
    <t>Диван, модель "Геральд-2". Длина: 1970 мм, ширина: 800 мм, высота: 700 мм, посадочных мест: 2, материал: обивка - гобелен эко-кожа, наполнитель: поролон, синтепон, синтепух</t>
  </si>
  <si>
    <t>521-402-0301-0018</t>
  </si>
  <si>
    <t>Диван, модель "Орион 3". Длина: 2050 мм, ширина: 850 мм, высота: 650 мм, посадочных мест: 3, наполнитель: поролон, синтепон</t>
  </si>
  <si>
    <t>521-402-0301-0019</t>
  </si>
  <si>
    <t>Диван, модель "Софи". Длина: 2070 мм, ширина: 780 мм, высота: 640 мм, посадочных мест: 3, наполнитель: поролон, синтепон</t>
  </si>
  <si>
    <t>521-402-0301-0020</t>
  </si>
  <si>
    <t>Диван, модель "Илья 2". Длина: 1460 мм, ширина: 860 мм, высота: 720 мм, посадочных мест: 2, материал: обивка - гобелен, наполнитель: поролон, синтепон, синтепух</t>
  </si>
  <si>
    <t>521-402-0301-0021</t>
  </si>
  <si>
    <t>Диван, модель "Оксфорд 3". Длина: 2200 мм, ширина: 850 мм, высота: 700 мм,
посадочных мест: 3</t>
  </si>
  <si>
    <t>521-402-0301-0022</t>
  </si>
  <si>
    <t>Диван, модель Ривьера "2". Длина: 1720 мм, ширина: 900 мм, высота: 730 мм, посадочных мест: 2, материал: обивка -
эко-кожа, наполнитель: поролон, синтепон</t>
  </si>
  <si>
    <t>521-402-0301-0023</t>
  </si>
  <si>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</si>
  <si>
    <t>521-402-0700</t>
  </si>
  <si>
    <t>Кабинет для детей раннего возраста (от 0 до 3-х лет)</t>
  </si>
  <si>
    <t>521-402-0704</t>
  </si>
  <si>
    <t>Полифункциональный модуль</t>
  </si>
  <si>
    <t>521-402-0704-0001</t>
  </si>
  <si>
    <t>Набор мягких модулей "Валуны" Комплектация: параллепипеды-9; лента-1; Размер: 120х60х100 см</t>
  </si>
  <si>
    <t>521-402-0704-0002</t>
  </si>
  <si>
    <t>Детский набор мягких модулей "Частокол" Комплектация: цилиндры-5; мат-1; Размер: 120х60х100 см</t>
  </si>
  <si>
    <t>521-402-0704-0003</t>
  </si>
  <si>
    <t>Детский набор мягких модулей "Ромашка"№1  Комплектация: предметов-9</t>
  </si>
  <si>
    <t>521-402-0704-0004</t>
  </si>
  <si>
    <t>Детский набор мягких модулей "Ромашка"№2  Комплектация: предметов-15</t>
  </si>
  <si>
    <t>521-402-0704-0005</t>
  </si>
  <si>
    <t>Детский набор мягких модулей "Ромашка"№3  Комплектация: предметов-19</t>
  </si>
  <si>
    <t>521-402-0704-0006</t>
  </si>
  <si>
    <t>Детский конструктор "Веселый паровозик" Комплектация: предметов-15; видов фигур-5</t>
  </si>
  <si>
    <t>521-402-0704-0007</t>
  </si>
  <si>
    <t>Детский конструктор "Веселые сундучки" Комплектация: предметов-4; видов фигур-4</t>
  </si>
  <si>
    <t>521-402-0707</t>
  </si>
  <si>
    <t>Комплект для скрининга психофизического развития детей раннего возраста</t>
  </si>
  <si>
    <t>Группа 521-403. Специальное оборудование психолого-медико-педагогических консультаций</t>
  </si>
  <si>
    <t>521-403-0100</t>
  </si>
  <si>
    <t>Кабинет для
психолого-медико-педагогических консультаций</t>
  </si>
  <si>
    <t>521-403-0102</t>
  </si>
  <si>
    <t>Столик пеленальный</t>
  </si>
  <si>
    <t>521-403-0102-0001</t>
  </si>
  <si>
    <t>Стол пеленальный с полкой</t>
  </si>
  <si>
    <t>Группа 521-404. Оборудование и мебель для реабилитационных центров и кабинетов психолого-педагогической коррекции</t>
  </si>
  <si>
    <t>521-404-0100</t>
  </si>
  <si>
    <t>521-404-0104</t>
  </si>
  <si>
    <t>Велосипед для детей с ограниченными возможностями</t>
  </si>
  <si>
    <t>521-404-0104-0001</t>
  </si>
  <si>
    <t>R120 Ортопедический велосипед маленького размера</t>
  </si>
  <si>
    <t>521-404-0104-0002</t>
  </si>
  <si>
    <t>R130 Ортопедический велосипед среднего размера</t>
  </si>
  <si>
    <t>521-404-0104-0003</t>
  </si>
  <si>
    <t>R140 Ортопедический велосипед большого размера</t>
  </si>
  <si>
    <t>521-404-0105</t>
  </si>
  <si>
    <t>Набивной мяч в комплект входят три мяча диаметрами 25, 50 и 75 см</t>
  </si>
  <si>
    <t>Группа 521-405. Оборудование и мебель дошкольных организаций образования для детей с нарушениями опорно-двигательного аппарата</t>
  </si>
  <si>
    <t>521-405-0200</t>
  </si>
  <si>
    <t>Специальная мебель</t>
  </si>
  <si>
    <t>521-405-0203</t>
  </si>
  <si>
    <t>Стол-парта для детей с нарушениями
опорно-двигательного аппарата</t>
  </si>
  <si>
    <t>521-405-0203-0001</t>
  </si>
  <si>
    <t>Парта СН 37.02.01</t>
  </si>
  <si>
    <t>521-405-0203-0002</t>
  </si>
  <si>
    <t>Парта СН 37.02.11</t>
  </si>
  <si>
    <t>521-405-0203-0003</t>
  </si>
  <si>
    <t>Парта СН 37.02.51 (складная)</t>
  </si>
  <si>
    <t>521-405-0300</t>
  </si>
  <si>
    <t>521-405-0305</t>
  </si>
  <si>
    <t>Укладка – многофункциональная терапевтическая система до 4-5 лет</t>
  </si>
  <si>
    <t>521-405-0305-0001</t>
  </si>
  <si>
    <t>Укладка "Головастик" США Patterson Medical</t>
  </si>
  <si>
    <t>Группа 521-409. Дидактические материалы и развивающие игрушки для лекотеки (библиотеки игрушек)</t>
  </si>
  <si>
    <t>521-409-0100</t>
  </si>
  <si>
    <t>Лекотека (библиотека игрушек)</t>
  </si>
  <si>
    <t>521-409-0105</t>
  </si>
  <si>
    <t>Сканер</t>
  </si>
  <si>
    <t>521-409-0105-0001</t>
  </si>
  <si>
    <t>Сканер Canon imageFORMULA DR-C225 II, A4, 600x600dpi, 1500 скан/день, ADF, USB 2.0</t>
  </si>
  <si>
    <t>521-409-0105-0002</t>
  </si>
  <si>
    <t>Сканер Canon imageFORMULA DR-S130, A4, 600x600dpi, 3500 скан/день, ADF, Wi-Fi, USB 3.0</t>
  </si>
  <si>
    <t>521-409-0105-0003</t>
  </si>
  <si>
    <t>Сканер Epson WorkForce DS-70, A4, 600x600dpi, 48-bit, скорость сканирования 5.5с, portable, USB 2.0</t>
  </si>
  <si>
    <t>521-409-0105-0004</t>
  </si>
  <si>
    <t>Сканер Epson Workforce DS- 310 A4, 600x600dpi, 25 ppm, ADF, USB</t>
  </si>
  <si>
    <t>521-409-0105-0005</t>
  </si>
  <si>
    <t>Сканер Epson Workforce ES- C320W, 30 ppm, ADF, USB, Wi-Fi</t>
  </si>
  <si>
    <t>521-409-0105-0006</t>
  </si>
  <si>
    <t>Сканер Epson WorkForce DS- 530II, 35 ppm, ADF, USB</t>
  </si>
  <si>
    <t>521-409-0105-0007</t>
  </si>
  <si>
    <t>Сканер Epson WorkForce DS- 32000, 90 ppm, ADF, USB</t>
  </si>
  <si>
    <t>521-409-0105-0008</t>
  </si>
  <si>
    <t>Сканер планшетный со слайд модулем Epson Expression 13000XL Pro, 2400x4800, USB</t>
  </si>
  <si>
    <t>521-409-0106</t>
  </si>
  <si>
    <t>Копировальное устройство</t>
  </si>
  <si>
    <t>521-409-0106-0001</t>
  </si>
  <si>
    <t>Копировальный аппарат Canon imageRUNNER 2425, A3, print 600x600dpi, 25ppm, scan 600x600dpi, USB, LAN</t>
  </si>
  <si>
    <t>521-409-0106-0002</t>
  </si>
  <si>
    <t>Копировальный аппарат Canon iR1643i, (А4/43 с/мин, цифр,
25-400%),600х600dpi,Duplex,USB,LAN,б/тон ера</t>
  </si>
  <si>
    <t>521-409-0106-0003</t>
  </si>
  <si>
    <t>Копировальный аппарат Canon IR2206, (A4/22-А3/11с/мин,цифр,25-400%),600х600d pi,USB, тонер</t>
  </si>
  <si>
    <t>521-409-0106-0004</t>
  </si>
  <si>
    <t>Копировальный аппарат Canon IR2206N, (A4/22-А3/11с/мин,цифр,25-400%),600х600d pi,USB,WiFi, без тонера</t>
  </si>
  <si>
    <t>521-409-0107</t>
  </si>
  <si>
    <t>Мультимедийный проектор</t>
  </si>
  <si>
    <t>521-409-0107-0002</t>
  </si>
  <si>
    <t>Проектор Acer P1255, DLP, 3D, 4000lm, 20000:1, XGA, 1024х768, 0.63-7.62m, 5000hr,
2.4kg</t>
  </si>
  <si>
    <t>521-409-0107-0004</t>
  </si>
  <si>
    <t>Проектор Acer C250i, DLP, 300lm, 5000:1, WUXGA , 1920x1080@60Hz, 0.736-2.54m,
20000hr, 0.8kg, Black</t>
  </si>
  <si>
    <t>521-409-0107-0005</t>
  </si>
  <si>
    <t>Проектор Epson EH-TW750, LCD, 3400lm, 16000:1, FHD, 1920x1080, 6000hr,
0.76-7.62m, 2.72kg</t>
  </si>
  <si>
    <t>521-409-0107-0006</t>
  </si>
  <si>
    <t>Проектор Rombica Ray Box A6, LCD, 4200lm, 20000:1, FHD, 1920x1080, 30000hr,
0.78-3.65m, 2.42kg</t>
  </si>
  <si>
    <t>521-409-0107-0007</t>
  </si>
  <si>
    <t>Проектор AOpen AH15, DLP, 700lm, 10000:1, HD, 1280x720, 20000hr, 0.6-2.54m, BT, 0.7kg</t>
  </si>
  <si>
    <t>521-409-0107-0008</t>
  </si>
  <si>
    <t>Проектор Acer P1355, DLP, 5000lm, 20000:1, WXGA, 1280x800, 7.62m, 5000hr, 2.4kg</t>
  </si>
  <si>
    <t>521-409-0107-0009</t>
  </si>
  <si>
    <t>Проектор Rombica Ray Mini Black, LCD, 800lm, 1000:1, 320x240, 30000hr, 0.53-2.54m,
0.33kg</t>
  </si>
  <si>
    <t>Раздел 522. Оборудование и мебель для всех видов организаций образования 
Подраздел 522-1. Оборудование и мебель организации дошкольного и среднего образования</t>
  </si>
  <si>
    <t>Группа 522-101. Оборудование, мебель и технические средства обучения для учебных кабинетов</t>
  </si>
  <si>
    <t>522-101-0200</t>
  </si>
  <si>
    <t>Технические средства обучения</t>
  </si>
  <si>
    <t>522-101-0201</t>
  </si>
  <si>
    <t>Web-камера</t>
  </si>
  <si>
    <t>522-101-0201-0001</t>
  </si>
  <si>
    <t>Genius FaceCam 1000X, USB 2.0, 1280x720, 1.0Mpx, микрофон, крепление: зажим</t>
  </si>
  <si>
    <t>522-101-0201-0002</t>
  </si>
  <si>
    <t>Lenovo Essential FHD Webcam, Full HD 1080P, 2 megapixel, CMOS/USB 2.0</t>
  </si>
  <si>
    <t>522-101-0201-0003</t>
  </si>
  <si>
    <t>Genius QCam 6000, USB 2.0, 1920 x 1080,
2.0Mpx, микрофон, крепление: зажим</t>
  </si>
  <si>
    <t>522-101-0201-0004</t>
  </si>
  <si>
    <t>Logitech C270 (HD 720p/30fps, фокус постоянный, угол обзора 60°, кабель 1,5м)</t>
  </si>
  <si>
    <t>522-101-0205</t>
  </si>
  <si>
    <t>Интерактивная доска или экран</t>
  </si>
  <si>
    <t>522-101-0205-0001</t>
  </si>
  <si>
    <t>Интерактивная доска 91" 10 касаний</t>
  </si>
  <si>
    <t>522-101-0205-0003</t>
  </si>
  <si>
    <t>Интерактивная доска INTECH SR8287D (без
лотка) 87", 10 касаний</t>
  </si>
  <si>
    <t>522-101-0206</t>
  </si>
  <si>
    <t>Проектор ультракороткофокусный</t>
  </si>
  <si>
    <t>522-101-0206-0001</t>
  </si>
  <si>
    <t>Проектор Optoma X340UST, разрешение XGA (800 x 600), яркость 4000 лм,
контрастность 22000:1, проекционное
отношение 0.33:1</t>
  </si>
  <si>
    <t>522-101-0207</t>
  </si>
  <si>
    <t>522-101-0207-0001</t>
  </si>
  <si>
    <t>Проектор Optoma X381 , разрешение XGA (1024 x 768), яркость 3900 лм, контрастность
25 000:1, проекционное отношение 1.94:1 -
2.16:1</t>
  </si>
  <si>
    <t>522-101-0208</t>
  </si>
  <si>
    <t>Экран большой проекционный</t>
  </si>
  <si>
    <t>522-101-0208-0001</t>
  </si>
  <si>
    <t>Экран моторизованный PROscreen MLE3100, полотно Matte White, радиопульт в комплекте, диагональ 100", формат 4:3, размер активной области полотна 1970*147 0мм</t>
  </si>
  <si>
    <t>522-101-0220</t>
  </si>
  <si>
    <t>Крепление потолочное для проектора</t>
  </si>
  <si>
    <t>522-101-0220-0001</t>
  </si>
  <si>
    <t>Крепление для проектора потолочное</t>
  </si>
  <si>
    <t>522-101-0220-0002</t>
  </si>
  <si>
    <t>Крепление для проектора потолочное PROmount 430-650 мм CMA01-W</t>
  </si>
  <si>
    <t>522-101-0220-0003</t>
  </si>
  <si>
    <t>Крепление "паук" потолочное для проектора Brateck PRB-2</t>
  </si>
  <si>
    <t>522-101-0220-0004</t>
  </si>
  <si>
    <t>Крепление "паук" потолочное для проектора Brateck PRB-2G</t>
  </si>
  <si>
    <t>522-101-0220-0005</t>
  </si>
  <si>
    <t>Крепление "паук" потолочное для проектора Deluxe DLPRB-16-02L</t>
  </si>
  <si>
    <t>522-101-0220-0006</t>
  </si>
  <si>
    <t>Крепление "паук" потолочное/настенное для проектора Deluxe DLPRB-2G</t>
  </si>
  <si>
    <t>522-101-0220-0007</t>
  </si>
  <si>
    <t>Крепление потолочное для проектора, максимальная нагрузка 25 кг, высота крепления 267-427 мм</t>
  </si>
  <si>
    <t>522-101-0221</t>
  </si>
  <si>
    <t>Крепление настенное для проектора</t>
  </si>
  <si>
    <t>522-101-0221-0001</t>
  </si>
  <si>
    <t>Крепление для проектора настенное PROmount AST-1500, вылет штанги от стены до 1500 мм, выдерживает до 15 кг, цвет белый, алюминий+металл</t>
  </si>
  <si>
    <t>522-101-0221-0002</t>
  </si>
  <si>
    <t>Крепление "паук" настенное для проектора Brateck PRB-16-03L</t>
  </si>
  <si>
    <t>522-101-0221-0003</t>
  </si>
  <si>
    <t>Крепление "паук" настенное для проектора ONKRON K2D, до 10 кг, White</t>
  </si>
  <si>
    <t>522-101-0221-0004</t>
  </si>
  <si>
    <t>Крепление "паук" настенное для проектора PRB-2W, до 20 кг, White</t>
  </si>
  <si>
    <t>522-101-0221-0005</t>
  </si>
  <si>
    <t>Крепление "паук" настенный для проектора ONKRON K3D, до 10 кг, White</t>
  </si>
  <si>
    <t>522-101-0221-0006</t>
  </si>
  <si>
    <t>Крепление настенное для проектора XGIMI X-Wall W040B, Black</t>
  </si>
  <si>
    <t>522-101-0222</t>
  </si>
  <si>
    <t>Акустическая система</t>
  </si>
  <si>
    <t>522-101-0222-0002</t>
  </si>
  <si>
    <t>Microlab M-106, 10Вт (2,5Вт*2+5Вт), выход
2RCA, вход 3.5 MiniJack</t>
  </si>
  <si>
    <t>522-101-0222-0003</t>
  </si>
  <si>
    <t>Microlab M-111, 12Вт (3Вт*2+6Вт), выход 2RCA, вход 3,5 MiniJack, проводной пульт ДУ</t>
  </si>
  <si>
    <t>522-101-0222-0004</t>
  </si>
  <si>
    <t>Microlab M100(MKII), 10Вт(2,5Вт *2+5Вт),
выход RCA, вход 3,5 MiniJack</t>
  </si>
  <si>
    <t>522-101-0222-0005</t>
  </si>
  <si>
    <t>Разъем акустический, XLR "мама" Proel
DHFX3PBK</t>
  </si>
  <si>
    <t>522-101-0222-0006</t>
  </si>
  <si>
    <t>Разъем акустический, XLR "папа" Proel
DHMX3PBK</t>
  </si>
  <si>
    <t>522-101-0222-0017</t>
  </si>
  <si>
    <t>Стойка для колонок напольная типа SPS013. Максимальная нагрузка: 50 кг. Высота:
990-2000мм. Основной материал: пластик. Толщина трубки: 7 мм</t>
  </si>
  <si>
    <t>522-101-0222-0018</t>
  </si>
  <si>
    <t>Кронштейн регулируемый настенный для колонок типа WMS004</t>
  </si>
  <si>
    <t>522-101-0222-0019</t>
  </si>
  <si>
    <t>Стойка микрофонная напольная типа MS135. Высота: 880-1580 мм. Материал трубки из стали, основание из пластика</t>
  </si>
  <si>
    <t>522-101-0224</t>
  </si>
  <si>
    <t>Микрофонно-телефонная гарнитура</t>
  </si>
  <si>
    <t>522-101-0225</t>
  </si>
  <si>
    <t>Многофункциональное устройство</t>
  </si>
  <si>
    <t>522-101-0225-0001</t>
  </si>
  <si>
    <t>МФУ HP LaserJet 135a, A4,print 600x600dpi,20ppm,scan 600x600dpi, LCD, USB</t>
  </si>
  <si>
    <t>522-101-0225-0002</t>
  </si>
  <si>
    <t>МФУ HP LaserJet Pro M130nw, print 600x600dpi, 22ppm, scan 1200x1200dpi, Wi-Fi, LAN, USB</t>
  </si>
  <si>
    <t>522-101-0225-0003</t>
  </si>
  <si>
    <t>МФУ Xerox B205NI, A4,print 1200x1200dpi, 30ppm, scan 4800x4800dpi, tray250, Wi-Fi, LAN, ADF, USB</t>
  </si>
  <si>
    <t>522-101-0225-0004</t>
  </si>
  <si>
    <t>МФУ HP Color Laser 178nw, A4, print 600x600dpi, 18ppm, scan 600x600dpi, LCD, USB, LAN, Wi-Fi</t>
  </si>
  <si>
    <t>522-101-0225-0005</t>
  </si>
  <si>
    <t>МФУ Epson L850, A4, print 5760x1440dpi, 37/38ppm, scan 1200x2400dpi, LCD, SD, USB, tray 50 page</t>
  </si>
  <si>
    <t>522-101-0225-0006</t>
  </si>
  <si>
    <t>Многофункциональное устройство А4 ч/б
HP LaserJet Pro MFP 4103dw Printer</t>
  </si>
  <si>
    <t>522-101-0225-0007</t>
  </si>
  <si>
    <t>Многофункциональное устройство А4 цветной HP Color LaserJet Pro MFP M283fdw Prntr</t>
  </si>
  <si>
    <t>522-101-0225-0008</t>
  </si>
  <si>
    <t>Многофункциональное устройство А3 цветной HP Color LaserJet Ent MFP M776dn Prntr</t>
  </si>
  <si>
    <t>522-101-0225-0009</t>
  </si>
  <si>
    <t>Многофункциональное устройство Xerox B225DNI, A4, тип печати - монохромный, scan, USB, Wi-Fi</t>
  </si>
  <si>
    <t>522-101-0225-0010</t>
  </si>
  <si>
    <t>Многофункциональное устройство Pantum M6500, A4, ч/б, тип печати - лазерный, 128 Мб</t>
  </si>
  <si>
    <t>522-101-0225-0011</t>
  </si>
  <si>
    <t>Многофункциональное устройство HP Laser MFP 138PNW, А4, ч/б, тип печати - лазерный, 20 стр/мин, 1200х 1200 dpi, 128 Мб, Wi-Fi Direct, Google Cloud Print, USB</t>
  </si>
  <si>
    <t>522-101-0225-0012</t>
  </si>
  <si>
    <t>Многофункциональное устройство HP LaserJet Pro 4104fdn, А4, тип печати - монохромный, 1200х 1200 dpi, 512 Мб, HP ePrint, Google Cloud Print, USB</t>
  </si>
  <si>
    <t>522-101-0225-0013</t>
  </si>
  <si>
    <t>Многофункциональное устройство Xerox B315DNI, А4, ч/б, тип печати- лазерный, 42 стр/мин, 1GHz, 512MB, PCL5e/6, USB 2.0,
10/100 Ethernet, Wi-Fi</t>
  </si>
  <si>
    <t>522-101-0225-0014</t>
  </si>
  <si>
    <t>Многофункциональное устройство Xerox VersaLink C405DN, А4, цветной, тип печати-лазерный, 35/35 стр/мин, 1.05GHz DualCore, 2GB, PCL5c/6, PostScript 3, USB 3.0, Gigabit Ethetnet, NFC</t>
  </si>
  <si>
    <t>522-101-0225-0015</t>
  </si>
  <si>
    <t>Многофункциональный принтер Xerox B305DNI, A4, тип печати - монохромный, 600x600dpi, качество изображения 2400, scan 600x600dpi, Ethernet, USB 2.0, Wireless</t>
  </si>
  <si>
    <t>522-101-0225-0016</t>
  </si>
  <si>
    <t>Многофункциональное устройство HP 5UE15A Laser MFP 135r Printer, A4, Printer/Scanner/Copier, 1200 dpi, 20 ppm, 128
MB, 600 MHz</t>
  </si>
  <si>
    <t>522-101-0225-0017</t>
  </si>
  <si>
    <t>МФУ Pantum
BM5100ADW/чёрно-белая/Скорость печати 40 стр./мин (A4)/42 стр./мин (Letter)/NFC/макс 99стр/цвет.скан/Wi-Fi</t>
  </si>
  <si>
    <t>522-101-0225-0018</t>
  </si>
  <si>
    <t>МФУ Pantum СМ270ADN/Скорость печати-копир - 25 страниц в минуту/цвет.скан/макс объём 37 тыс. отпечатков в месяц</t>
  </si>
  <si>
    <t>522-101-0225-0019</t>
  </si>
  <si>
    <t>МФУ Epson M2110, A4, 15 ppm,1440 x 720
dpi, USB, LAN, tray 150</t>
  </si>
  <si>
    <t>522-101-0225-0020</t>
  </si>
  <si>
    <t>МФУ Epson M3170, A4, 20ppm,1200 x 2400dpi, ADF, USB, LAN, Wi-Fi, tray 250,
duplex</t>
  </si>
  <si>
    <t>522-101-0225-0021</t>
  </si>
  <si>
    <t>МФУ А4 цветное Epson L6570 25/25 PPM 4800x2400 dpi USB, LAN, Wi-Fi, duplex</t>
  </si>
  <si>
    <t>522-101-0225-0022</t>
  </si>
  <si>
    <t>МФУ А4 цветное Epson L6580 25/25 PPM 4800x2400 dpi USB, LAN, Wi-Fi, duplex, PCL</t>
  </si>
  <si>
    <t>522-101-0225-0023</t>
  </si>
  <si>
    <t>МФУ Epson M2170, A4, 20ppm,1200 x
2400dpi, USB, LAN, Wi¬Fi, tray 250, duplex</t>
  </si>
  <si>
    <t>522-101-0225-0024</t>
  </si>
  <si>
    <t>МФУ А4 цветное Epson L6490 17/9,5 PPM 4800x2400 dpi USB, LAN, Wi-Fi, duplex</t>
  </si>
  <si>
    <t>522-101-0225-0025</t>
  </si>
  <si>
    <t>МФУ А3 цветное Epson WorkForce Enterprise AM- C4000 40/40 PPM 600 x 2400 dpi USB, LAN, duplex</t>
  </si>
  <si>
    <t>522-101-0225-0026</t>
  </si>
  <si>
    <t>МФУ А3 цветное Epson WorkForce Enterprise AM- C5000 50/50 PPM 600 x 2400 dpi USB, LAN, duplex</t>
  </si>
  <si>
    <t>522-101-0225-0027</t>
  </si>
  <si>
    <t>МФУ А3 цветное Epson WorkForce Enterprise AM- C6000 60/60 PPM 600 x 2400 dpi USB, LAN, duplex</t>
  </si>
  <si>
    <t>522-101-0225-0028</t>
  </si>
  <si>
    <t>МФУ А3 цветное Epson WorkForce Enterprise WorkForce Enterprise WF- C20750 D4TW 75/75 PPM 600 x 2400 dpi USB, LAN,
duplex</t>
  </si>
  <si>
    <t>522-101-0225-0029</t>
  </si>
  <si>
    <t>МФУ А3 цветное Epson WorkForce Enterprise WorkForce Enterprise WF- C21000 D4TW 100/100 PPM 600 x 2400 dpi USB,
LAN, duplex</t>
  </si>
  <si>
    <t>522-101-0225-0030</t>
  </si>
  <si>
    <t>МФУ А3 монохромное Epson WorkForce Enterprise WorkForce Enterprise WF- M21000 D4TW 100/100 PPM 600 x 2400 dpi USB,
LAN, duplex</t>
  </si>
  <si>
    <t>522-101-0225-0031</t>
  </si>
  <si>
    <t>МФУ А3 цветное Epson WF- C878RDTWF 24/24 PPM 4800x2400 dpi USB, LAN, Wi-Fi,
duplex, FAX</t>
  </si>
  <si>
    <t>522-101-0225-0032</t>
  </si>
  <si>
    <t>МФУ А3 цветное Epson WF- C879RDTWF 25/25 PPM 4800x2400 dpi USB, LAN, Wi-Fi,
duplex, FAX</t>
  </si>
  <si>
    <t>522-101-0225-0033</t>
  </si>
  <si>
    <t>МФУ А3 цветное EpsonL15180 25/25 PPM
4800x2400 dpi USB, LAN, Wi-Fi, duplex</t>
  </si>
  <si>
    <t>522-101-0225-0034</t>
  </si>
  <si>
    <t>МФУ А3 Монохромное Epson M15140 25
PPM 4800x2400 dpi USB, LAN, Wi-Fi, duplex</t>
  </si>
  <si>
    <t>522-101-0225-0035</t>
  </si>
  <si>
    <t>Принтер широкоформатный Epson SureColor SC-T3100N, Micro Piezo, 24", 4 цвета, 2400 x
1200 DPI</t>
  </si>
  <si>
    <t>522-101-0225-0036</t>
  </si>
  <si>
    <t>Принтер широкоформатный Epson SureColor SC-T3100, Micro Piezo, 24", 4 цвета, 2400 x
1200 DPI</t>
  </si>
  <si>
    <t>522-101-0225-0037</t>
  </si>
  <si>
    <t>Принтер широкоформатный Epson SureColor SC-T3100x, Micro Piezo, 24", 4 цвета, 2400 x
1200 DPI</t>
  </si>
  <si>
    <t>522-101-0225-0038</t>
  </si>
  <si>
    <t>Принтер широкоформатный Epson SureColor SC-T5100N, Micro Piezo, 36", 4 цвета, 2400 x
1200 DPI</t>
  </si>
  <si>
    <t>522-101-0225-0039</t>
  </si>
  <si>
    <t>Принтер широкоформатный Epson SureColor SC-T5100, Micro Piezo, 36", 4 цвета, 2400 x
1200 DPI</t>
  </si>
  <si>
    <t>522-101-0225-0040</t>
  </si>
  <si>
    <t>Принтер широкоформатный Epson SureColor SC-T3400, Micro Piezo, 24", 4 цвета, 2400 x
1200 DPI</t>
  </si>
  <si>
    <t>522-101-0225-0041</t>
  </si>
  <si>
    <t>Принтер широкоформатный Epson SureColor SC-T3405, Micro Piezo, 24", 4 цвета, 2400 x
1200 DPI</t>
  </si>
  <si>
    <t>522-101-0225-0042</t>
  </si>
  <si>
    <t>Принтер широкоформатный Epson SureColor SC-T3405N, Micro Piezo, 24", 4 цвета, 2400 x
1200 DPI</t>
  </si>
  <si>
    <t>522-101-0225-0043</t>
  </si>
  <si>
    <t>Принтер широкоформатный Epson SureColor SC-T5405, Micro Piezo, 36", 4 цвета, 2400 x
1200 DPI</t>
  </si>
  <si>
    <t>522-101-0225-0044</t>
  </si>
  <si>
    <t>Принтер широкоформатный Epson SureColor SC-T3700E, Micro Piezo, 24", 6 цветов, 2400
x 1200 DPI</t>
  </si>
  <si>
    <t>522-101-0225-0045</t>
  </si>
  <si>
    <t>Принтер широкоформатный Epson SureColor SC-T3700D, Micro Piezo, 24", 6 цветов, 2400
x 1200 DPI, 2 рулона</t>
  </si>
  <si>
    <t>522-101-0225-0046</t>
  </si>
  <si>
    <t>Принтер широкоформатный Epson SureColor SC-T5700D, Micro Piezo, 36", 6 цветов, 2400
x 1200 DPI, 2 рулона</t>
  </si>
  <si>
    <t>522-101-0225-0047</t>
  </si>
  <si>
    <t>Принтер широкоформатный Epson SureColor SC-T7700D, Micro Piezo, 44", 6 цветов, 2400
x 1200 DPI, 2 рулона</t>
  </si>
  <si>
    <t>522-101-0225-0048</t>
  </si>
  <si>
    <t>МФУ широкоформатное Epson SureColor
SC-T3100M, Micro Piezo, 24”, 4 цвета, 2400 x
1200 DPI"</t>
  </si>
  <si>
    <t>522-101-0225-0049</t>
  </si>
  <si>
    <t>МФУ широкоформатное Epson SureColor
SC-T5100M, Micro Piezo, 36”, 4 цвета, 2400 x
1200 DPI"</t>
  </si>
  <si>
    <t>522-101-0225-0050</t>
  </si>
  <si>
    <t>МФУ широкоформатное Epson SureColor
SC-T5400M, Micro Piezo, 36”, 4 цвета, 2400 x
1200 DPI"</t>
  </si>
  <si>
    <t>522-101-0225-0051</t>
  </si>
  <si>
    <t>МФУ широкоформатное Epson SureColor SC-T5700DM, Micro Piezo, 36”, 6 цветов,
2400 x 1200 DPI, 2 рулона"</t>
  </si>
  <si>
    <t>522-101-0225-0052</t>
  </si>
  <si>
    <t>МФУ широкоформатное Epson SureColor SC-T7700DM, Micro Piezo, 44”, 6 цветов,
2400 x 1200 DPI, 2 рулона"</t>
  </si>
  <si>
    <t>522-101-0231</t>
  </si>
  <si>
    <t>Стойка для микрофона</t>
  </si>
  <si>
    <t>522-101-0232</t>
  </si>
  <si>
    <t>Пульт-микшер</t>
  </si>
  <si>
    <t>522-101-0232-0001</t>
  </si>
  <si>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</si>
  <si>
    <t>522-101-0232-0002</t>
  </si>
  <si>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</si>
  <si>
    <t>522-101-0233</t>
  </si>
  <si>
    <t>Синтезатор</t>
  </si>
  <si>
    <t>Цифровой синтезатор, цифровое пианино.</t>
  </si>
  <si>
    <t>522-101-0235</t>
  </si>
  <si>
    <t>Стойка под оргтехнику</t>
  </si>
  <si>
    <t>522-101-0243</t>
  </si>
  <si>
    <t>Сервер</t>
  </si>
  <si>
    <t>522-101-0243-0001</t>
  </si>
  <si>
    <t>Сервер 2288H V6, X-Fusion, 16/32 DDR4 DIMM, до 3200 МТ/с; 16 Optane™ PMem серии 200, до 3200 МТ/с, TDP до 270 Вт</t>
  </si>
  <si>
    <t>522-101-0243-0002</t>
  </si>
  <si>
    <t>Сервер Altos BrainSphere™ R320 F5/Intel Xeon E-2200/2100/до 80 Вт/3.5
ГГц/DDR4-2666/2400/2133MHz С ECC или
без ECC UDIMM/поддержка ОС Microsoft Windows Server 2019, 2016 Red Hat
Enterprise Linux 7.6</t>
  </si>
  <si>
    <t>522-101-0243-0003</t>
  </si>
  <si>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</si>
  <si>
    <t>522-101-0244</t>
  </si>
  <si>
    <t>Источник бесперебойного питания</t>
  </si>
  <si>
    <t>522-101-0244-0001</t>
  </si>
  <si>
    <t>UPS APC Back BX1100LI, 550W, 1х12V/9Ah,
6+1 розет., AVR</t>
  </si>
  <si>
    <t>522-101-0244-0002</t>
  </si>
  <si>
    <t>UPS APC Back BX500CI, 300W,
1х12V/5.5Ah, 3+1 розет., AVR</t>
  </si>
  <si>
    <t>522-101-0244-0003</t>
  </si>
  <si>
    <t>UPS SVC V1500-F, 1500 VA, 900W,
2х12V/9Ah,  AVR 165-275 V, USB, Line</t>
  </si>
  <si>
    <t>522-101-0244-0004</t>
  </si>
  <si>
    <t>UPS SVC 600BA-360Bt/SVC V-1500-L/SVC
V-800F-LCD</t>
  </si>
  <si>
    <t>522-101-0244-0005</t>
  </si>
  <si>
    <t>UPS Santak, 2000 ВА/1200 Вт, IEC 320 C13</t>
  </si>
  <si>
    <t>522-101-0244-0006</t>
  </si>
  <si>
    <t>UPS SVC V-1200-L-LCD, 1200ВА/7200Вт,
AVR: 165-275В,</t>
  </si>
  <si>
    <t>522-101-0244-0007</t>
  </si>
  <si>
    <t>UPS SVC V-1200-F, 1200ВА/720Вт, AVR:
165-275В, Smart, USB, защита тел. линии</t>
  </si>
  <si>
    <t>522-101-0245</t>
  </si>
  <si>
    <t>Сетевой фильтр</t>
  </si>
  <si>
    <t>522-101-0245-0001</t>
  </si>
  <si>
    <t>Сетевой фильтр Defender DFS-151, 6 розеток, 1.8м, White</t>
  </si>
  <si>
    <t>522-101-0245-0002</t>
  </si>
  <si>
    <t>Сетевой фильтр Defender DFS-753, 5 розеток, 3м, 2xUSB, Black</t>
  </si>
  <si>
    <t>522-101-0245-0003</t>
  </si>
  <si>
    <t>Сетевой фильтр iPower iPEO3m-USB, 6 розеток, 3м, USB-2, Black</t>
  </si>
  <si>
    <t>522-101-0245-0004</t>
  </si>
  <si>
    <t>Сетевой фильтр Trip-Lite Super 6 DEU, 6 розеток, 5м</t>
  </si>
  <si>
    <t>522-101-0248</t>
  </si>
  <si>
    <t>Интерактивный планшет</t>
  </si>
  <si>
    <t>522-101-0248-0001</t>
  </si>
  <si>
    <t>Графический планшет Huion H420, 4"x2.23", беcпроводное перо, USB</t>
  </si>
  <si>
    <t>522-101-0248-0002</t>
  </si>
  <si>
    <t>Графический планшет Wacom Intuos Small, 6"x3.7", беспроводное перо, USB</t>
  </si>
  <si>
    <t>522-101-0248-0003</t>
  </si>
  <si>
    <t>Графический планшет Wacom One Medium, 8.5"x5.3", беспроводное перо, USB</t>
  </si>
  <si>
    <t>522-101-0248-0004</t>
  </si>
  <si>
    <t>Графический планшет XP-Pen Deco Pro Small, 9"x5", беcпроводное перо, USB</t>
  </si>
  <si>
    <t>522-101-0248-0005</t>
  </si>
  <si>
    <t>Графический планшет XP-Pen Star 06, 10"x6", беcпроводное перо и планшет, беспроводной</t>
  </si>
  <si>
    <t>522-101-0248-0006</t>
  </si>
  <si>
    <t>Графический планшет XP-Pen Deco Pro Medium, 11"x6", беcпроводное перо, USB</t>
  </si>
  <si>
    <t>522-101-0253</t>
  </si>
  <si>
    <t>Интерактивный стол</t>
  </si>
  <si>
    <t>522-101-0253-0001</t>
  </si>
  <si>
    <t>Интерактивный стол, ёмкостная технология, диагональ 32” Full HD LED, до 10 касаний</t>
  </si>
  <si>
    <t>522-101-0253-0002</t>
  </si>
  <si>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</si>
  <si>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</si>
  <si>
    <t>522-101-0253-0003</t>
  </si>
  <si>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</si>
  <si>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</si>
  <si>
    <t>522-101-0253-0004</t>
  </si>
  <si>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</si>
  <si>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</si>
  <si>
    <t>522-101-0253-0005</t>
  </si>
  <si>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</si>
  <si>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</si>
  <si>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522-101-0253-0006</t>
  </si>
  <si>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</si>
  <si>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</si>
  <si>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522-101-0253-0007</t>
  </si>
  <si>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</si>
  <si>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</si>
  <si>
    <t>522-101-0253-0008</t>
  </si>
  <si>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</si>
  <si>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</si>
  <si>
    <t>522-101-0253-0009</t>
  </si>
  <si>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</si>
  <si>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</si>
  <si>
    <t>522-101-0253-0010</t>
  </si>
  <si>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</si>
  <si>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</si>
  <si>
    <t>522-101-0253-0011</t>
  </si>
  <si>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</si>
  <si>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</si>
  <si>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522-101-0253-0012</t>
  </si>
  <si>
    <t>Интерактивный сенсорный стол двухместный типа iDC для уроков по истории, праву и географии со встроенным компьютером и сенсорным монитором 21,5 дюйма</t>
  </si>
  <si>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</si>
  <si>
    <t>522-101-0253-0013</t>
  </si>
  <si>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</si>
  <si>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</si>
  <si>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522-101-0253-0014</t>
  </si>
  <si>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</si>
  <si>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</si>
  <si>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522-101-0253-0015</t>
  </si>
  <si>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</si>
  <si>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</si>
  <si>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522-101-0253-0016</t>
  </si>
  <si>
    <t>Интерактивный стол типа iDC для преподавателя со встроенным компьютером и сенсорным монитором 23,8 дюймов, удлиненной тумбой</t>
  </si>
  <si>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</si>
  <si>
    <t>522-101-0253-0017</t>
  </si>
  <si>
    <t>Интерактивный одноместный стол типа iDC со встроенным компьютером, монитором 21,5 дюймов и проводной периферией (мышь, клавиатура, веб-камера, гарнитура)</t>
  </si>
  <si>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</si>
  <si>
    <t>522-101-0253-0018</t>
  </si>
  <si>
    <t>Интерактивный сенсорный стол типа iDC (комплект из 6 парт) для групповых уроков со встроенным компьютером, сенсорным встроенным монитором 21,5 дюймов</t>
  </si>
  <si>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</si>
  <si>
    <t>522-101-0253-0019</t>
  </si>
  <si>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</si>
  <si>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</si>
  <si>
    <t>522-101-0253-0020</t>
  </si>
  <si>
    <t>Интерактивный одноместный стол типа iDC регулируемый по высоте c электроподъемниками, встроенным компьютером и сенсорным монитором 21,5 дюймов</t>
  </si>
  <si>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</si>
  <si>
    <t>522-101-0255</t>
  </si>
  <si>
    <t>Интерактивные системы</t>
  </si>
  <si>
    <t>522-101-0255-0001</t>
  </si>
  <si>
    <t>Интерактивная панель Promethean ActivPanel 9 Premium 75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</si>
  <si>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</si>
  <si>
    <t>522-101-0255-0002</t>
  </si>
  <si>
    <t>Интерактивная панель Promethean ActivPanel 9 Premium 86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</si>
  <si>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</si>
  <si>
    <t>522-101-0255-0003</t>
  </si>
  <si>
    <t>Интерактивная панель Promethean ActivPanel 9 Premium 65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</si>
  <si>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</si>
  <si>
    <t>522-101-0255-0004</t>
  </si>
  <si>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</si>
  <si>
    <t>522-101-0255-0005</t>
  </si>
  <si>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</si>
  <si>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</si>
  <si>
    <t>522-101-0255-0006</t>
  </si>
  <si>
    <t>Интерактивная панель HUAWEI IdeaHub Board 2 IHB2-75SU</t>
  </si>
  <si>
    <t>522-101-0255-0007</t>
  </si>
  <si>
    <t>Интерактивный дисплей Samsung Flip 2 LH65WMRWBGCXCI 65" диагонали</t>
  </si>
  <si>
    <t>522-101-0255-0008</t>
  </si>
  <si>
    <t>Интерактивная панель Samsung Flip Pro LH75WMBWLGCXCI 75" диагонали (в комплекте с ПК-модулем)</t>
  </si>
  <si>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</si>
  <si>
    <t>522-101-0255-0009</t>
  </si>
  <si>
    <t>Интерактивная панель Samsung Flip Pro LH75WMBWLGCXCI 75" диагонали</t>
  </si>
  <si>
    <t>522-101-0255-0010</t>
  </si>
  <si>
    <t>Видеостенный дисплей Samsung VM55B-E LH55VMBEBGBXCI 55" диагонали</t>
  </si>
  <si>
    <t>522-101-0255-0011</t>
  </si>
  <si>
    <t>Интерактивная панель ROQED Smart Panel, 75 дюймов</t>
  </si>
  <si>
    <t>522-101-0255-0012</t>
  </si>
  <si>
    <t>Интерактивная панель ROQED Smart Panel с камерой, 75 дюймов</t>
  </si>
  <si>
    <t>522-101-0255-0013</t>
  </si>
  <si>
    <t>Интерактивная панель ROQED Smart Panel, 86 дюймов</t>
  </si>
  <si>
    <t>522-101-0255-0014</t>
  </si>
  <si>
    <t>Интерактивная панель ROQED Smart Panel, 86 дюймов  с меловой доской 998мм*1200мм</t>
  </si>
  <si>
    <t>522-101-0255-0015</t>
  </si>
  <si>
    <t>Интерактивная панель ROQED Smart Panel, 65 дюймов</t>
  </si>
  <si>
    <t>522-101-0255-0016</t>
  </si>
  <si>
    <t>Интерактивная панель Riotouch Smart Panel, 75 дюймов</t>
  </si>
  <si>
    <t>522-101-0255-0017</t>
  </si>
  <si>
    <t>Интерактивная панель Riotouch Smart Panel, 86 дюймов</t>
  </si>
  <si>
    <t>522-101-0255-0019</t>
  </si>
  <si>
    <t>Интерактивная сенсорная панель LG 75TR3DK, 75 дюймов</t>
  </si>
  <si>
    <t>522-101-0255-0020</t>
  </si>
  <si>
    <t>Интерактивная сенсорная панель  LG 65TR3DK, 65 дюймов</t>
  </si>
  <si>
    <t>522-101-0255-0021</t>
  </si>
  <si>
    <t>Интерактивная сенсорная панель  LG 55TR3DK, 55 дюймов</t>
  </si>
  <si>
    <t>522-101-0255-0022</t>
  </si>
  <si>
    <t>Интерактивная панель PROTOUCH PT65-0432С, 65 дюймов</t>
  </si>
  <si>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</si>
  <si>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522-101-0255-0023</t>
  </si>
  <si>
    <t>Интерактивная панель PROTOUCH PT65-0864T, 65 дюймов</t>
  </si>
  <si>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</si>
  <si>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522-101-0255-0024</t>
  </si>
  <si>
    <t>Интерактивная панель PROTOUCH PT75-0432С, 75 дюймов</t>
  </si>
  <si>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</si>
  <si>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522-101-0255-0025</t>
  </si>
  <si>
    <t>Интерактивная панель PROTOUCH PT75-0864T, 75 дюймов</t>
  </si>
  <si>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</si>
  <si>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522-101-0255-0026</t>
  </si>
  <si>
    <t>Интерактивная панель PROTOUCH PT86-0432С, 86 дюймов</t>
  </si>
  <si>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</si>
  <si>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522-101-0255-0027</t>
  </si>
  <si>
    <t>Интерактивная панель PROTOUCH PT86-0864T, 86 дюймов</t>
  </si>
  <si>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</si>
  <si>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522-101-0255-0028</t>
  </si>
  <si>
    <t>Интерактивная панель ROQED Ultra, 75 дюймов</t>
  </si>
  <si>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</si>
  <si>
    <t>522-101-0255-0029</t>
  </si>
  <si>
    <t>Интерактивная доска NEXUS HF860QUB-E20, 86 дюймов</t>
  </si>
  <si>
    <t>522-101-0255-0030</t>
  </si>
  <si>
    <t>Интерактивная доска NEXUS P750Q\/N05, 75 дюймов</t>
  </si>
  <si>
    <t>522-101-0255-0031</t>
  </si>
  <si>
    <t>Интерактивная доска NEXUS DDV650QUB-N00 4К, 65 дюймов</t>
  </si>
  <si>
    <t>522-101-0255-0032</t>
  </si>
  <si>
    <t>Интерактивная панель Lumien 65EL, 65 дюймов</t>
  </si>
  <si>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</si>
  <si>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522-101-0255-0033</t>
  </si>
  <si>
    <t>Интерактивная панель Lumien 75EL, 75 дюймов</t>
  </si>
  <si>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</si>
  <si>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522-101-0255-0034</t>
  </si>
  <si>
    <t>Интерактивная панель Lumien 86EL, 86 дюймов</t>
  </si>
  <si>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</si>
  <si>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522-101-0255-0036</t>
  </si>
  <si>
    <t>Интерактивная панель HJ-TD65, 65 дюймов</t>
  </si>
  <si>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</si>
  <si>
    <t>522-101-0255-0037</t>
  </si>
  <si>
    <t>Интерактивная панель HJ-TD75, 75 дюймов</t>
  </si>
  <si>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</si>
  <si>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522-101-0255-0038</t>
  </si>
  <si>
    <t>Интерактивная панель HJ-TD86, 86 дюймов</t>
  </si>
  <si>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</si>
  <si>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522-101-0255-0039</t>
  </si>
  <si>
    <t>Интерактивная панель Samsung Flip 3, 75" дюймов (в комплекте с ПК-модулем)</t>
  </si>
  <si>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</si>
  <si>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522-101-0255-0040</t>
  </si>
  <si>
    <t>Интерактивная панель Samsung Flip 3, 75" дюймов</t>
  </si>
  <si>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</si>
  <si>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522-101-0255-0041</t>
  </si>
  <si>
    <t>Интерактивная панель New Line Lyra, 65 дюймов</t>
  </si>
  <si>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</si>
  <si>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522-101-0255-0042</t>
  </si>
  <si>
    <t>Интерактивная панель New Line Lyra, 75 дюймов</t>
  </si>
  <si>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</si>
  <si>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522-101-0255-0043</t>
  </si>
  <si>
    <t>Интерактивная панель New Line Lyra, 86 дюймов</t>
  </si>
  <si>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</si>
  <si>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522-101-0255-0044</t>
  </si>
  <si>
    <t>Интерактивная панель New Line Elara, 65 дюймов</t>
  </si>
  <si>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</si>
  <si>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522-101-0255-0045</t>
  </si>
  <si>
    <t>Интерактивная панель New Line Elara, 75 дюймов</t>
  </si>
  <si>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</si>
  <si>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522-101-0255-0046</t>
  </si>
  <si>
    <t>Интерактивная панель New Line Elara, 86 дюймов</t>
  </si>
  <si>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</si>
  <si>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522-101-0255-0047</t>
  </si>
  <si>
    <t>Интерактивная панель BenQ RE6503, 65 дюймов</t>
  </si>
  <si>
    <t>522-101-0255-0048</t>
  </si>
  <si>
    <t>Интерактивная панель BenQ RE7503, 75 дюймов</t>
  </si>
  <si>
    <t>522-101-0255-0049</t>
  </si>
  <si>
    <t>Интерактивная панель BenQ RE8603, 86 дюймов</t>
  </si>
  <si>
    <t>522-101-0255-0050</t>
  </si>
  <si>
    <t>Интерактивная панель Aiala, 65 дюймов 2/16, на мобильной стойке</t>
  </si>
  <si>
    <t>522-101-0255-0051</t>
  </si>
  <si>
    <t>Интерактивная панель Aiala, 75 дюймов 2/16, на мобильной стойке</t>
  </si>
  <si>
    <t>522-101-0255-0052</t>
  </si>
  <si>
    <t>Интерактивная панель Aiala, 75 дюймов 8/128, на мобильной стойке</t>
  </si>
  <si>
    <t>522-101-0255-0053</t>
  </si>
  <si>
    <t>Интерактивная панель Aiala, 86 дюймов 2/16, на мобильной стойке</t>
  </si>
  <si>
    <t>522-101-0255-0054</t>
  </si>
  <si>
    <t>Интерактивная панель Aiala, 86 дюймов 8/128, на мобильной стойке</t>
  </si>
  <si>
    <t>522-101-0255-0055</t>
  </si>
  <si>
    <t>Интерактивная панель Aiala, 98 дюймов 2/16, на мобильной стойке</t>
  </si>
  <si>
    <t>522-101-0255-0056</t>
  </si>
  <si>
    <t>Интерактивная панель Aiala, 98 дюймов 8/128, на мобильной стойке</t>
  </si>
  <si>
    <t>522-101-0255-0057</t>
  </si>
  <si>
    <t>Интерактивная панель SMART SBID-MX275. 75 диагональ с профессиональным ПО для создания
3D-моделей и готовых интерактивных уроков</t>
  </si>
  <si>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</si>
  <si>
    <t>522-101-0255-0058</t>
  </si>
  <si>
    <t>Интерактивная панель ROQED Ultra, 75 дюймов (в комплекте с компьютером OPS-Core
i5-1035G/8GB/SSD256GB/Windows 10)</t>
  </si>
  <si>
    <t>522-101-0255-0059</t>
  </si>
  <si>
    <t>Интерактивная панель Promethean ActivPanel 9, 4K UHD, 75 дюймов</t>
  </si>
  <si>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</si>
  <si>
    <t>522-101-0255-0060</t>
  </si>
  <si>
    <t>Интерактивная панель Promethean ActivPanel LX, 4K UHD, 75 дюймов</t>
  </si>
  <si>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</si>
  <si>
    <t>522-101-0255-0061</t>
  </si>
  <si>
    <t>Интерактивная панель H12-65</t>
  </si>
  <si>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</si>
  <si>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522-101-0255-0062</t>
  </si>
  <si>
    <t>Интерактивная панель H12-75</t>
  </si>
  <si>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</si>
  <si>
    <t>522-101-0255-0063</t>
  </si>
  <si>
    <t>Интерактивная панель H12-86</t>
  </si>
  <si>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</si>
  <si>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522-101-0255-0064</t>
  </si>
  <si>
    <t>Интерактивная панель H12-98</t>
  </si>
  <si>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</si>
  <si>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522-101-0255-0065</t>
  </si>
  <si>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</si>
  <si>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</si>
  <si>
    <t>522-101-0255-0066</t>
  </si>
  <si>
    <t>Интерактивная панель Smart
SBID-GX075-V3(ОС SBID-GX175-V3), 75
дюймов</t>
  </si>
  <si>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</si>
  <si>
    <t>522-101-0255-0067</t>
  </si>
  <si>
    <t>Интерактивная панель ARYSTAN, 65 дюймов</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</si>
  <si>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</si>
  <si>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522-101-0255-0068</t>
  </si>
  <si>
    <t>Интерактивная система ARYSTAN 65 с персональным компьютером Intel Core
i5-12400 / RAM-8GB / 512SSD / Windows 11 Pro</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</si>
  <si>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</si>
  <si>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522-101-0255-0069</t>
  </si>
  <si>
    <t>Интерактивная панель ARYSTAN, 75
дюймов</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</si>
  <si>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</si>
  <si>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522-101-0255-0070</t>
  </si>
  <si>
    <t>Интерактивная система ARYSTAN 75 с персональным компьютером Intel Core
i5-12400 / RAM-8GB / 512SSD / Windows 11 Pro</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</si>
  <si>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</si>
  <si>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522-101-0255-0071</t>
  </si>
  <si>
    <t>Интерактивная панель ARYSTAN, 86 дюймов</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</si>
  <si>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</si>
  <si>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522-101-0255-0072</t>
  </si>
  <si>
    <t>Интерактивная система ARYSTAN 86 с персональным компьютером Intel Core
i5-12400 / RAM-8GB / 512SSD / Windows 11 Pro</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</si>
  <si>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</si>
  <si>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522-101-0255-0073</t>
  </si>
  <si>
    <t>Интерактивная панель Samsung LH75WADWLGCXCI 75" диагонали</t>
  </si>
  <si>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</si>
  <si>
    <t>522-101-0255-0074</t>
  </si>
  <si>
    <t>Интерактивная панель MAXON SD-75AN11 75" диагонали, со встраиваемым компьютером для панелей OPS i5/1035G1/8Gb/256SSD, с мобильной стойкой ONKRON TS1881</t>
  </si>
  <si>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</si>
  <si>
    <t>522-101-0255-0075</t>
  </si>
  <si>
    <t>Интерактивная панель Hikvision 75"
диагонали DS-D5B75RB/ELK</t>
  </si>
  <si>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</si>
  <si>
    <t>522-101-0255-0077</t>
  </si>
  <si>
    <t>Интерактивная панель DigiTouch TS-65, 65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</si>
  <si>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</si>
  <si>
    <t>522-101-0255-0078</t>
  </si>
  <si>
    <t>Интерактивная панель DigiTouch TS-75, 75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</si>
  <si>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</si>
  <si>
    <t>522-101-0255-0079</t>
  </si>
  <si>
    <t>Интерактивная панель DigiTouch TS-86, 86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</si>
  <si>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</si>
  <si>
    <t>522-101-0255-0080</t>
  </si>
  <si>
    <t>Интерактивная панель DigiTouch BB-86V2,
86 дюймов</t>
  </si>
  <si>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</si>
  <si>
    <t>522-101-0255-0081</t>
  </si>
  <si>
    <t>Интерактивная сенсорная панель 86TR3DK,
86  дюймов типа LG</t>
  </si>
  <si>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</si>
  <si>
    <t>522-101-0255-0085</t>
  </si>
  <si>
    <t>Интерактивная панель Tactus panel, 75
дюймов</t>
  </si>
  <si>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</si>
  <si>
    <t>522-101-0255-0087</t>
  </si>
  <si>
    <t>Интерактивная панель Indota IVM-75, 75
дюймов</t>
  </si>
  <si>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</si>
  <si>
    <t>522-101-0255-0088</t>
  </si>
  <si>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</si>
  <si>
    <t>522-101-0255-0089</t>
  </si>
  <si>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</si>
  <si>
    <t>522-101-0255-0090</t>
  </si>
  <si>
    <t>Интерактивная панель типа Smart Board RX075(RX275) 75 диагональ, Google EDLA+Веб камерa Smart Ultra HD + ПО SMART Notebook для создания уроков</t>
  </si>
  <si>
    <t>522-101-0255-0094</t>
  </si>
  <si>
    <t>Интерактивная панель типа AHA HYBRID-8500-LC-JKKZ, 75 дюймов</t>
  </si>
  <si>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</si>
  <si>
    <t>522-101-0255-0095</t>
  </si>
  <si>
    <t>Интерактивная сенсорная панель типа F3, INCH Silver 75CAM A311D2 A13/8/128GB
(К), 75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</si>
  <si>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</si>
  <si>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522-101-0255-0096</t>
  </si>
  <si>
    <t>Интерактивная сенсорная панель типа F3, INCH Silver 86CAM A311D2 A13/16/256GB
(К), 86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</si>
  <si>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</si>
  <si>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522-101-0255-0097</t>
  </si>
  <si>
    <t>Интерактивная панель 65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</si>
  <si>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</si>
  <si>
    <t>522-101-0255-0098</t>
  </si>
  <si>
    <t>Интерактивная панель 75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</si>
  <si>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</si>
  <si>
    <t>522-101-0255-0099</t>
  </si>
  <si>
    <t>Интерактивная панель 86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</si>
  <si>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</si>
  <si>
    <t>522-101-0255-0100</t>
  </si>
  <si>
    <t>Интерактивная панель 75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</si>
  <si>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</si>
  <si>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522-101-0255-0101</t>
  </si>
  <si>
    <t>Интерактивная панель 86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</si>
  <si>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</si>
  <si>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522-101-0256</t>
  </si>
  <si>
    <t>Дисплей профессиональный</t>
  </si>
  <si>
    <t>522-101-0256-0001</t>
  </si>
  <si>
    <t>Дисплей профессиональный QM32R-B LH32QMBEBGCXCI 32" диагонали, Samsung</t>
  </si>
  <si>
    <t>522-101-0256-0002</t>
  </si>
  <si>
    <t>Дисплей профессиональный QM43B LH43QMBEBGCXCI 43" диагонали, Samsung</t>
  </si>
  <si>
    <t>522-101-0256-0003</t>
  </si>
  <si>
    <t>Дисплей профессиональный QM50B LH50QMBEBGCXCI 50" диагонали, Samsung</t>
  </si>
  <si>
    <t>522-101-0256-0004</t>
  </si>
  <si>
    <t>Дисплей профессиональный QM55B LH55QMBEBGCXCI 55" диагонали, Samsung</t>
  </si>
  <si>
    <t>522-101-0256-0005</t>
  </si>
  <si>
    <t>Дисплей профессиональный QB13R LH13QBREBGCXC 13" диагонали, Samsung</t>
  </si>
  <si>
    <t>522-101-0256-0006</t>
  </si>
  <si>
    <t>Дисплей профессиональный QB50B LH50QBBEBGCXCI 50" диагонали, Samsung</t>
  </si>
  <si>
    <t>522-101-0256-0007</t>
  </si>
  <si>
    <t>Дисплей профессиональный QB55B LH55QBBEBGCXC 55" диагонали, Samsung</t>
  </si>
  <si>
    <t>522-101-0256-0008</t>
  </si>
  <si>
    <t>Дисплей профессиональный QB65B LH65QBBEBGCXCI 65" диагонали, Samsung</t>
  </si>
  <si>
    <t>522-101-0256-0009</t>
  </si>
  <si>
    <t>Дисплей профессиональный LB4335SDUHD
/ LB4335SD 43" диагонали, Lumien</t>
  </si>
  <si>
    <t>522-101-0256-0010</t>
  </si>
  <si>
    <t>Дисплей профессиональный LB5535SDUHD
/ LB5535SD 55" диагонали, Lumien</t>
  </si>
  <si>
    <t>522-101-0256-0011</t>
  </si>
  <si>
    <t>Дисплей профессиональный 98UH5J-H 98"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</si>
  <si>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t>
  </si>
  <si>
    <t>522-101-0256-0012</t>
  </si>
  <si>
    <t>Дисплей профессиональный 86UH5J-H 86"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</si>
  <si>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</si>
  <si>
    <t>522-101-0256-0013</t>
  </si>
  <si>
    <t>Дисплей профессиональный 75UH5J-H 75" диагонали, типа LG</t>
  </si>
  <si>
    <t>522-101-0256-0014</t>
  </si>
  <si>
    <t>Дисплей профессиональный 65UH5N-E 65"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</si>
  <si>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</si>
  <si>
    <t>522-101-0256-0015</t>
  </si>
  <si>
    <t>Дисплей профессиональный 55UH5N-E 55" диагонали, типа LG</t>
  </si>
  <si>
    <t>522-101-0256-0016</t>
  </si>
  <si>
    <t>Дисплей профессиональный 49UH5N-E 49" диагонали, типа LG</t>
  </si>
  <si>
    <t>522-101-0256-0017</t>
  </si>
  <si>
    <t>Дисплей профессиональный 43UH5N-E 43" диагонали, типа LG</t>
  </si>
  <si>
    <t>522-101-0256-0019</t>
  </si>
  <si>
    <t>Дисплей профессиональный 32SM5J-B 32" диагонали, типа LG</t>
  </si>
  <si>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</si>
  <si>
    <t>522-101-0256-0020</t>
  </si>
  <si>
    <t>Дисплей профессиональный 22SM3G 22" диагонали, типа LG</t>
  </si>
  <si>
    <t>Пульт дистанционного управления, шнур питания, QSG, кабель HDMI, подключение телефона к RS232C, внешний ИК-порт, ИК-панель</t>
  </si>
  <si>
    <t>522-101-0256-0021</t>
  </si>
  <si>
    <t>Дисплей профессиональный 55VSH7J-H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</si>
  <si>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</si>
  <si>
    <t>522-101-0256-0022</t>
  </si>
  <si>
    <t>Дисплей профессиональный 55VSM5J-H 55" диагонали, типа LG</t>
  </si>
  <si>
    <t>522-101-0256-0023</t>
  </si>
  <si>
    <t>Дисплей профессиональный 55VH7J-H 55" диагонали, типа LG</t>
  </si>
  <si>
    <t>522-101-0256-0024</t>
  </si>
  <si>
    <t>Дисплей профессиональный 55VM5E-A 55" диагонали, типа LG</t>
  </si>
  <si>
    <t>Пульт дистанционного управления, инструкция, кабель питания, кабель RS-232C, кабель DisplayPort, ИК-приемник</t>
  </si>
  <si>
    <t>522-101-0256-0025</t>
  </si>
  <si>
    <t>Дисплей профессиональный 55VM5J-H 55" диагонали, типа LG</t>
  </si>
  <si>
    <t>522-101-0256-0026</t>
  </si>
  <si>
    <t>Дисплей профессиональный 55VL7F 55" диагонали, типа LG</t>
  </si>
  <si>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</si>
  <si>
    <t>522-101-0256-0027</t>
  </si>
  <si>
    <t>Дисплей профессиональный 55VL5PJ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</si>
  <si>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</si>
  <si>
    <t>522-101-0256-0028</t>
  </si>
  <si>
    <t>Дисплей профессиональный 49VL5G-M 49" диагонали, типа LG</t>
  </si>
  <si>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</si>
  <si>
    <t>522-101-0256-0029</t>
  </si>
  <si>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</si>
  <si>
    <t>522-101-0256-0030</t>
  </si>
  <si>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</si>
  <si>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522-101-0256-0031</t>
  </si>
  <si>
    <t>522-101-0256-0032</t>
  </si>
  <si>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</si>
  <si>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522-101-0256-0033</t>
  </si>
  <si>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</si>
  <si>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522-101-0256-0034</t>
  </si>
  <si>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</si>
  <si>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522-101-0256-0035</t>
  </si>
  <si>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</si>
  <si>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522-101-0256-0036</t>
  </si>
  <si>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</si>
  <si>
    <t>522-101-0256-0037</t>
  </si>
  <si>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</si>
  <si>
    <t>522-101-0257</t>
  </si>
  <si>
    <t>Комплектующие интерактивной системы</t>
  </si>
  <si>
    <t>522-101-0257-0001</t>
  </si>
  <si>
    <t>WMN-55VD настенное крепление с возможностью фронтального доступа для видеостенных дисплеев</t>
  </si>
  <si>
    <t>522-101-0257-0004</t>
  </si>
  <si>
    <t>Компьютер встраиваемый для интерактивной панели ОPS Core i7-7700, Intel®Core™ I7 7700/3.6G-4.2G/4 ядра 8
потоков/ОЗУ DDR4 8G/ПЗУ SSD 128G/Windows 10</t>
  </si>
  <si>
    <t>522-101-0257-0005</t>
  </si>
  <si>
    <t>Компьютер встраиваемый для интерактивной панели ОPS-Core i5-1035G, Intel®Core™ i5-1035G1/1.00-3,60 GHz/4 ядра 8 потоков/Intel HD Graphics 630/ОЗУ DDR4 8G/ПЗУ SSD 256G/Windows 10</t>
  </si>
  <si>
    <t>522-101-0257-0006</t>
  </si>
  <si>
    <t>Компьютер встраиваемый для интерактивной панели Tactus t-panel 75",  4 ядра, 8 потоков/2,40 ГГц/SD 128Gb/8Gb DDR4/OS Windows</t>
  </si>
  <si>
    <t>522-101-0257-0007</t>
  </si>
  <si>
    <t>Мобильная стойка для интерактивных панелей диагональю 75 дюймов, VESA 800x400</t>
  </si>
  <si>
    <t>522-101-0257-0008</t>
  </si>
  <si>
    <t>Мобильная стойка для интерактивных
панелей диагональю 65-86 дюймов</t>
  </si>
  <si>
    <t>522-101-0257-0009</t>
  </si>
  <si>
    <t>Мобильная стойка для интерактивных
панелей диагональю 65-98 дюймов</t>
  </si>
  <si>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</si>
  <si>
    <t>522-101-0257-0013</t>
  </si>
  <si>
    <t>Стойка мобильная типа F3, TS-1881, для панели интерактивной на колесиках, дюйм от 65 до 75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</si>
  <si>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</si>
  <si>
    <t>522-101-0257-0014</t>
  </si>
  <si>
    <t>Стойка мобильная типа F3, FMR-01-86, для панели интерактивной на колесиках, дюйм от 65 до 86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</si>
  <si>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</si>
  <si>
    <t>522-101-0257-0015</t>
  </si>
  <si>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</si>
  <si>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</si>
  <si>
    <t>522-101-0258</t>
  </si>
  <si>
    <t>LED экран</t>
  </si>
  <si>
    <t>522-101-0258-0001</t>
  </si>
  <si>
    <t>LED экран модульный светодиодный типа iDC, шаг пикселя 2,5 мм, размерами 3500 мм х 2000 мм</t>
  </si>
  <si>
    <t>Комплектность: консоль управления видео NovaStar C1,  джойстик, T-Bar, металлокаркас из квадратной стальной трубы размером 50 мм х 50 мм</t>
  </si>
  <si>
    <t>522-101-0259</t>
  </si>
  <si>
    <t>Трибуна интерактивная</t>
  </si>
  <si>
    <t>522-101-0259-0001</t>
  </si>
  <si>
    <t>Трибуна интерактивная сенсорная типа iDC Tribune 22", размерами 600 мм х 600 мм х
1100 мм</t>
  </si>
  <si>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</si>
  <si>
    <t>522-101-0260</t>
  </si>
  <si>
    <t>Киоск интерактивный</t>
  </si>
  <si>
    <t>522-101-0260-0001</t>
  </si>
  <si>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</si>
  <si>
    <t>522-101-0260-0002</t>
  </si>
  <si>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</si>
  <si>
    <t>522-101-0300</t>
  </si>
  <si>
    <t>Учебно-практическое и
учебно-лабораторное оборудование</t>
  </si>
  <si>
    <t>522-101-0314</t>
  </si>
  <si>
    <t>Огнетушитель</t>
  </si>
  <si>
    <t>522-101-0316</t>
  </si>
  <si>
    <t>522-101-0316-0001</t>
  </si>
  <si>
    <t>Мольберт низкий складной, размеры не менее 600х1000мм</t>
  </si>
  <si>
    <t>522-101-0500</t>
  </si>
  <si>
    <t>Цифровые образовательные ресурсы</t>
  </si>
  <si>
    <t>522-101-0501</t>
  </si>
  <si>
    <t>Интерфейс</t>
  </si>
  <si>
    <t>522-101-0502</t>
  </si>
  <si>
    <t>Учебное программное обеспечение для
записи, показа и анализа данных</t>
  </si>
  <si>
    <t>522-101-0503</t>
  </si>
  <si>
    <t>Система управления кабинетом</t>
  </si>
  <si>
    <t>522-101-0600</t>
  </si>
  <si>
    <t>Информационно-коммуникационные
средства</t>
  </si>
  <si>
    <t>522-101-0602</t>
  </si>
  <si>
    <t>Документ-камера</t>
  </si>
  <si>
    <t>522-101-0602-0001</t>
  </si>
  <si>
    <t>522-101-0602-0002</t>
  </si>
  <si>
    <t>Документ камера MAXON TV-51</t>
  </si>
  <si>
    <t>522-101-0602-0003</t>
  </si>
  <si>
    <t>Документ камера типа Avervision U50</t>
  </si>
  <si>
    <t>522-101-0800</t>
  </si>
  <si>
    <t>Лабораторное оборудование</t>
  </si>
  <si>
    <t>522-101-0801</t>
  </si>
  <si>
    <t>Барометр-анероид</t>
  </si>
  <si>
    <t>522-101-0801-0001</t>
  </si>
  <si>
    <t>Барометр-анероид. Диапазон:
720-780мм.рт.ст., 96000-104000Па, цена деления 1мм.рт.ст., 100Па</t>
  </si>
  <si>
    <t>522-101-0801-0002</t>
  </si>
  <si>
    <t>Барометр-анероид. Диапазон: 950-1070гПа, точность +/-5гПа</t>
  </si>
  <si>
    <t>522-101-0802</t>
  </si>
  <si>
    <t>Термометр</t>
  </si>
  <si>
    <t>522-101-0802-0001</t>
  </si>
  <si>
    <t>Термометр демонстрационный</t>
  </si>
  <si>
    <t>522-101-0802-0002</t>
  </si>
  <si>
    <t>Термометр с фиксацией максимального и минимального значений типа ScienceCube, MDS-106. Диапазон: -20°C до +50°C</t>
  </si>
  <si>
    <t>522-101-0802-0003</t>
  </si>
  <si>
    <t>Термометр цифровой. Нержавеющая сталь. Диапазон: от -50°C до +100°C</t>
  </si>
  <si>
    <t>522-101-0803</t>
  </si>
  <si>
    <t>Компас школьный</t>
  </si>
  <si>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</si>
  <si>
    <t>522-101-0804</t>
  </si>
  <si>
    <t>Стрелки магнитные на штативах</t>
  </si>
  <si>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</si>
  <si>
    <t>522-101-0805</t>
  </si>
  <si>
    <t>Теллурий (модель Солнце – Земля – Луна)</t>
  </si>
  <si>
    <t>522-101-0805-0001</t>
  </si>
  <si>
    <t>522-101-0805-0002</t>
  </si>
  <si>
    <t>Комплект демонстрационного оборудования "Теллурий" типа Cornelsen Experimenta 31121/44260</t>
  </si>
  <si>
    <t>522-101-0806</t>
  </si>
  <si>
    <t>Баня комбинированная</t>
  </si>
  <si>
    <t>522-101-0806-0001</t>
  </si>
  <si>
    <t>Баня комбинированная с нагревательным
элементом для воды и песка</t>
  </si>
  <si>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</si>
  <si>
    <t>522-101-0806-0002</t>
  </si>
  <si>
    <t>Баня водяная без электрической плитки</t>
  </si>
  <si>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</si>
  <si>
    <t>522-101-0806-0003</t>
  </si>
  <si>
    <t>Баня песочная без электрической плитки</t>
  </si>
  <si>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</si>
  <si>
    <t>522-101-0808</t>
  </si>
  <si>
    <t>Штатив лабораторный</t>
  </si>
  <si>
    <t>522-101-0808-0001</t>
  </si>
  <si>
    <t>Штатив лабораторный комбинированный</t>
  </si>
  <si>
    <t>Состоит из металлической подставки и вертикального металлического штыря (стержня). В комплекте: 5 муфт, 2 лапки, 3 кольца, болты для креплений.</t>
  </si>
  <si>
    <t>522-101-0808-0002</t>
  </si>
  <si>
    <t>Штатив физический универсальный</t>
  </si>
  <si>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</si>
  <si>
    <t>522-101-0808-0003</t>
  </si>
  <si>
    <t>Штатив лабораторный металлический</t>
  </si>
  <si>
    <t>Комплект состоит из следующих частей: Подставка-плита – 1 шт
Стойка - 1 шт Кольцо – 3 шт
Зажим для бюреток - 2 шт Зажим - 1 шт
Муфта крестообразная - 1 шт</t>
  </si>
  <si>
    <t>522-101-0808-0004</t>
  </si>
  <si>
    <t>Штатив универсальный</t>
  </si>
  <si>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</si>
  <si>
    <t>522-101-0808-0005</t>
  </si>
  <si>
    <t>Штатив универсальный химический</t>
  </si>
  <si>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</si>
  <si>
    <t>522-101-0810</t>
  </si>
  <si>
    <t>Бинокль</t>
  </si>
  <si>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</si>
  <si>
    <t>522-101-0812</t>
  </si>
  <si>
    <t>Насос</t>
  </si>
  <si>
    <t>522-101-0812-0001</t>
  </si>
  <si>
    <t>Насос воздушный ручной</t>
  </si>
  <si>
    <t>Насос воздушный ручной. Насос поршневой двойного действия.
Максимальное разрежение 40 мм рт. cт., нагнетание 4 ат.</t>
  </si>
  <si>
    <t>522-101-0812-0002</t>
  </si>
  <si>
    <t>Насос водоструйный</t>
  </si>
  <si>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</si>
  <si>
    <t>522-101-0812-0003</t>
  </si>
  <si>
    <t>Насос вакуумный</t>
  </si>
  <si>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</si>
  <si>
    <t>522-101-0813</t>
  </si>
  <si>
    <t>Электрометр</t>
  </si>
  <si>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</si>
  <si>
    <t>522-101-0814</t>
  </si>
  <si>
    <t>Пистолет баллистический</t>
  </si>
  <si>
    <t>522-101-0814-0001</t>
  </si>
  <si>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</si>
  <si>
    <t>522-101-0815</t>
  </si>
  <si>
    <t>Тарелка вакуумная со звонком</t>
  </si>
  <si>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</si>
  <si>
    <t>522-101-1000</t>
  </si>
  <si>
    <t>Оборудование и инвентарь для занятий физической культурой</t>
  </si>
  <si>
    <t>522-101-1001</t>
  </si>
  <si>
    <t>Стенка гимнастическая</t>
  </si>
  <si>
    <t>522-101-1001-0001</t>
  </si>
  <si>
    <t>Детская шведская стенка деревянная эконом (доска 45х105 мм)</t>
  </si>
  <si>
    <t>522-101-1001-0002</t>
  </si>
  <si>
    <t>Шведская стенка деревянная эконом (доска 45х105мм)</t>
  </si>
  <si>
    <t>522-101-1001-0003</t>
  </si>
  <si>
    <t>Шведская стенка деревянная стандарт (доска 40х140мм) до 260см высота</t>
  </si>
  <si>
    <t>522-101-1001-0004</t>
  </si>
  <si>
    <t>Шведская стенка деревянная стандарт (доска 40х140мм) до 320см высота</t>
  </si>
  <si>
    <t>522-101-1001-0005</t>
  </si>
  <si>
    <t>Стенка гимнастическая шведская деревянная, размеры не менее 2300х800мм</t>
  </si>
  <si>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</si>
  <si>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522-101-1001-0006</t>
  </si>
  <si>
    <t>Стенка гимнастическая шведская деревянная TSF-9465. Размеры 2500х800мм</t>
  </si>
  <si>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</si>
  <si>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522-101-1001-0007</t>
  </si>
  <si>
    <t>Стенка гимнастическая шведская деревянная TSF-9320. Размеры 2800х1000мм</t>
  </si>
  <si>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</si>
  <si>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522-101-1001-0008</t>
  </si>
  <si>
    <t>Стенка гимнастическая шведская деревянная, размер не менее 2800х800мм</t>
  </si>
  <si>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</si>
  <si>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522-101-1001-0009</t>
  </si>
  <si>
    <t>Стенка гимнастическая шведская деревянная TSF-9349. Размеры 3200х800мм</t>
  </si>
  <si>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</si>
  <si>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522-101-1001-0010</t>
  </si>
  <si>
    <t>Стенка гимнастическая шведская деревянная TSF-9321. Размеры 3200х1000мм</t>
  </si>
  <si>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</si>
  <si>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522-101-1001-0011</t>
  </si>
  <si>
    <t>Стенка гимнастическая шведская деревянная с выносом TSF-2810. Размеры 2800х1000мм</t>
  </si>
  <si>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</si>
  <si>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522-101-1001-0012</t>
  </si>
  <si>
    <t>Стенка гимнастическая шведская деревянная с выносом TSF-2880. Размеры 2800х800мм</t>
  </si>
  <si>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</si>
  <si>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522-101-1001-0013</t>
  </si>
  <si>
    <t>Стенка гимнастическая шведская деревянная с выносом TSF-3280. Размеры 3200х800мм</t>
  </si>
  <si>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</si>
  <si>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522-101-1001-0014</t>
  </si>
  <si>
    <t>Стенка гимнастическая с выносом TSF-3210. Размеры 3200х1000мм</t>
  </si>
  <si>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</si>
  <si>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522-101-1002</t>
  </si>
  <si>
    <t>Доска для гимнастической стенки</t>
  </si>
  <si>
    <t>522-101-1002-0001</t>
  </si>
  <si>
    <t>Доска массажная приставная 150х30 см</t>
  </si>
  <si>
    <t>522-101-1002-0002</t>
  </si>
  <si>
    <t>Доска массажная приставная 180х30 см</t>
  </si>
  <si>
    <t>522-101-1002-0003</t>
  </si>
  <si>
    <t>Доска массажная приставная 200х30 см</t>
  </si>
  <si>
    <t>522-101-1002-0004</t>
  </si>
  <si>
    <t>Доска наклонная приставная 150x30 см</t>
  </si>
  <si>
    <t>522-101-1002-0005</t>
  </si>
  <si>
    <t>Доска наклонная приставная 180x30 см</t>
  </si>
  <si>
    <t>522-101-1002-0006</t>
  </si>
  <si>
    <t>Доска наклонная приставная 200x30 см</t>
  </si>
  <si>
    <t>522-101-1002-0007</t>
  </si>
  <si>
    <t>Доска наклонная ребристая 1,5м (дерево)</t>
  </si>
  <si>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</si>
  <si>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522-101-1002-0008</t>
  </si>
  <si>
    <t>Доска наклонная ребристая 1,8м TSF-4708 (дерево). Размеры 1800х300 мм. Материал: березовая фанера 25 мм</t>
  </si>
  <si>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</si>
  <si>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522-101-1002-0009</t>
  </si>
  <si>
    <t>Доска наклонная ребристая 2м TSF-9186 (дерево). Размеры 2000х300 мм. Материал: березовая фанера 25 мм</t>
  </si>
  <si>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</si>
  <si>
    <t>522-101-1002-0010</t>
  </si>
  <si>
    <t>Доска наклонная навесная 1,5м TSF-2425. Размеры 1500х240 мм. Материал: березовая фанера 25 мм</t>
  </si>
  <si>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</si>
  <si>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522-101-1002-0011</t>
  </si>
  <si>
    <t>Доска наклонная навесная 1,8 м TSF-2427. Размеры 1800х240 мм. Материал: березовая фанера 25 мм</t>
  </si>
  <si>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</si>
  <si>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522-101-1002-0012</t>
  </si>
  <si>
    <t>Доска наклонная навесная 2м TSF-9185. Размеры 2000х240 мм. Материал: березовая фанера 25 мм</t>
  </si>
  <si>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</si>
  <si>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522-101-1003</t>
  </si>
  <si>
    <t>Скамейка гимнастическая</t>
  </si>
  <si>
    <t>522-101-1003-0001</t>
  </si>
  <si>
    <t>Скамья гимнастическая 150х23х30см</t>
  </si>
  <si>
    <t>522-101-1003-0002</t>
  </si>
  <si>
    <t>Скамья гимнастическая 200х23х30см</t>
  </si>
  <si>
    <t>522-101-1003-0003</t>
  </si>
  <si>
    <t>Скамья гимнастическая 250х23х30см</t>
  </si>
  <si>
    <t>522-101-1003-0004</t>
  </si>
  <si>
    <t>Скамья гимнастическая 300х23х30см</t>
  </si>
  <si>
    <t>522-101-1003-0005</t>
  </si>
  <si>
    <t>Скамья гимнастическая 350х23х30см</t>
  </si>
  <si>
    <t>522-101-1003-0006</t>
  </si>
  <si>
    <t>Скамья гимнастическая 400х23х30см</t>
  </si>
  <si>
    <t>522-101-1003-0007</t>
  </si>
  <si>
    <t>Скамья гимнастическая, размеры не менее 2000х240х300мм</t>
  </si>
  <si>
    <t>Скамейка гимнастическая покрыта качественным мебельным  лаком на водной основе</t>
  </si>
  <si>
    <t>522-101-1003-0008</t>
  </si>
  <si>
    <t>Скамья гимнастическая с металлическими опорами TSF-9362. Длина скамейки 1500 мм, ширина 240мм, высота 320мм</t>
  </si>
  <si>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</si>
  <si>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522-101-1003-0009</t>
  </si>
  <si>
    <t>Скамья гимнастическая с металлическими опорами, длина не менее 2000мм</t>
  </si>
  <si>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</si>
  <si>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522-101-1003-0010</t>
  </si>
  <si>
    <t>Скамья гимнастическая с металлическими опорами, длина не менее 2500 мм</t>
  </si>
  <si>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</si>
  <si>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522-101-1003-0011</t>
  </si>
  <si>
    <t>Скамья гимнастическая с металлическими опорами TSF-9253. Длина скамейки 3000 мм, ширина 240мм, высота 340мм</t>
  </si>
  <si>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</si>
  <si>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522-101-1003-0012</t>
  </si>
  <si>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</si>
  <si>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</si>
  <si>
    <t>522-101-1003-0013</t>
  </si>
  <si>
    <t>Скамья деревянная на металлической основе 1500х300х450 мм</t>
  </si>
  <si>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</si>
  <si>
    <t>522-101-1004</t>
  </si>
  <si>
    <t>Канат для перетягивания</t>
  </si>
  <si>
    <t>522-101-1004-0001</t>
  </si>
  <si>
    <t>Канат для перетягивания, длина не менее 10м, диаметр не менее 40мм</t>
  </si>
  <si>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</si>
  <si>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522-101-1004-0002</t>
  </si>
  <si>
    <t>Канат для перетягивания 12м Ф40мм</t>
  </si>
  <si>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</si>
  <si>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522-101-1004-0003</t>
  </si>
  <si>
    <t>Канат для перетягивания, длина 10м, диаметр 30мм</t>
  </si>
  <si>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</si>
  <si>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522-101-1004-0004</t>
  </si>
  <si>
    <t>Канат для перетягивания 12м Ф30мм</t>
  </si>
  <si>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</si>
  <si>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522-101-1004-0005</t>
  </si>
  <si>
    <t>Канат для кроссфита, длина 9 м, диаметр 50 мм, нейлон с вставками из красного нейлона</t>
  </si>
  <si>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</si>
  <si>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522-101-1004-0006</t>
  </si>
  <si>
    <t>Канат для кроссфита, длина 12 м, диаметр 50 мм, нейлон с вставками из красного нейлона</t>
  </si>
  <si>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</si>
  <si>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522-101-1005</t>
  </si>
  <si>
    <t>Канат для лазания</t>
  </si>
  <si>
    <t>522-101-1005-0001</t>
  </si>
  <si>
    <t>Канат спортивный 32мм</t>
  </si>
  <si>
    <t>522-101-1005-0002</t>
  </si>
  <si>
    <t>Канат спортивный 50мм</t>
  </si>
  <si>
    <t>522-101-1005-0003</t>
  </si>
  <si>
    <t>Канат спортивный 40мм</t>
  </si>
  <si>
    <t>522-101-1005-0004</t>
  </si>
  <si>
    <t>Канат для лазанья RA-500 х/б 5м Ф 40 мм. Длина: 5 м, диаметр: 40 мм. Материал: хлопчатобумажная пряжа</t>
  </si>
  <si>
    <t>Канат для лазанья RA-500 х/б 5м Ф 40 мм. Длина: 5 м, диаметр: 40 мм.
Материал: хлопчатобумажная пряжа</t>
  </si>
  <si>
    <t>522-101-1005-0005</t>
  </si>
  <si>
    <t>Канат для лазанья RA-1817 х/б 6м Ф 40 мм. Длина: 6 м, диаметр: 40 мм. Материал: хлопчатобумажная пряжа</t>
  </si>
  <si>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</si>
  <si>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522-101-1005-0006</t>
  </si>
  <si>
    <t>Канат для лазанья RA-1902 х/б 7м Ф 40 мм. Длина: 7 м, диаметр: 40 мм. Материал: хлопчатобумажная пряжа</t>
  </si>
  <si>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</si>
  <si>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522-101-1005-0007</t>
  </si>
  <si>
    <t>Канат для лазанья, длина не менее 8 м, диаметр не менее 40мм</t>
  </si>
  <si>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</si>
  <si>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522-101-1005-0008</t>
  </si>
  <si>
    <t>Канат для лазанья RA-8742 х/б 9м Ф 40 мм. Длина: 9 м, диаметр: 40 мм. Материал: хлопчатобумажная пряжа</t>
  </si>
  <si>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</si>
  <si>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522-101-1005-0009</t>
  </si>
  <si>
    <t>Канат для лазания, длина 12м</t>
  </si>
  <si>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</si>
  <si>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522-101-1006</t>
  </si>
  <si>
    <t>Веревочная лестница</t>
  </si>
  <si>
    <t>522-101-1006-0001</t>
  </si>
  <si>
    <t>Лестница веревочная 2м</t>
  </si>
  <si>
    <t>522-101-1006-0002</t>
  </si>
  <si>
    <t>Детская каркасная веревочная лестница.
Размер: 170х69х7 см</t>
  </si>
  <si>
    <t>522-101-1007</t>
  </si>
  <si>
    <t>Набор кеглей</t>
  </si>
  <si>
    <t>Кегли для эстафет состоит из 6 цветных кеглей и 2 шаров. Высота 265 мм.
Длина 170 мм. Ширина 250 мм. Материал: ПВХ (пластик).</t>
  </si>
  <si>
    <t>522-101-1008</t>
  </si>
  <si>
    <t>Свисток игровой</t>
  </si>
  <si>
    <t>522-101-1008-0001</t>
  </si>
  <si>
    <t>Свисток металический</t>
  </si>
  <si>
    <t>522-101-1008-0002</t>
  </si>
  <si>
    <t>Свисток FOX</t>
  </si>
  <si>
    <t>522-101-1008-0003</t>
  </si>
  <si>
    <t>Свисток металический TU-06. Материал свистка: нержавеющеая сталь, материал горошины: пластик</t>
  </si>
  <si>
    <t>Свисток металический TU-06. Материал свистка: нержавеющеая сталь, материал горошины: пластик. Комплектация: свисток, шнурок с карабином</t>
  </si>
  <si>
    <t>522-101-1008-0004</t>
  </si>
  <si>
    <t>Свисток пластиковый TR-40</t>
  </si>
  <si>
    <t>522-101-1008-0005</t>
  </si>
  <si>
    <t>Свисток электронный, батарея 9v, съемный шнурок. Мощность: 125 дБ, корпус и кнопки из ударопрочного ABS-пластика, металлические внутренние элементы</t>
  </si>
  <si>
    <t>Электронный свисток. Функции: Тон 1 - слабый; Тон 2 - средний; Тон 3
-сильный. В комплекте: литий-ионный аккумулятор 18650.</t>
  </si>
  <si>
    <t>522-101-1009</t>
  </si>
  <si>
    <t>Инвентарь для художественной гимнастики</t>
  </si>
  <si>
    <t>522-101-1009-0001</t>
  </si>
  <si>
    <t>Булава TFB-040 для художественной гимнастики.  Выполнены из комбинированных материалов: головка и ручка булавы каучуковые, тело - пластиковое.   Длина: 36 см</t>
  </si>
  <si>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</si>
  <si>
    <t>522-101-1009-0002</t>
  </si>
  <si>
    <t>Лента для художественной гимнастики TF-4024, 4 м. Изготовлена из полиэстера Длина: 4 м Длина прута: 57 см</t>
  </si>
  <si>
    <t>522-101-1009-0003</t>
  </si>
  <si>
    <t>Куб гимнастический 200х200мм</t>
  </si>
  <si>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</si>
  <si>
    <t>522-101-1009-0004</t>
  </si>
  <si>
    <t>Куб гимнастический 300х300мм</t>
  </si>
  <si>
    <t>522-101-1009-0005</t>
  </si>
  <si>
    <t>Куб гимнастический 400х400мм</t>
  </si>
  <si>
    <t>522-101-1009-0006</t>
  </si>
  <si>
    <t>Деревянные кубы в комплекте 5 штук (размеры: 50х50мм; 75х75мм; 100х100мм; 125х125мм; 150х150мм)</t>
  </si>
  <si>
    <t>Куб деревянный гимнастический в комлекте 5 шт. Изготовлен из фанеры толщиной 12 мм. Покрыт водоэмульсионной краской</t>
  </si>
  <si>
    <t>522-101-1009-0007</t>
  </si>
  <si>
    <t>Кольца гимнастические в комплекте с
тросом 2м</t>
  </si>
  <si>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</si>
  <si>
    <t>522-101-1009-0008</t>
  </si>
  <si>
    <t>Набор плиометрических блоков</t>
  </si>
  <si>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</si>
  <si>
    <t>522-101-1009-0009</t>
  </si>
  <si>
    <t>Коврик для фитнеса двухслойный, размеры 1800х600х8 мм. Материал изготовления: ПВХ</t>
  </si>
  <si>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</si>
  <si>
    <t>522-101-1011</t>
  </si>
  <si>
    <t>Палка гимнастическая</t>
  </si>
  <si>
    <t>522-101-1011-0001</t>
  </si>
  <si>
    <t>Палка гимнастическая. Материал пластик. Диаметр 25мм, длина 1000мм</t>
  </si>
  <si>
    <t>522-101-1011-0002</t>
  </si>
  <si>
    <t>Палка гимнастическая деревянная 1000 мм TCA-9034. Материал: дерево (береза, нелакированная) Длина: 1 метр. Диаметр: 28 мм</t>
  </si>
  <si>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</si>
  <si>
    <t>522-101-1011-0003</t>
  </si>
  <si>
    <t>Палка гимнастическая деревянная 1200 мм TCA-9035. Материал: дерево (береза, нелакированная) Длина: 1,2 метр. Диаметр: 28 мм</t>
  </si>
  <si>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</si>
  <si>
    <t>522-101-1011-0004</t>
  </si>
  <si>
    <t>Палка алюминиевая эстафетная палочка длина 300мм</t>
  </si>
  <si>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</si>
  <si>
    <t>522-101-1011-0005</t>
  </si>
  <si>
    <t>Боди бар 1 кг, материал металл</t>
  </si>
  <si>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</si>
  <si>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522-101-1011-0006</t>
  </si>
  <si>
    <t>Боди бар 2 кг, материал металл</t>
  </si>
  <si>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</si>
  <si>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522-101-1011-0007</t>
  </si>
  <si>
    <t>Боди бар 3 кг, материал металл</t>
  </si>
  <si>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</si>
  <si>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522-101-1011-0008</t>
  </si>
  <si>
    <t>Боди бар 4 кг, материал металл</t>
  </si>
  <si>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</si>
  <si>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522-101-1011-0009</t>
  </si>
  <si>
    <t>Боди бар 5 кг, материал металл</t>
  </si>
  <si>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</si>
  <si>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522-101-1011-0010</t>
  </si>
  <si>
    <t>Боди бар 6 кг, материал металл</t>
  </si>
  <si>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</si>
  <si>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522-101-1011-0011</t>
  </si>
  <si>
    <t>Боди бар 7 кг, материал металл</t>
  </si>
  <si>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</si>
  <si>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522-101-1011-0012</t>
  </si>
  <si>
    <t>Боди бар 8 кг, материал металл</t>
  </si>
  <si>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</si>
  <si>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522-101-1011-0013</t>
  </si>
  <si>
    <t>Боди бар 9 кг, материал металл</t>
  </si>
  <si>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</si>
  <si>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522-101-1011-0014</t>
  </si>
  <si>
    <t>Боди бар 10 кг, материал металл</t>
  </si>
  <si>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</si>
  <si>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522-101-1011-0015</t>
  </si>
  <si>
    <t>Палка гимнастическая пластиковая. Длина 1000 мм, диаметр 30 мм</t>
  </si>
  <si>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</si>
  <si>
    <t>522-101-1011-0016</t>
  </si>
  <si>
    <t>Палка гимнастическая пластиковая. Длина 1200мм, диаметр 30 мм</t>
  </si>
  <si>
    <t>522-101-1012</t>
  </si>
  <si>
    <t>Скакалка</t>
  </si>
  <si>
    <t>522-101-1012-0001</t>
  </si>
  <si>
    <t>Скакалка с деревянными ручками</t>
  </si>
  <si>
    <t>522-101-1012-0002</t>
  </si>
  <si>
    <t>Скакалка j-582</t>
  </si>
  <si>
    <t>522-101-1012-0003</t>
  </si>
  <si>
    <t>Скакалка j-584</t>
  </si>
  <si>
    <t>522-101-1012-0004</t>
  </si>
  <si>
    <t>Скакалка j-607</t>
  </si>
  <si>
    <t>522-101-1012-0005</t>
  </si>
  <si>
    <t>Скакалка гелевая P-1239 CONSTAR</t>
  </si>
  <si>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</si>
  <si>
    <t>522-101-1012-0006</t>
  </si>
  <si>
    <t>Скакалка JPR-1238. Ручки скакалки выполнены из полипропиленовой пены</t>
  </si>
  <si>
    <t>Скакалка JPR-1238. Ручки скакалки выполнены из полипропиленовой пены.
Шнур изготовлен из гибкого и прочного поливинилхлорида</t>
  </si>
  <si>
    <t>522-101-1012-0007</t>
  </si>
  <si>
    <t>Скакалка с металлическим тросом TFSR-0212</t>
  </si>
  <si>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</si>
  <si>
    <t>522-101-1012-0008</t>
  </si>
  <si>
    <t>Скакалка pvt-1237. Изготовлена из высококачественной полиуретана</t>
  </si>
  <si>
    <t>Скакалка pvt-1237. Изготовлена из высококачественной полиуретана, которая долговечна для длительного использования</t>
  </si>
  <si>
    <t>522-101-1012-0009</t>
  </si>
  <si>
    <t>Скакалка со счетчиком P1113
POVIT-JPR1113. Система скоростного вращения</t>
  </si>
  <si>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</si>
  <si>
    <t>522-101-1012-0010</t>
  </si>
  <si>
    <t>Скакалка веревочная TC-1239. Длина скакалки: 2,4 м. Толщина шнура: 4 мм</t>
  </si>
  <si>
    <t>522-101-1012-0011</t>
  </si>
  <si>
    <t>Скакалка детская  PCrstalCONSTARPP-1215. Длина синтетического шнура 2 метра</t>
  </si>
  <si>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</si>
  <si>
    <t>522-101-1012-0012</t>
  </si>
  <si>
    <t>Скакалка TC-1240</t>
  </si>
  <si>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</si>
  <si>
    <t>522-101-1012-0013</t>
  </si>
  <si>
    <t>Скакалка с деревяными ручками. Материал изготовления: ручки из дерева,  шнур из нейлона</t>
  </si>
  <si>
    <t>Скакалка с деревянными ручками. При прыжках сжигаются калории, тренируются все группы мышц, укрепляется дыхательная система.</t>
  </si>
  <si>
    <t>522-101-1013</t>
  </si>
  <si>
    <t>Флажок</t>
  </si>
  <si>
    <t>522-101-1013-0001</t>
  </si>
  <si>
    <t>Флажок судейский размерами 340 х 440 мм
RAF-015</t>
  </si>
  <si>
    <t>Флажок судейский RAF-015. Ручка изготовлена из пластика и покрыта мягким неопреновым материалом. Размер флага: 34 х 44см. Длина полюс: 49см</t>
  </si>
  <si>
    <t>522-101-1013-0002</t>
  </si>
  <si>
    <t>Флажок разноцветный</t>
  </si>
  <si>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</si>
  <si>
    <t>522-101-1015</t>
  </si>
  <si>
    <t>Шнур короткий</t>
  </si>
  <si>
    <t>522-101-1016</t>
  </si>
  <si>
    <t>Мяч баскетбольный</t>
  </si>
  <si>
    <t>522-101-1016-0001</t>
  </si>
  <si>
    <t>Мяч баскетбольный Spalding TF1000</t>
  </si>
  <si>
    <t>522-101-1016-0002</t>
  </si>
  <si>
    <t>Мяч баскетбольный №7 TB-7100. Поверхность из синтетической кожи (полиуретан)</t>
  </si>
  <si>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</si>
  <si>
    <t>522-101-1016-0003</t>
  </si>
  <si>
    <t>Мяч баскетбольный №7 BG3800 (профессиональный) типа Molten</t>
  </si>
  <si>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</si>
  <si>
    <t>522-101-1016-0004</t>
  </si>
  <si>
    <t>Мяч баскетбольный. Материал изготовления: композитная кожа</t>
  </si>
  <si>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</si>
  <si>
    <t>522-101-1017</t>
  </si>
  <si>
    <t>Мяч волейбольный</t>
  </si>
  <si>
    <t>522-101-1017-0001</t>
  </si>
  <si>
    <t>Волейбольный мяч Mikasa MVA V320W</t>
  </si>
  <si>
    <t>522-101-1017-0002</t>
  </si>
  <si>
    <t>Мяч волейбольный №5 TV-210.  Мягкая синтетическая кожа (полиуретан)</t>
  </si>
  <si>
    <t>Волейбольный мяч №5 TV-210.  Тип соединения панелей: Клееный, Количество панелей: 18 Мягкая синтетическая кожа (полиуретан), бутиловая камера,  размер 5,  панелей 18</t>
  </si>
  <si>
    <t>522-101-1017-0003</t>
  </si>
  <si>
    <t>Мяч волейбольный №5 V330W  типа MIKASA. Профессиональный. Синт. кожа (микрофибра)</t>
  </si>
  <si>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</si>
  <si>
    <t>522-101-1017-0004</t>
  </si>
  <si>
    <t>Мяч волейбольный №5 V5FLC типа MOLTEN. Склеенный</t>
  </si>
  <si>
    <t>Мяч волейбольный №5 V5FLC типа MOLTEN. Размер: 5. Тип соединения панелей: Склеенный. Способ сшивки мяча: Термический. Цвет: Белый, зеленый, красный.</t>
  </si>
  <si>
    <t>522-101-1017-0005</t>
  </si>
  <si>
    <t>Волейбольный мяч профессиональный №5 MIKASA типа V200W</t>
  </si>
  <si>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</si>
  <si>
    <t>522-101-1017-0006</t>
  </si>
  <si>
    <t>Мяч волейбольный. Материал изготовления: синтетическая кожа (микрофибра)</t>
  </si>
  <si>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</si>
  <si>
    <t>522-101-1018</t>
  </si>
  <si>
    <t>Мяч футбольный</t>
  </si>
  <si>
    <t>522-101-1018-0001</t>
  </si>
  <si>
    <t>Футбольный мяч Select №5</t>
  </si>
  <si>
    <t>522-101-1018-0002</t>
  </si>
  <si>
    <t>Мяч футбольный №5 TSH-428A. Конструкция мяча состоит из 14 панелей</t>
  </si>
  <si>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</si>
  <si>
    <t>522-101-1018-0003</t>
  </si>
  <si>
    <t>Мяч футбольный №5 STAR ALL NEW POLARIS 1000. Композитная синтетическая кожа Premium класса на основе Полиуретана (PU) толщиной 1,5мм</t>
  </si>
  <si>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</si>
  <si>
    <t>522-101-1018-0004</t>
  </si>
  <si>
    <t>Мяч мини-футбольный №4 TSK-2008.
Материал  камеры:  Латексная камера</t>
  </si>
  <si>
    <t>Мини-футбольный мяч №4 TSK-2008. Размер: 4. Материал  камеры: Латексная камера. Количество панелей: 32шт. Тип соединения: машиная сшивка.</t>
  </si>
  <si>
    <t>522-101-1018-0005</t>
  </si>
  <si>
    <t>Мяч футзальный №4 TSKS-432S. Покрышка из перламутровой глянцевой синтетической кожи (полиуретан). Материал камеры: Бутил с наполнителем</t>
  </si>
  <si>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</si>
  <si>
    <t>522-101-1018-0006</t>
  </si>
  <si>
    <t>Футзальный мяч №4. Материал изготовления: полиуретан, синтетическая кожа</t>
  </si>
  <si>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</si>
  <si>
    <t>522-101-1018-0007</t>
  </si>
  <si>
    <t>Мяч футбольный. Материал изготовления: полиуретан, синтетическая кожа</t>
  </si>
  <si>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</si>
  <si>
    <t>522-101-1019</t>
  </si>
  <si>
    <t>Мяч резиновый</t>
  </si>
  <si>
    <t>522-101-1019-0001</t>
  </si>
  <si>
    <t>Гимнастический мяч (Фитбол) 65 гладкий</t>
  </si>
  <si>
    <t>522-101-1019-0002</t>
  </si>
  <si>
    <t>Гимнастический мяч (Фитбол) 85 гладкий</t>
  </si>
  <si>
    <t>522-101-1019-0003</t>
  </si>
  <si>
    <t>Медбол Profi 1кг</t>
  </si>
  <si>
    <t>522-101-1019-0004</t>
  </si>
  <si>
    <t>Медбол Profi 2кг</t>
  </si>
  <si>
    <t>522-101-1019-0005</t>
  </si>
  <si>
    <t>Медбол Profi 3кг</t>
  </si>
  <si>
    <t>522-101-1019-0006</t>
  </si>
  <si>
    <t>Медбол Profi 4кг</t>
  </si>
  <si>
    <t>522-101-1019-0007</t>
  </si>
  <si>
    <t>Медбол Profi 5кг</t>
  </si>
  <si>
    <t>522-101-1019-0008</t>
  </si>
  <si>
    <t>Медбол Profi 6кг</t>
  </si>
  <si>
    <t>522-101-1019-0009</t>
  </si>
  <si>
    <t>Медбол Profi 7кг</t>
  </si>
  <si>
    <t>522-101-1019-0010</t>
  </si>
  <si>
    <t>Медбол Profi 8кг</t>
  </si>
  <si>
    <t>522-101-1019-0011</t>
  </si>
  <si>
    <t>Медбол Profi 9кг</t>
  </si>
  <si>
    <t>522-101-1019-0012</t>
  </si>
  <si>
    <t>Медбол Profi 10кг</t>
  </si>
  <si>
    <t>522-101-1019-0013</t>
  </si>
  <si>
    <t>Медицинбол 1кг. (медбол) RA-001. Изготовлен из высококачественной плотной износостойкой резины, натуральной кожи или ПВХ</t>
  </si>
  <si>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</si>
  <si>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522-101-1019-0014</t>
  </si>
  <si>
    <t>Медицинбол 2кг. (медбол) RA-002. Изготовлен из высококачественной плотной износостойкой резины, натуральной кожи или ПВХ</t>
  </si>
  <si>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</si>
  <si>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522-101-1019-0015</t>
  </si>
  <si>
    <t>Медицинбол 3кг. (медбол) RA-003. Изготовлен из высококачественной плотной износостойкой резины, натуральной кожи или ПВХ</t>
  </si>
  <si>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</si>
  <si>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522-101-1019-0016</t>
  </si>
  <si>
    <t>Медицинбол 4кг. (медбол) RA-004. Изготовлен из высококачественной плотной износостойкой резины, натуральной кожи или ПВХ</t>
  </si>
  <si>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</si>
  <si>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522-101-1019-0017</t>
  </si>
  <si>
    <t>Медицинбол 5кг. (медбол) RA-005. Изготовлен из высококачественной плотной износостойкой резины, натуральной кожи или ПВХ</t>
  </si>
  <si>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</si>
  <si>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522-101-1019-0018</t>
  </si>
  <si>
    <t>Медицинбол 6кг. (медбол) RA-006. Изготовлен из высококачественной плотной износостойкой резины, кожи или ПВХ</t>
  </si>
  <si>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</si>
  <si>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522-101-1019-0019</t>
  </si>
  <si>
    <t>Мяч гимнастический (Фитбол) TF-65 гладкий. Диаметр: 65 см</t>
  </si>
  <si>
    <t>Гимнастический мяч (Фитбол) TF-65 гладкий. Изготовлен из материала: поливинилхлорид (нетоксичный и гипоаллергенный). Диаметр: 65 см</t>
  </si>
  <si>
    <t>522-101-1019-0020</t>
  </si>
  <si>
    <t>Мяч гимнастический (Фитбол) TF-85 гладкий. Диаметр: 85 см</t>
  </si>
  <si>
    <t>Гимнастический мяч (Фитбол) TF-85 гладкий. Изготовлен из материала: поливинилхлорид (нетоксичный и гипоаллергенный). Диаметр: 85 см</t>
  </si>
  <si>
    <t>522-101-1019-0021</t>
  </si>
  <si>
    <t>Медицинбол 1кг TF-001 (медбол). Изготовлен из высококачественной плотной износостойкой резины, кожи или ПВХ</t>
  </si>
  <si>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</si>
  <si>
    <t>522-101-1019-0022</t>
  </si>
  <si>
    <t>Медицинбол 2кг TF-002 (медбол). Изготовлен из высококачественной плотной износостойкой резины, кожи или ПВХ</t>
  </si>
  <si>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</si>
  <si>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522-101-1019-0023</t>
  </si>
  <si>
    <t>Медицинбол 3кг TF-003 (медбол). Изготовлен из высококачественной плотной износостойкой резины, кожи или ПВХ</t>
  </si>
  <si>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</si>
  <si>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522-101-1019-0024</t>
  </si>
  <si>
    <t>Медицинбол 4кг TF-004 (медбол). Изготовлен из высококачественной плотной износостойкой резины, кожи или ПВХ</t>
  </si>
  <si>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</si>
  <si>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522-101-1019-0025</t>
  </si>
  <si>
    <t>Медицинбол 5кг TF-005 (медбол). Изготовлен из высококачественной плотной износостойкой резины, кожи или ПВХ</t>
  </si>
  <si>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</si>
  <si>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522-101-1019-0026</t>
  </si>
  <si>
    <t>Медицинбол 6кг. TF-006 (медбол). Изготовлен из  высококачественной плотной износостойкой резины, кожи или ПВХ</t>
  </si>
  <si>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</si>
  <si>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522-101-1019-0027</t>
  </si>
  <si>
    <t>Медицинбол 7кг. TF-007 (медбол). Изготовлен из высококачественной плотной износостойкой резины, кожи или ПВХ</t>
  </si>
  <si>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</si>
  <si>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522-101-1019-0028</t>
  </si>
  <si>
    <t>Медицинбол 8кг.TF-008 (медбол). Изготовлен из высококачественной плотной износостойкой резины, кожи или ПВХ</t>
  </si>
  <si>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</si>
  <si>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522-101-1019-0029</t>
  </si>
  <si>
    <t>Медицинбол 9кг. TF-009 (медбол). Изготовлен из высококачественной плотной износостойкой резины, кожи или ПВХ</t>
  </si>
  <si>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</si>
  <si>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522-101-1019-0030</t>
  </si>
  <si>
    <t>Медицинбол 10кг. TF-010 (медбол). Изготовлен из высококачественной плотной износостойкой резины, кожи или ПВХ</t>
  </si>
  <si>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</si>
  <si>
    <t>522-101-1019-0031</t>
  </si>
  <si>
    <t>Мяч для художественной гимнастики TFGMB0228 - 21 см. Изготовлен из Каучука</t>
  </si>
  <si>
    <t>Мяч для художественной гимнастики TFGMB0228 - 21 см. Вес составляет по стандарту 400 грамм. Изготовлен из Каучука.</t>
  </si>
  <si>
    <t>522-101-1019-0032</t>
  </si>
  <si>
    <t>Мяч для художественной гимнастики TF19400</t>
  </si>
  <si>
    <t>Изготовлен из поливинилхлорида, диаметр 19см.</t>
  </si>
  <si>
    <t>522-101-1020</t>
  </si>
  <si>
    <t>Мяч для метания</t>
  </si>
  <si>
    <t>522-101-1020-0001</t>
  </si>
  <si>
    <t>Мяч для метания резиновый диаметром 60мм RAM-150</t>
  </si>
  <si>
    <t>Мяч для метания резиновый RAM-150, 150 гр.  Характеристики: материал: резина. Диаметр : 60мм</t>
  </si>
  <si>
    <t>522-101-1022</t>
  </si>
  <si>
    <t>Мишень для метания</t>
  </si>
  <si>
    <t>522-101-1022-0001</t>
  </si>
  <si>
    <t>522-101-1022-0002</t>
  </si>
  <si>
    <t>Мишень для метания TSF-450 450х450мм.
Изготовлен из натурального дерева: фанеры</t>
  </si>
  <si>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</si>
  <si>
    <t>522-101-1022-0003</t>
  </si>
  <si>
    <t>Мишень для метания TSF-700 700х700мм.
Изготовлена из натурального дерева: фанеры</t>
  </si>
  <si>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</si>
  <si>
    <t>522-101-1022-0004</t>
  </si>
  <si>
    <t>Мешочек для метания</t>
  </si>
  <si>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</si>
  <si>
    <t>522-101-1023</t>
  </si>
  <si>
    <t>Набор для игры в бадминтон</t>
  </si>
  <si>
    <t>522-101-1023-0001</t>
  </si>
  <si>
    <t>Ракетки для бадминтона Keka</t>
  </si>
  <si>
    <t>522-101-1023-0002</t>
  </si>
  <si>
    <t>Воланы для бадминтона</t>
  </si>
  <si>
    <t>522-101-1023-0003</t>
  </si>
  <si>
    <t>Ракетка для бадминтона PE 4250. Изготовлена  из углеродистой стали</t>
  </si>
  <si>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</si>
  <si>
    <t>522-101-1023-0004</t>
  </si>
  <si>
    <t>Воланчик для бадминтона P-4406 (в упаковке 3 шт). Изготовлен из нейлона</t>
  </si>
  <si>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</si>
  <si>
    <t>522-101-1023-0005</t>
  </si>
  <si>
    <t>Воланчик для бадминтона TBV-300. Изготовлен из нейлона</t>
  </si>
  <si>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</si>
  <si>
    <t>522-101-1023-0006</t>
  </si>
  <si>
    <t>Набор для игры "Асык ату"</t>
  </si>
  <si>
    <t>Набор для игры "Асык ату". В наборе 12шт. Чехол из экокожи. Материал изготовления: пластик</t>
  </si>
  <si>
    <t>522-101-1023-0007</t>
  </si>
  <si>
    <t>Набор для игры "Бес тас"</t>
  </si>
  <si>
    <t>Набор для игры "Бес тас". В наборе 5 шт. камней. Чехол из кожзама.
Материал изготовления: эпоксидное соединение</t>
  </si>
  <si>
    <t>522-101-1024</t>
  </si>
  <si>
    <t>Набор для игры в настольный теннис</t>
  </si>
  <si>
    <t>522-101-1024-0001</t>
  </si>
  <si>
    <t>Ракетка для настольного тенниса Level 100</t>
  </si>
  <si>
    <t>522-101-1024-0002</t>
  </si>
  <si>
    <t>Ракетка набор для настольного StartLineLevel 100</t>
  </si>
  <si>
    <t>522-101-1024-0003</t>
  </si>
  <si>
    <t>Ракетка набор для настольного StartLineLevel 200</t>
  </si>
  <si>
    <t>522-101-1024-0004</t>
  </si>
  <si>
    <t>Ракетка для настольного тенниса Stiga COSMO</t>
  </si>
  <si>
    <t>522-101-1024-0005</t>
  </si>
  <si>
    <t>Ракетка для настольного тенниса Stiga TRINITY</t>
  </si>
  <si>
    <t>522-101-1024-0006</t>
  </si>
  <si>
    <t>Ракетка для настольного тенниса Stiga Premier NCT</t>
  </si>
  <si>
    <t>522-101-1024-0007</t>
  </si>
  <si>
    <t>Шарики для настольного тенниса</t>
  </si>
  <si>
    <t>522-101-1024-0008</t>
  </si>
  <si>
    <t>Шарики для настольного тенниса CLUB SELECT 1*, 6 мячей в упаковке, белые</t>
  </si>
  <si>
    <t>522-101-1024-0009</t>
  </si>
  <si>
    <t>Шарики для настольного тенниса STANDART 2*, 6 мячей в упаковке, белые</t>
  </si>
  <si>
    <t>522-101-1024-0010</t>
  </si>
  <si>
    <t>Шарики для настольного тенниса TRAINING 3*, 6 мячей в упаковке, белые</t>
  </si>
  <si>
    <t>522-101-1024-0011</t>
  </si>
  <si>
    <t>Ракетки для настольного тенниса P-4225 (в комплекте 2 ракетки и 3 шарика).
Изготовлена из специального шпона дерева</t>
  </si>
  <si>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</si>
  <si>
    <t>522-101-1024-0012</t>
  </si>
  <si>
    <t>Шарик для настольного тенниса DF-1S. Изготовлен из пластика</t>
  </si>
  <si>
    <t>Шарик для настольного тенниса DF-1S.  Диаметр 40 мм,  в упаковке 6 шт. Цвет основной: Белый. Материал: Пластик. Материал: Пластик, цвет белый, в упаковке 6 шт.</t>
  </si>
  <si>
    <t>522-101-1024-0013</t>
  </si>
  <si>
    <t>Шарик для настольного тенниса DF-2S
.Изготовлен из пластика</t>
  </si>
  <si>
    <t>Шарик для настольного тенниса DF-2S .Диаметр 40 мм,  в упаковке 3 шт.
Цвет основной: Белый. Изготовлен из пластика. , в упаковке 3 шт., в упаковке 3 шт.</t>
  </si>
  <si>
    <t>522-101-1024-0014</t>
  </si>
  <si>
    <t>Шарик для настольного тенниса XSX, диаметр 40мм. Изготовлен из пластика</t>
  </si>
  <si>
    <t>Шарик для настольного тенниса XSX, диаметр 40мм.  Изготовлен из пластика.</t>
  </si>
  <si>
    <t>522-101-1024-0015</t>
  </si>
  <si>
    <t>Ракетка для настольного тенниса Double fish 5А</t>
  </si>
  <si>
    <t>Ракетка для настольного тенниса Double fish 5А. Ракетка предназначенная для продвинутых игроков в настольный теннис. Подходит для быстрых, коротких игр.</t>
  </si>
  <si>
    <t>522-101-1024-0016</t>
  </si>
  <si>
    <t>Сачок для мячей. Алюминиевая телескопическая ручка, нейлоновая сетка, пластиковые крепления</t>
  </si>
  <si>
    <t>Сачок для мячей DHS. Легко разбирается и собирается  Телескопическая ручка 61-106 см. Материал изготовления: Размер сеткосборника: 16 х 28 см.</t>
  </si>
  <si>
    <t>522-101-1024-0017</t>
  </si>
  <si>
    <t>Мяч для настольного тенниса, материал ABS-пластик. Размер: диаметр 40 мм</t>
  </si>
  <si>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</si>
  <si>
    <t>522-101-1024-0018</t>
  </si>
  <si>
    <t>Ракетка для настольного тенниса. Основание из специального шпона дерева, накладки из губчатого слоя</t>
  </si>
  <si>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</si>
  <si>
    <t>522-101-1025</t>
  </si>
  <si>
    <t>Стол для настольного тенниса</t>
  </si>
  <si>
    <t>522-101-1025-0001</t>
  </si>
  <si>
    <t>Стол теннисный в комплекте</t>
  </si>
  <si>
    <t>Складная конструкция, транспортировочные ролики, сетка в комплекте.
Материал столешницы ДСП.</t>
  </si>
  <si>
    <t>522-101-1025-0002</t>
  </si>
  <si>
    <t>Теннисный стол уличный</t>
  </si>
  <si>
    <t>522-101-1025-0003</t>
  </si>
  <si>
    <t>Стол настольного тенниса FY-166
.Изготовлен из ЛДСП 16 мм с меламиновым покрытием. Размеры: длина 274 см, ширина 152,5 см, высота 76 см</t>
  </si>
  <si>
    <t>Стол настольного тенниса FY-166. Размеры: длина 274 см, ширина 152,5 см, высота 76 см. Игровое поле: ЛДСП 16 мм с меламиновым покрытием.
Кант: кромка ПВХ 0,45 мм.</t>
  </si>
  <si>
    <t>522-101-1025-0004</t>
  </si>
  <si>
    <t>Стол настольного тенниса уличный TT-2375. Изготовлен из металла. Размер: 250х125 см, высота 76 см: лист цельный</t>
  </si>
  <si>
    <t>Стол настольного тенниса уличный TT-2375. . Игровое поле: металл. Рама, ножки: профиль металлический 40х40 мм, 40х20 мм. Размер: 250х125 см, высота 76 см: лист цельный.</t>
  </si>
  <si>
    <t>522-101-1025-0005</t>
  </si>
  <si>
    <t>Стол теннисный в комплекте с сеткой Startline-Leader.Изготовлен из ЛДСП 16мм. Размеры (ДхШхВ) 274х152,5х76см</t>
  </si>
  <si>
    <t>Теннисный стол в комплекте с сеткой Startline-Leader.Изготовлен из ЛДСП 16мм. Размеры (ДхШхВ) 274х152,5х76см</t>
  </si>
  <si>
    <t>522-101-1025-0006</t>
  </si>
  <si>
    <t>Робот для настольного тенниса, размеры 820х400х400мм. Корпус из ударопрочного пластика, механизм подачи из металла + высокопрочного пластика</t>
  </si>
  <si>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</si>
  <si>
    <t>522-101-1025-0007</t>
  </si>
  <si>
    <t>Стол настольного тенниса, размеры 1640х1500х260мм. Складной механизм, колеса с тормозами, материал изготогвления: МДФ, металлическая труба</t>
  </si>
  <si>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</si>
  <si>
    <t>522-101-1026</t>
  </si>
  <si>
    <t>Дуга для подлезания</t>
  </si>
  <si>
    <t>522-101-1026-0001</t>
  </si>
  <si>
    <t>Дуга для подлезания размерами 400х800 мм RAD-040</t>
  </si>
  <si>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</si>
  <si>
    <t>522-101-1026-0002</t>
  </si>
  <si>
    <t>Дуга для подлезания размерами 500х900 мм RAD-050</t>
  </si>
  <si>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</si>
  <si>
    <t>522-101-1026-0003</t>
  </si>
  <si>
    <t>Дуга для подлезания размерами 600х1000 мм RAD-060</t>
  </si>
  <si>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</si>
  <si>
    <t>522-101-1027</t>
  </si>
  <si>
    <t>Обруч</t>
  </si>
  <si>
    <t>522-101-1027-0001</t>
  </si>
  <si>
    <t>Обруч алюминевый</t>
  </si>
  <si>
    <t>522-101-1027-0002</t>
  </si>
  <si>
    <t>Обруч пластмассовый D40</t>
  </si>
  <si>
    <t>522-101-1027-0003</t>
  </si>
  <si>
    <t>Обруч пластмассовый D50</t>
  </si>
  <si>
    <t>522-101-1027-0004</t>
  </si>
  <si>
    <t>Обруч пластмассовый D60</t>
  </si>
  <si>
    <t>522-101-1027-0005</t>
  </si>
  <si>
    <t>Обруч пластмассовый D70</t>
  </si>
  <si>
    <t>522-101-1027-0006</t>
  </si>
  <si>
    <t>Обруч пластмассовый D80</t>
  </si>
  <si>
    <t>522-101-1027-0007</t>
  </si>
  <si>
    <t>Обруч гимнастический пластиковый TF-100 100 см. Изготовлен из пластмассы. Размер: диаметр 100 см Толщина 1,8 см</t>
  </si>
  <si>
    <t>522-101-1027-0008</t>
  </si>
  <si>
    <t>Обруч гимнастический TF-80, 80 см. Изготовлен из пластмассы. Размер: диаметр 80 см Толщина 1,8 см</t>
  </si>
  <si>
    <t>Обруч гимнастический TF-80, 80 см. Изготовлен из пластмассы. Размер: диаметр 80 см Толщина 1,8 см.</t>
  </si>
  <si>
    <t>522-101-1027-0009</t>
  </si>
  <si>
    <t>Обруч гимнастический пластиковый TF-60, 60 см. Изготовлен из пластмассы. Размер: диаметр 60 см Толщина 1,8 см</t>
  </si>
  <si>
    <t>Обручгимнастический пластиковый TF-60, 60 см. Изготовлен из пластмассы. Размер: диаметр 60 см Толщина 1,8 см.</t>
  </si>
  <si>
    <t>522-101-1027-0010</t>
  </si>
  <si>
    <t>Обруч металический TFM-80 80 см. Изготовлен из легкого металла и покрыт краской. Диаметр 80 см</t>
  </si>
  <si>
    <t>Обруч металический TFM-80 80 см.  Изготовлен из легкого металла и покрыт краской. Диаметр 80 см.</t>
  </si>
  <si>
    <t>522-101-1027-0011</t>
  </si>
  <si>
    <t>Обруч металический TFM-100 100 см. Изготовлен из легкого металла и покрыт краской. Диаметр 100 см</t>
  </si>
  <si>
    <t>Обруч металический TFM-100 100 см. Изготовлен из легкого металла и покрыт краской. Диаметр 100 см .</t>
  </si>
  <si>
    <t>522-101-1028</t>
  </si>
  <si>
    <t>Динамометр ручной</t>
  </si>
  <si>
    <t>522-101-1028-0001</t>
  </si>
  <si>
    <t>Динамометр медицинский электронный
ручной ДМЭР-120-0,5-И-Д</t>
  </si>
  <si>
    <t>522-101-1028-0002</t>
  </si>
  <si>
    <t>Динамометр медицинский электронный
ручной ДМЭР-120-0,5-Д</t>
  </si>
  <si>
    <t>522-101-1028-0003</t>
  </si>
  <si>
    <t>Динамометр медицинский электронный
ручной ДМЭР-120-0,5</t>
  </si>
  <si>
    <t>522-101-1028-0004</t>
  </si>
  <si>
    <t>Динамометр медицинский электронный
ручной ДМЭР-30-0,5</t>
  </si>
  <si>
    <t>522-101-1028-0005</t>
  </si>
  <si>
    <t>Динамометр кистевой TCD-7002</t>
  </si>
  <si>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</si>
  <si>
    <t>522-101-1029</t>
  </si>
  <si>
    <t>Электромегафон</t>
  </si>
  <si>
    <t>522-101-1029-0001</t>
  </si>
  <si>
    <t>Электромегафон с регулируемой громкостью</t>
  </si>
  <si>
    <t>522-101-1030</t>
  </si>
  <si>
    <t>Табло простое пластиковое</t>
  </si>
  <si>
    <t>522-101-1030-0001</t>
  </si>
  <si>
    <t>Табло пластиковое перекидное</t>
  </si>
  <si>
    <t>Табло перекидное на металлической подставке с пластиковыми номерами.</t>
  </si>
  <si>
    <t>522-101-1030-0002</t>
  </si>
  <si>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</si>
  <si>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t>Судейский счётчик для проведения соревнований по настольному теннису на высоком уровне. Одобрен ITTF.</t>
  </si>
  <si>
    <t>522-101-1031</t>
  </si>
  <si>
    <t>Табло электронное</t>
  </si>
  <si>
    <t>522-101-1031-0001</t>
  </si>
  <si>
    <t>Табло электронное универсальное</t>
  </si>
  <si>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</si>
  <si>
    <t>522-101-1033</t>
  </si>
  <si>
    <t>Рулетка измерительная</t>
  </si>
  <si>
    <t>522-101-1033-0001</t>
  </si>
  <si>
    <t>Рулетка измерительная 50 м</t>
  </si>
  <si>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</si>
  <si>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522-101-1033-0002</t>
  </si>
  <si>
    <t>Рулетка измерительная 30 метров</t>
  </si>
  <si>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</si>
  <si>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522-101-1033-0003</t>
  </si>
  <si>
    <t>Рулетка измерительная 2 м</t>
  </si>
  <si>
    <t>Длина 2 метра, ширина 13см, материал корпуса пластик, материал ленты металл</t>
  </si>
  <si>
    <t>522-101-1034</t>
  </si>
  <si>
    <t>Стеллаж для хранения спортивного инвентаря</t>
  </si>
  <si>
    <t>522-101-1034-0001</t>
  </si>
  <si>
    <t>Стеллаж для спортивного инвентаря, размеры не менее 1800х1000х400мм</t>
  </si>
  <si>
    <t>Каркас изготовлен из металлического профиля 25х25мм, полки изготовлены из фанеры толщиной 10мм. Нагрузка на полку не более 50кг. 6 полок</t>
  </si>
  <si>
    <t>522-101-1035</t>
  </si>
  <si>
    <t>Стеллаж для хранения мячей</t>
  </si>
  <si>
    <t>522-101-1035-0001</t>
  </si>
  <si>
    <t>Стеллаж для мячей, размеры не менее
2000х1250х450мм</t>
  </si>
  <si>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</si>
  <si>
    <t>522-101-1035-0002</t>
  </si>
  <si>
    <t>Подставка под мячи/полотенца</t>
  </si>
  <si>
    <t>Материал изготовления: плотный многослойный картон с ламинированным износостойким покрытием. Размеры: 780х350х20мм. Цвет: синий.</t>
  </si>
  <si>
    <t>522-101-1036</t>
  </si>
  <si>
    <t>Корзина для мячей</t>
  </si>
  <si>
    <t>522-101-1036-0001</t>
  </si>
  <si>
    <t>Корзина для мячей переносная. Размеры: не менее 900х800х600мм</t>
  </si>
  <si>
    <t>Корзина для мячей металлическая сетчатая. Размеры: не менее 900х800х600мм</t>
  </si>
  <si>
    <t>522-101-1036-0002</t>
  </si>
  <si>
    <t>Корзина для мячей складная TBF-2048. Алюминиевый каркас на обрезиненных колесиках. Легко раскладывается и перемещается</t>
  </si>
  <si>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</si>
  <si>
    <t>522-101-1037</t>
  </si>
  <si>
    <t>Насос для накачивания мячей</t>
  </si>
  <si>
    <t>522-101-1037-0001</t>
  </si>
  <si>
    <t>Насос малый</t>
  </si>
  <si>
    <t>522-101-1037-0002</t>
  </si>
  <si>
    <t>Насос большой</t>
  </si>
  <si>
    <t>522-101-1037-0003</t>
  </si>
  <si>
    <t>Насос для накачивания мячей типа TPU-4507</t>
  </si>
  <si>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</si>
  <si>
    <t>522-101-1038</t>
  </si>
  <si>
    <t>Козел гимнастический</t>
  </si>
  <si>
    <t>522-101-1038-0001</t>
  </si>
  <si>
    <t>Козел гимнастический детский</t>
  </si>
  <si>
    <t>522-101-1038-0002</t>
  </si>
  <si>
    <t>522-101-1038-0003</t>
  </si>
  <si>
    <t>Козел гимнастический, высота регулируемая</t>
  </si>
  <si>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</si>
  <si>
    <t>522-101-1039</t>
  </si>
  <si>
    <t>Мостик гимнастический</t>
  </si>
  <si>
    <t>522-101-1039-0001</t>
  </si>
  <si>
    <t>Мостик гимнастический пружинный с гнутой платформой</t>
  </si>
  <si>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</si>
  <si>
    <t>522-101-1039-0002</t>
  </si>
  <si>
    <t>Мостик гимнастический приставной</t>
  </si>
  <si>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</si>
  <si>
    <t>522-101-1039-0003</t>
  </si>
  <si>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</si>
  <si>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</si>
  <si>
    <t>522-101-1039-0004</t>
  </si>
  <si>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</si>
  <si>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</si>
  <si>
    <t>522-101-1040</t>
  </si>
  <si>
    <t>Планка для прыжков в высоту</t>
  </si>
  <si>
    <t>522-101-1040-0001</t>
  </si>
  <si>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</si>
  <si>
    <t>522-101-1041</t>
  </si>
  <si>
    <t>Стойка для прыжков в высоту</t>
  </si>
  <si>
    <t>522-101-1041-0001</t>
  </si>
  <si>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</si>
  <si>
    <t>522-101-1041-0002</t>
  </si>
  <si>
    <t>Стойка для прыжков в высоту, деревянная конструкция</t>
  </si>
  <si>
    <t>Стойка для прыжков в высоту детская. Деревянная конструкция. Диаметр опорных площадок стоек - 240мм, высота стойки 800мм.</t>
  </si>
  <si>
    <t>522-101-1043</t>
  </si>
  <si>
    <t>Коньки</t>
  </si>
  <si>
    <t>522-101-1043-0001</t>
  </si>
  <si>
    <t>Раздвижные ледовые коньки Banwei 31-34(S)</t>
  </si>
  <si>
    <t>522-101-1043-0002</t>
  </si>
  <si>
    <t>Коньки фигурные RAS-200</t>
  </si>
  <si>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</si>
  <si>
    <t>522-101-1044</t>
  </si>
  <si>
    <t>Ворота для мини футбола</t>
  </si>
  <si>
    <t>522-101-1044-0001</t>
  </si>
  <si>
    <t>Ворота для минифутбола (2х3м)</t>
  </si>
  <si>
    <t>522-101-1044-0002</t>
  </si>
  <si>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</si>
  <si>
    <t>522-101-1045</t>
  </si>
  <si>
    <t>Мяч гандбольный</t>
  </si>
  <si>
    <t>522-101-1045-0001</t>
  </si>
  <si>
    <t>Мяч гандбольный TF-9525</t>
  </si>
  <si>
    <t>Количество панелей - 32. Способ соединения панелей - Ручная сшивка.
Материал покрышки - синтетическая кожа.</t>
  </si>
  <si>
    <t>522-101-1046</t>
  </si>
  <si>
    <t>Сетка волейбольная</t>
  </si>
  <si>
    <t>522-101-1046-0001</t>
  </si>
  <si>
    <t>Сетка волейбольная, нить D=2 мм, стальной трос D=3 мм</t>
  </si>
  <si>
    <t>522-101-1046-0002</t>
  </si>
  <si>
    <t>Сетка волейбольная, нить D=2,5 мм, стальной трос D=3 мм</t>
  </si>
  <si>
    <t>522-101-1046-0003</t>
  </si>
  <si>
    <t>Сетка волейбольная, размер не менее 9500х1000мм</t>
  </si>
  <si>
    <t>Толщина нити Д 2,6 мм (обшитая с 4-х сторон), парашютная стропа 50 мм.
Изготовлена из полимерных волокон из полипропилена</t>
  </si>
  <si>
    <t>522-101-1046-0004</t>
  </si>
  <si>
    <t>Трос для волейбольной сетки, сталь, длина 15 м</t>
  </si>
  <si>
    <t>Трос для волейбольной сетки. Материал: сталь, длина 15 м. Диаметр троса - 4 мм</t>
  </si>
  <si>
    <t>522-101-1046-0005</t>
  </si>
  <si>
    <t>Сетка волейбольная профессиональная, размер 9500х1000мм, толщина нити 3мм</t>
  </si>
  <si>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</si>
  <si>
    <t>522-101-1047</t>
  </si>
  <si>
    <t>Сетка для футбольных ворот</t>
  </si>
  <si>
    <t>522-101-1047-0001</t>
  </si>
  <si>
    <t>Сетка для футбольных ворот, нить D=3 мм (5х2 м)</t>
  </si>
  <si>
    <t>522-101-1047-0002</t>
  </si>
  <si>
    <t>Сетка для мини-футбольных ворот</t>
  </si>
  <si>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</si>
  <si>
    <t>522-101-1048</t>
  </si>
  <si>
    <t>Фишка разметочная</t>
  </si>
  <si>
    <t>522-101-1048-0001</t>
  </si>
  <si>
    <t>Фишки футбольные</t>
  </si>
  <si>
    <t>522-101-1048-0002</t>
  </si>
  <si>
    <t>Фишка разметочная TMC-2179</t>
  </si>
  <si>
    <t>Фишка разметочная TMC-2179. фишка d=20см, h=5см</t>
  </si>
  <si>
    <t>522-101-1048-0003</t>
  </si>
  <si>
    <t>Кольца для координации. Диаметр круга 50 см; в комплекте 12 шт 3 цвета. Материал изготовления: ударопрочный пластик</t>
  </si>
  <si>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</si>
  <si>
    <t>522-101-1048-0004</t>
  </si>
  <si>
    <t>Футбольный манекен. Материал изготовления: металлический каркас, фигура игрока изготовлена из ударопрочного пластика</t>
  </si>
  <si>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</si>
  <si>
    <t>522-101-1048-0005</t>
  </si>
  <si>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</si>
  <si>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</si>
  <si>
    <t>522-101-1048-0006</t>
  </si>
  <si>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</si>
  <si>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</si>
  <si>
    <t>522-101-1048-0007</t>
  </si>
  <si>
    <t>Барьер для футбола 3 шт. в комплекте. Материал изготовления: ударопрочный пластик. Размеры 0,4х0,35х0,2 м</t>
  </si>
  <si>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</si>
  <si>
    <t>522-101-1048-0008</t>
  </si>
  <si>
    <t>Резинки для фитнеса 5 шт. в комплекте. Материал изготовления: натуральный латекс. Размеры: 0,2х0,03х0,05 м</t>
  </si>
  <si>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</si>
  <si>
    <t>522-101-1049</t>
  </si>
  <si>
    <t>Тогыз-кумалак</t>
  </si>
  <si>
    <t>522-101-1049-0001</t>
  </si>
  <si>
    <t>Игра настольная "Тогыз кумалак"</t>
  </si>
  <si>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</si>
  <si>
    <t>522-101-1050</t>
  </si>
  <si>
    <t>Ворота футбольные</t>
  </si>
  <si>
    <t>522-101-1050-0001</t>
  </si>
  <si>
    <t>Ворота для футбола стационарные (7,32х2,44 м)</t>
  </si>
  <si>
    <t>522-101-1050-0002</t>
  </si>
  <si>
    <t>Ворота для футбола/гандбола (5х2м)</t>
  </si>
  <si>
    <t>522-101-1050-0003</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</si>
  <si>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</si>
  <si>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</si>
  <si>
    <t>522-101-1050-0004</t>
  </si>
  <si>
    <t>Ворота футбольные размерами 5000 х 2000 мм RA-520</t>
  </si>
  <si>
    <t>Ворота футбольные RA-520 . Размер 5х2м   Диаметр штанг и перекладины 89мм, задние дуги 42мм. Высота 2000мм, длина 5000мм, глубина -2000 мм.</t>
  </si>
  <si>
    <t>522-101-1050-0005</t>
  </si>
  <si>
    <t>Ворота футбольные размерами 7320 х 2440 мм RA-732</t>
  </si>
  <si>
    <t>Ворота футбольные RA-732. Размер 7,32х2,44м. Изготовлены из стальной круглой трубы диаметром 89мм. Консоль из трубы диам 42мм.  Окраска: нитроэмаль.</t>
  </si>
  <si>
    <t>522-101-1050-0006</t>
  </si>
  <si>
    <t>Ворота гандбольные стационарные алюминиевые 3000х2000мм</t>
  </si>
  <si>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</si>
  <si>
    <t>522-101-1052</t>
  </si>
  <si>
    <t>Стойка баскетбольная</t>
  </si>
  <si>
    <t>522-101-1052-0001</t>
  </si>
  <si>
    <t>Стойка баскетбольная профессиональная передвижная складная с защитой</t>
  </si>
  <si>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</si>
  <si>
    <t>522-101-1052-0002</t>
  </si>
  <si>
    <t>Стойка баскетбольная мобильная складная TB-2016</t>
  </si>
  <si>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</si>
  <si>
    <t>522-101-1052-0003</t>
  </si>
  <si>
    <t>Стойка баскетбольная мобильная</t>
  </si>
  <si>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</si>
  <si>
    <t>522-101-1052-0004</t>
  </si>
  <si>
    <t>Стойка баскетбольная мобильная складная с выносом щита 1,65м типа RAB-165</t>
  </si>
  <si>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</si>
  <si>
    <t>522-101-1052-0005</t>
  </si>
  <si>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</si>
  <si>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</si>
  <si>
    <t>522-101-1052-0006</t>
  </si>
  <si>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</si>
  <si>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</si>
  <si>
    <t>522-101-1053</t>
  </si>
  <si>
    <t>Стойка волейбольная</t>
  </si>
  <si>
    <t>522-101-1053-0001</t>
  </si>
  <si>
    <t>Стойка волейбольная универсальная</t>
  </si>
  <si>
    <t>522-101-1053-0002</t>
  </si>
  <si>
    <t>Стойки волейбольные напольно пристенные</t>
  </si>
  <si>
    <t>522-101-1053-0003</t>
  </si>
  <si>
    <t>Стойки волейбольные на растяжках</t>
  </si>
  <si>
    <t>522-101-1053-0004</t>
  </si>
  <si>
    <t>Стойки волейбольные телескопические</t>
  </si>
  <si>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</si>
  <si>
    <t>522-101-1053-0005</t>
  </si>
  <si>
    <t>Стойка волейбольная профессиональная TEP-2086</t>
  </si>
  <si>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</si>
  <si>
    <t>522-101-1053-0006</t>
  </si>
  <si>
    <t>Стойка волейбольная зальная со стаканами с механизмом натяжения троса (профиль круглый), регулировка от 2240мм до 2430мм</t>
  </si>
  <si>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</si>
  <si>
    <t>522-101-1053-0009</t>
  </si>
  <si>
    <t>Тренажер для отработки блока. Материал изготовления: металлический каркас покрытый порошковой краской, пластиковые планки. Размеры: 3000х100х100 мм</t>
  </si>
  <si>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</si>
  <si>
    <t>522-101-1053-0010</t>
  </si>
  <si>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</si>
  <si>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</si>
  <si>
    <t>522-101-1053-0011</t>
  </si>
  <si>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</si>
  <si>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</si>
  <si>
    <t>522-101-1053-0012</t>
  </si>
  <si>
    <t>Тренажер для отскока мяча. Материал изготовления: металлический каркас покрытый порошковой краской для защиты от коррозии, сетка из нейлона</t>
  </si>
  <si>
    <t>Размеры экрана тренажера — 1200х1200 мм. Угол наклона по отношению к поверхности — 25-110º. Силиконовые вставки для сохранения поверхности пола.</t>
  </si>
  <si>
    <t>522-101-1053-0013</t>
  </si>
  <si>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</si>
  <si>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t>Диаметр кольца — 60 см; Регулировка угла наклона кольца; Высота тренажера 150-240 см; Утяжеленное основание.</t>
  </si>
  <si>
    <t>522-101-1053-0014</t>
  </si>
  <si>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</si>
  <si>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</si>
  <si>
    <t>522-101-1054</t>
  </si>
  <si>
    <t>Брусья</t>
  </si>
  <si>
    <t>522-101-1054-0001</t>
  </si>
  <si>
    <t>Брусья параллельные мужские</t>
  </si>
  <si>
    <t>Материал жерди дерево с металлическим стержнем. Жерди в них расположены параллельно друг другу.</t>
  </si>
  <si>
    <t>522-101-1054-0002</t>
  </si>
  <si>
    <t>Брусья гимнастические мужские</t>
  </si>
  <si>
    <t>522-101-1054-0003</t>
  </si>
  <si>
    <t>Брусья разновысокие женские</t>
  </si>
  <si>
    <t>Жерди (перекладины) - клееная древесина со стальным сердечником, стойки - металл.</t>
  </si>
  <si>
    <t>522-101-1054-0004</t>
  </si>
  <si>
    <t>Брусья мужские массовые, размер не менее 3500х1500х1200 мм</t>
  </si>
  <si>
    <t>Регулирование расстояния между брусьями — 350 - 650 мм. Габаритные размеры — 3500х1500х1200 мм. Масса — до 90 кг. Допустимая нагрузка — до 150 кг</t>
  </si>
  <si>
    <t>522-101-1054-0005</t>
  </si>
  <si>
    <t>Брусья гимнастические женские, разновысокие</t>
  </si>
  <si>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</si>
  <si>
    <t>522-101-1055</t>
  </si>
  <si>
    <t>Судейская вышка</t>
  </si>
  <si>
    <t>522-101-1055-0001</t>
  </si>
  <si>
    <t>Вышка судейская</t>
  </si>
  <si>
    <t>522-101-1055-0002</t>
  </si>
  <si>
    <t>Вышка судейская универсальная, положение
стоя</t>
  </si>
  <si>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</si>
  <si>
    <t>522-101-1055-0003</t>
  </si>
  <si>
    <t>Вышка судейская универсальная MK-0036. Габаритные размеры вышки: высота 2000мм, основание 1000х1100мм</t>
  </si>
  <si>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</si>
  <si>
    <t>522-101-1055-0004</t>
  </si>
  <si>
    <t>Вышка волейбольная професиональная
приставная к волейбольным стойкам</t>
  </si>
  <si>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</si>
  <si>
    <t>522-101-1055-0005</t>
  </si>
  <si>
    <t>Стол судейский, размеры: 850х110х800 мм. Материал изготовления: металлический каркас, фанера</t>
  </si>
  <si>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</si>
  <si>
    <t>522-101-1055-0006</t>
  </si>
  <si>
    <t>Стол судейский, размеры: 1200х550х700 мм. Материал изготовления: металлический каркас, березовая фанера, толщиной не менее 18 мм</t>
  </si>
  <si>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</si>
  <si>
    <t>522-101-1058</t>
  </si>
  <si>
    <t>Легкоатлетическая дорожка</t>
  </si>
  <si>
    <t>522-101-1058-0001</t>
  </si>
  <si>
    <t>Дорожка для разбега, длина не менее 5000мм, изготовлена из резины</t>
  </si>
  <si>
    <t>Дорожка для разбега, 5000мм. Изготовлена из резины. Цвет черный. Длина дорожки 5000 мм. Ширина дорожки 1200 мм. Толщина резины 3 мм.</t>
  </si>
  <si>
    <t>522-101-1058-0002</t>
  </si>
  <si>
    <t>Ядро для толкания, 1 кг, материал изготовления: чугун</t>
  </si>
  <si>
    <t>522-101-1058-0003</t>
  </si>
  <si>
    <t>Ядро для толкания, 2 кг, материал изготовления: чугун</t>
  </si>
  <si>
    <t>522-101-1058-0004</t>
  </si>
  <si>
    <t>Ядро для толкания, 3 кг, материал изготовления: чугун</t>
  </si>
  <si>
    <t>522-101-1058-0005</t>
  </si>
  <si>
    <t>Ядро для толкания, 4 кг, материал изготовления: чугун</t>
  </si>
  <si>
    <t>522-101-1058-0006</t>
  </si>
  <si>
    <t>Ядро для толкания, 5 кг, материал изготовления: чугун</t>
  </si>
  <si>
    <t>522-101-1058-0007</t>
  </si>
  <si>
    <t>Ядро для толкания, 6 кг, материал изготовления: чугун</t>
  </si>
  <si>
    <t>522-101-1058-0008</t>
  </si>
  <si>
    <t>Ядро для толкания, 7,26 кг, материал изготовления: чугун</t>
  </si>
  <si>
    <t>522-101-1059</t>
  </si>
  <si>
    <t>Секундомер</t>
  </si>
  <si>
    <t>522-101-1059-0001</t>
  </si>
  <si>
    <t>Секундомер цифровой TSE-930</t>
  </si>
  <si>
    <t>Секундомер TSE-930. Материал корпуса - пластик. Материал стекла - стеклополимер. Особенности - таймер. Циферблат - цифровой. Размер упаковки - 15,5 см × 9 см × 2,5 см</t>
  </si>
  <si>
    <t>522-101-1059-0002</t>
  </si>
  <si>
    <t>Секундомер цифровой. Отображает часы, минуты, секунды, AM/PM индикатор, месяц и день недели. Материал: ABS пластик.
Точность: 0.01сек</t>
  </si>
  <si>
    <t>522-101-1059-0004</t>
  </si>
  <si>
    <t>Секундомер детский. Корпус изготовлен из прочного безопасного пластика, устойчивого к ударам и падениям</t>
  </si>
  <si>
    <t>Секундомер детский, лёгкий и удобный в использовании. Размеры 0,1х0,1х0,03 м</t>
  </si>
  <si>
    <t>522-101-1060</t>
  </si>
  <si>
    <t>Палочка эстафетная</t>
  </si>
  <si>
    <t>522-101-1061</t>
  </si>
  <si>
    <t>Бревно гимнастическое</t>
  </si>
  <si>
    <t>522-101-1061-0001</t>
  </si>
  <si>
    <t>Бревно гимнастическое напольное 3м</t>
  </si>
  <si>
    <t>Бревно напольное, длина 3000мм</t>
  </si>
  <si>
    <t>522-101-1061-0002</t>
  </si>
  <si>
    <t>Бревно гимнастическое напольное 5м</t>
  </si>
  <si>
    <t>522-101-1061-0003</t>
  </si>
  <si>
    <t>Бревно гимнастическое 2 м круглое
RAG-2000 напольное</t>
  </si>
  <si>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</si>
  <si>
    <t>522-101-1061-0004</t>
  </si>
  <si>
    <t>Бревно гимнастическое тренировочное
напольное, длина не менее 3000мм</t>
  </si>
  <si>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</si>
  <si>
    <t>522-101-1061-0005</t>
  </si>
  <si>
    <t>Бревно гимнастическое тренировочное
напольное, длина не менее 5000мм</t>
  </si>
  <si>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</si>
  <si>
    <t>522-101-1061-0006</t>
  </si>
  <si>
    <t>Бревно гимнастическое МК-0073 на низкой
опоре, высота 800мм, L= 3000 м</t>
  </si>
  <si>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</si>
  <si>
    <t>522-101-1061-0007</t>
  </si>
  <si>
    <t>Бревно гимнастическое на высокой опоре
RAG-12300, высота 1200мм, L= 3000 м</t>
  </si>
  <si>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</si>
  <si>
    <t>522-101-1061-0008</t>
  </si>
  <si>
    <t>Бревно гимнастическое на низкой опоре,
RAG-80500, высота 800мм, L= 5000 м</t>
  </si>
  <si>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</si>
  <si>
    <t>522-101-1061-0009</t>
  </si>
  <si>
    <t>Бревно гимнастическое высокое</t>
  </si>
  <si>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</si>
  <si>
    <t>522-101-1061-0010</t>
  </si>
  <si>
    <t>Бревно гимнастическое тренировочное переменной высоты RAG-30812, L = 3 м H = 0,8 - 1,2м</t>
  </si>
  <si>
    <t>Бревно гимнастическое тренировочное переменной высоты RAG-30812, L = 3 м H = 0,8 - 1,2м. Изготовлен из клееного бруса.  Сварные опоры окрашены порошковой краской.</t>
  </si>
  <si>
    <t>522-101-1061-0011</t>
  </si>
  <si>
    <t>Бревно гимнастическое тренировочное,
длина не менее 5000мм</t>
  </si>
  <si>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</si>
  <si>
    <t>522-101-1062</t>
  </si>
  <si>
    <t>Крепление для каната</t>
  </si>
  <si>
    <t>522-101-1063</t>
  </si>
  <si>
    <t>Мат спортивный</t>
  </si>
  <si>
    <t>522-101-1063-0001</t>
  </si>
  <si>
    <t>Гимнастические маты 200см х 100см х 5см</t>
  </si>
  <si>
    <t>522-101-1063-0002</t>
  </si>
  <si>
    <t>Мат гимнастический с гигиеническим покрытием, размер не менее 1000х2000мм</t>
  </si>
  <si>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</si>
  <si>
    <t>522-101-1063-0003</t>
  </si>
  <si>
    <t>Мат гимнастический, размер не менее 2000х1000х100мм, материал кожзам</t>
  </si>
  <si>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</si>
  <si>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522-101-1063-0004</t>
  </si>
  <si>
    <t>Мат гимнастический RA-0121. Размеры 2х1х0,05м. Материал кожзам</t>
  </si>
  <si>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</si>
  <si>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522-101-1063-0005</t>
  </si>
  <si>
    <t>Мат гимнастический TF-21005. Размеры 2х1х0,05м. Материал брезент, наполнитель вспененный полиэтилен сшитого вида</t>
  </si>
  <si>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</si>
  <si>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522-101-1063-0006</t>
  </si>
  <si>
    <t>Мат гимнастический TF-2101. Размеры 2х1х0,1 м. Материал брезент, наполнитель вспененный полиэтилен сшитого вида</t>
  </si>
  <si>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</si>
  <si>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522-101-1063-0007</t>
  </si>
  <si>
    <t>Зона приземления, размер не менее 2000х2000х500мм</t>
  </si>
  <si>
    <t>Зона приземления состоит из 2 матов, размер не менее 2000х1000х500мм. Изготовлена из ПВХ 2000х2000мм. Материал наполнителя пенополиуретан</t>
  </si>
  <si>
    <t>522-101-1063-0008</t>
  </si>
  <si>
    <t>Ковер борцовский трехцветный 6000х6000мм, толщина 50мм, плотность 160 кг/м3</t>
  </si>
  <si>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</si>
  <si>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522-101-1063-0009</t>
  </si>
  <si>
    <t>Мат борцовский TF-2105, размер 2000мм х 1000мм</t>
  </si>
  <si>
    <t>Мат борцовский TF-2105, разм. 2000мм х 1000мм, толщина 50мм.
Наполнитель вспененный полиэтилен, плотностью 180 кг/м2, покрытие: тент/кожзам.</t>
  </si>
  <si>
    <t>522-101-1063-0010</t>
  </si>
  <si>
    <t>Татами для дзюдо, размер 1000х2000мм, плотность 220 кг/м3, толщина 40мм</t>
  </si>
  <si>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</si>
  <si>
    <t>522-101-1063-0011</t>
  </si>
  <si>
    <t>Доянг для каратэ и таэквондо TKDM0256, размер 1000мм х 1000мм</t>
  </si>
  <si>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</si>
  <si>
    <t>522-101-1063-0012</t>
  </si>
  <si>
    <t>Мат напольный 1000*1000*40мм</t>
  </si>
  <si>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</si>
  <si>
    <t>522-101-1063-0013</t>
  </si>
  <si>
    <t>Татами для дзюдо, размер 1000х2000мм, плотность 180 кг/м3, толщина 40мм</t>
  </si>
  <si>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</si>
  <si>
    <t>522-101-1063-0014</t>
  </si>
  <si>
    <t>Татами для дзюдо, размер 1000х2000мм, плотность 180 кг/м3, толщина 50мм</t>
  </si>
  <si>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</si>
  <si>
    <t>522-101-1063-0015</t>
  </si>
  <si>
    <t>Ковер борцовский трехцветный 12000х12000мм, толщина 50мм, плотность 160 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</si>
  <si>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</si>
  <si>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522-101-1063-0016</t>
  </si>
  <si>
    <t>Ковер борцовский трехцветный 12000х12000мм, толщина 50мм, плотность 140кг/м3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</si>
  <si>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</si>
  <si>
    <t>522-101-1063-0017</t>
  </si>
  <si>
    <t>Ковер для национальных игр не менее 3000х2000мм, толщина не менее 20мм</t>
  </si>
  <si>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</si>
  <si>
    <t>522-101-1063-0018</t>
  </si>
  <si>
    <t>Татами для дзюдо, размер 12000х12000мм</t>
  </si>
  <si>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</si>
  <si>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522-101-1063-0019</t>
  </si>
  <si>
    <t>Татами для дзюдо, размер 6000х6000мм</t>
  </si>
  <si>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</si>
  <si>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522-101-1063-0021</t>
  </si>
  <si>
    <t>Мат рулонный. Толщина 10 мм. Материал изготовления: вспененный EVA или полиэтилен, покрытый ПВХ</t>
  </si>
  <si>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</si>
  <si>
    <t>м2</t>
  </si>
  <si>
    <t>522-101-1063-0022</t>
  </si>
  <si>
    <t>Мат рулонный. Толщина 20 мм. Материал изготовления: вспененный EVA или полиэтилен, покрытый ПВХ</t>
  </si>
  <si>
    <t>522-101-1063-0023</t>
  </si>
  <si>
    <t>Мат рулонный. Толщина 30 мм. Материал изготовления: вспененный EVA или полиэтилен, покрытый ПВХ</t>
  </si>
  <si>
    <t>522-101-1063-0024</t>
  </si>
  <si>
    <t>Мат рулонный. Толщина 40 мм. Материал изготовления: вспененный EVA или полиэтилен, покрытый ПВХ</t>
  </si>
  <si>
    <t>522-101-1063-0025</t>
  </si>
  <si>
    <t>Мат рулонный. Толщина 50 мм. Материал изготовления: вспененный EVA или полиэтилен, покрытый ПВХ</t>
  </si>
  <si>
    <t>522-101-1064</t>
  </si>
  <si>
    <t>Гантели</t>
  </si>
  <si>
    <t>522-101-1064-0001</t>
  </si>
  <si>
    <t>Гантели 1,5кг</t>
  </si>
  <si>
    <t>522-101-1064-0002</t>
  </si>
  <si>
    <t>Гантели 2кг</t>
  </si>
  <si>
    <t>522-101-1064-0003</t>
  </si>
  <si>
    <t>Гантели 3кг</t>
  </si>
  <si>
    <t>522-101-1064-0004</t>
  </si>
  <si>
    <t>Гантель TFD-001 профессиональная
шестигранная обрезиненная, 1 кг</t>
  </si>
  <si>
    <t>Гантели TFD-001 профессиональные шестигранные  обрезиненные. Хромированные ручки с мягкой насечкой.   Цвет: Хром/черный, Состав: сталь, резина, вес 1 кг.</t>
  </si>
  <si>
    <t>522-101-1064-0005</t>
  </si>
  <si>
    <t>Гантель TFD-002 профессиональная
шестигранная обрезиненная, 2 кг</t>
  </si>
  <si>
    <t>Гантели TFD-002 профессиональные шестигранные обрезиненные. Хромированные ручки с мягкой насечкой.  Цвет: Хром/черный, Состав: сталь, резина, вес 2 кг.</t>
  </si>
  <si>
    <t>522-101-1064-0006</t>
  </si>
  <si>
    <t>Гантель TFD-003 профессиональная
шестигранная обрезиненная, 3 кг</t>
  </si>
  <si>
    <t>Гантели TFD-003 профессиональные шестигранные обрезиненные. Хромированные ручки с мягкой насечкой.  Цвет: Хром/черный, Состав: сталь, резина, вес 3 кг.</t>
  </si>
  <si>
    <t>522-101-1064-0007</t>
  </si>
  <si>
    <t>Гантель TFD-004 профессиональная
шестигранная обрезиненная, 4 кг</t>
  </si>
  <si>
    <t>Гантели TFD-004 профессиональные шестигранные обрезиненные. Хромированные ручки с мягкой насечкой.  Цвет: Хром/черный, Состав: сталь, резина, вес 4 кг.</t>
  </si>
  <si>
    <t>522-101-1064-0008</t>
  </si>
  <si>
    <t>ГантельTFD-005 профессиональная
шестигранная обрезиненная, 5 кг</t>
  </si>
  <si>
    <t>522-101-1064-0009</t>
  </si>
  <si>
    <t>Гантель TFD-006 профессиональная шестигранная обрезиненная, 6 кг</t>
  </si>
  <si>
    <t>Гантели TFD-006 профессиональные шестигранные обрезиненные. Хромированные ручки с мягкой насечкой.  Цвет: Хром/черный, Состав: сталь, резина, вес 6 кг.</t>
  </si>
  <si>
    <t>522-101-1064-0010</t>
  </si>
  <si>
    <t>Гантель TFD-007 профессиональная шестигранная обрезиненная, 7 кг</t>
  </si>
  <si>
    <t>Гантели TFD-007 профессиональные шестигранные обрезиненные. Хромированные ручки с мягкой насечкой.  Цвет: Хром/черный, Состав: сталь, резина, вес 7 кг.</t>
  </si>
  <si>
    <t>522-101-1064-0011</t>
  </si>
  <si>
    <t>Гантель TFD-008 профессиональная шестигранная обрезиненная, 8 кг</t>
  </si>
  <si>
    <t>Гантели TFD-008 профессиональные шестигранные обрезиненные. Хромированные ручки с мягкой насечкой.  Цвет: Хром/черный, Состав: сталь, резина, вес 8 кг.</t>
  </si>
  <si>
    <t>522-101-1064-0012</t>
  </si>
  <si>
    <t>Гантель TFD-009 профессиональная шестигранная обрезиненная, 9 кг</t>
  </si>
  <si>
    <t>Гантели TFD-009 профессиональные шестигранные обрезиненные. Хромированные ручки с мягкой насечкой.  Цвет: Хром/черный, Состав: сталь, резина, вес 9 кг.</t>
  </si>
  <si>
    <t>522-101-1064-0013</t>
  </si>
  <si>
    <t>Гантель TFD-010 профессиональная шестигранная обрезиненная, 10 кг</t>
  </si>
  <si>
    <t>Гантели TFD-010 профессиональные шестигранные обрезиненные. Хромированные ручки с мягкой насечкой.  Цвет: Хром/черный, Состав: сталь, резина, вес 10 кг.</t>
  </si>
  <si>
    <t>522-101-1064-0014</t>
  </si>
  <si>
    <t>Гантель TFD-125 профессиональная шестигранная обрезиненная, 12,5 кг</t>
  </si>
  <si>
    <t>Гантели TFD-125 профессиональные шестигранные обрезиненные. Хромированные ручки с мягкой насечкой.  Цвет: Хром/черный, Состав: сталь, резина, вес 12,5 кг.</t>
  </si>
  <si>
    <t>522-101-1064-0015</t>
  </si>
  <si>
    <t>Гантель TFD-015 профессиональная шестигранная обрезиненная, 15 кг</t>
  </si>
  <si>
    <t>Гантели TFD-015 профессиональные шестигранные обрезиненные. Хромированные ручки с мягкой насечкой.  Цвет: Хром/черный, Состав: сталь, резина, вес 15 кг.</t>
  </si>
  <si>
    <t>522-101-1064-0016</t>
  </si>
  <si>
    <t>Гантель TFD-175 профессиональная шестигранная обрезиненная, 17,5 кг</t>
  </si>
  <si>
    <t>Гантели TFD-175 профессиональные шестигранные обрезиненные. Хромированные ручки с мягкой насечкой.  Цвет: Хром/черный, Состав: сталь, резина, вес 17,5 кг.</t>
  </si>
  <si>
    <t>522-101-1064-0017</t>
  </si>
  <si>
    <t>Гантель TFD-020 профессиональная шестигранная обрезиненная, 20 кг</t>
  </si>
  <si>
    <t>Гантели TFD-020 профессиональные шестигранные обрезиненные. Хромированные ручки с мягкой насечкой.  Цвет: Хром/черный, Состав: сталь, резина, вес 20 кг.</t>
  </si>
  <si>
    <t>522-101-1064-0018</t>
  </si>
  <si>
    <t>Гантель TFD-025 профессиональная шестигранная обрезиненная, 25 кг</t>
  </si>
  <si>
    <t>Гантели TFD-025 профессиональные шестигранные обрезиненные. Хромированные ручки с мягкой насечкой.  Цвет: Хром/черный, Состав: сталь, резина, вес 25 кг.</t>
  </si>
  <si>
    <t>522-101-1064-0019</t>
  </si>
  <si>
    <t>Гантель для фитнеса TFDE-005, в виниловой оболочке,  0,5 кг</t>
  </si>
  <si>
    <t>Гантели для фитнеса TFDE-005, в виниловой оболочке форма шестигранник. Технические характеристики: Вес: 0,5 кг. Диаметр рукояти: 25 мм.</t>
  </si>
  <si>
    <t>522-101-1064-0020</t>
  </si>
  <si>
    <t>Гантель для фитнеса TFDE-001, в виниловой оболочке, 1 кг</t>
  </si>
  <si>
    <t>Гантели для фитнеса TFDE-001, в виниловой оболочке форма шестигранник. Технические характеристики: Вес:1 кг. Диаметр рукояти: 25 мм.</t>
  </si>
  <si>
    <t>522-101-1064-0021</t>
  </si>
  <si>
    <t>Гантель для фитнеса TFDE-002, в виниловой оболочке, 2 кг</t>
  </si>
  <si>
    <t>Гантели для фитнеса TFDE-002, в виниловой оболочке форма шестигранник. Технические характеристики: Вес: 2 кг. Диаметр рукояти: 25 мм.</t>
  </si>
  <si>
    <t>522-101-1064-0022</t>
  </si>
  <si>
    <t>Гантель для фитнеса TFDE-003 в виниловой оболочке, 3 кг</t>
  </si>
  <si>
    <t>Гантели для фитнеса TFDE-003 в виниловой оболочке форма шестигранник. Технические характеристики: Вес: 3 кг. Диаметр рукояти: 25 мм.</t>
  </si>
  <si>
    <t>522-101-1065</t>
  </si>
  <si>
    <t>Чемпионский набор детский тренажер для баскетбола с дартсом</t>
  </si>
  <si>
    <t>522-101-1066</t>
  </si>
  <si>
    <t>Стойка для бадминтона</t>
  </si>
  <si>
    <t>522-101-1066-0001</t>
  </si>
  <si>
    <t>Стойка для бадминтона мобильная</t>
  </si>
  <si>
    <t>522-101-1066-0002</t>
  </si>
  <si>
    <t>Стойка бадминтонная мобильная, на обрезиненных колесах, на каждой стойке имеется наборный противовес 70кг. Высота стойки: 155 см</t>
  </si>
  <si>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</si>
  <si>
    <t>522-101-1067</t>
  </si>
  <si>
    <t>Сетка для бадминтона</t>
  </si>
  <si>
    <t>522-101-1067-0001</t>
  </si>
  <si>
    <t>Сетка для бадминтона. Толщина нити 1,6мм, материал нити сетки полипропилен</t>
  </si>
  <si>
    <t>522-101-1067-0002</t>
  </si>
  <si>
    <t>Сетка для бадминтона, материал изготовления нейлон</t>
  </si>
  <si>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</si>
  <si>
    <t>522-101-1068</t>
  </si>
  <si>
    <t>Перекладина гимнастическая</t>
  </si>
  <si>
    <t>522-101-1068-0001</t>
  </si>
  <si>
    <t>Перекладина универсальная гимнастическая</t>
  </si>
  <si>
    <t>Перекладина гимнастическая универсальная. Тросс 3000мм.</t>
  </si>
  <si>
    <t>522-101-1068-0002</t>
  </si>
  <si>
    <t>Перекладина гимнастическая пристенная</t>
  </si>
  <si>
    <t>522-101-1068-0003</t>
  </si>
  <si>
    <t>Перекладина гимнастическая универсальная</t>
  </si>
  <si>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</si>
  <si>
    <t>522-101-1068-0004</t>
  </si>
  <si>
    <t>Перекладина гимнастическая пристенная МК-0118. Перекладина гимнастическая на растяжках, пристенная</t>
  </si>
  <si>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</si>
  <si>
    <t>522-101-1068-0005</t>
  </si>
  <si>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</si>
  <si>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</si>
  <si>
    <t>522-101-1069</t>
  </si>
  <si>
    <t>Граната для метания</t>
  </si>
  <si>
    <t>522-101-1069-0001</t>
  </si>
  <si>
    <t>Гранаты для метания 500 гр</t>
  </si>
  <si>
    <t>Граната состоит из деревянной ручки и металлического стакана с эмалевым покрытием черного цвета, диаметром 48мм. Вес-500 грамм</t>
  </si>
  <si>
    <t>522-101-1069-0002</t>
  </si>
  <si>
    <t>Гранаты для метания 700 гр</t>
  </si>
  <si>
    <t>Граната состоит из деревянной ручки и металлического стакана с эмалевым покрытием черного цвета, диаметром 48мм. Вес-700 грамм</t>
  </si>
  <si>
    <t>522-101-1069-0003</t>
  </si>
  <si>
    <t>Граната для метания 300 гр</t>
  </si>
  <si>
    <t>Граната состоит из деревянной ручки и металлического стакана с эмалевым покрытием черного цвета, диаметром 48мм. Вес-300 грамм</t>
  </si>
  <si>
    <t>522-101-1070</t>
  </si>
  <si>
    <t>Кольцо баскетбольное</t>
  </si>
  <si>
    <t>522-101-1070-0001</t>
  </si>
  <si>
    <t>Баскетбольное кольцо</t>
  </si>
  <si>
    <t>522-101-1070-0002</t>
  </si>
  <si>
    <t>Баскетбольное кольцо на оргстекло</t>
  </si>
  <si>
    <t>522-101-1070-0003</t>
  </si>
  <si>
    <t>Баскетбольное кольцо на оргстекло с амортизатором</t>
  </si>
  <si>
    <t>522-101-1070-0004</t>
  </si>
  <si>
    <t>Кольцо баскетбольное тренировочное №7, диаметр кольца - 450 мм</t>
  </si>
  <si>
    <t>Баскетбольное кольцо тренировочное №7. Диаметр кольца - 450 мм.
Диаметр трубы - 15 мм.
Присоединительный размер под болты - 100х80мм.
Количество крючков - 12 шт</t>
  </si>
  <si>
    <t>522-101-1070-0005</t>
  </si>
  <si>
    <t>Кольцо баскетбольное амортизационное соревновательное №7. Материал: металл. Диаметр кольца 450мм</t>
  </si>
  <si>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</si>
  <si>
    <t>522-101-1071</t>
  </si>
  <si>
    <t>Сетка баскетбольная</t>
  </si>
  <si>
    <t>522-101-1071-0001</t>
  </si>
  <si>
    <t>Сетка для баскетбола</t>
  </si>
  <si>
    <t>522-101-1071-0002</t>
  </si>
  <si>
    <t>Сетка баскетбольная, длина 400мм, ячейка 50х50мм</t>
  </si>
  <si>
    <t>Сетка баскетбольная. Нить - 3мм. 12 петель. Длина - 400мм. Внутренний диаметр - 450 мм.  Ячейка - 50х50</t>
  </si>
  <si>
    <t>522-101-1072</t>
  </si>
  <si>
    <t>Шахматы и шашки</t>
  </si>
  <si>
    <t>522-101-1072-0001</t>
  </si>
  <si>
    <t>Шахматы 3в 1 (340мм х 340 мм)</t>
  </si>
  <si>
    <t>522-101-1072-0002</t>
  </si>
  <si>
    <t>Шахматы 3в 1 (390мм х 390 мм)</t>
  </si>
  <si>
    <t>522-101-1072-0003</t>
  </si>
  <si>
    <t>Шахматы размерами 440 х 440 х 30 мм
TCH-182</t>
  </si>
  <si>
    <t>Шахматы TCH-182. Габариты в закрытом виде: длина - 44 см, ширина - 22 см, высота - 6 см. Габариты в открытом виде: длина - 44 см,  ширина - 44
см, высота - 3 см</t>
  </si>
  <si>
    <t>522-101-1072-0004</t>
  </si>
  <si>
    <t>Шашки размерами 480 х 500 х 30 мм
TCH-214</t>
  </si>
  <si>
    <t>Шашки TCH-214. Габариты в закрытом виде: длина - 48 см, ширина - 25 см, высота - 6 см. Габариты в открытом виде: длина - 48 см,  ширина - 50 см, высота - 3 см</t>
  </si>
  <si>
    <t>522-101-1072-0005</t>
  </si>
  <si>
    <t>Шахматная доска складная виниловая размерами 510 мм х 510 мм с фигурами TCH-200</t>
  </si>
  <si>
    <t>522-101-1073</t>
  </si>
  <si>
    <t>Валик массажный</t>
  </si>
  <si>
    <t>522-101-1073-0001</t>
  </si>
  <si>
    <t>Массажные валики (ролики) для фитнеса 45см</t>
  </si>
  <si>
    <t>522-101-1073-0002</t>
  </si>
  <si>
    <t>Массажные валики (ролики) для фитнеса 30см</t>
  </si>
  <si>
    <t>522-101-1073-0003</t>
  </si>
  <si>
    <t>Массажные валики (ролики) для фитнеса 33см</t>
  </si>
  <si>
    <t>522-101-1073-0004</t>
  </si>
  <si>
    <t>Массажные валики (ролики) для фитнеса 60см</t>
  </si>
  <si>
    <t>522-101-1073-0005</t>
  </si>
  <si>
    <t>Массажные валики (ролики) для фитнеса 90см</t>
  </si>
  <si>
    <t>522-101-1074</t>
  </si>
  <si>
    <t>Щит баскетбольный</t>
  </si>
  <si>
    <t>522-101-1074-0001</t>
  </si>
  <si>
    <t>Щит баскетбольный 1200х800см из
влагостойкой фанеры</t>
  </si>
  <si>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</si>
  <si>
    <t>522-101-1074-0002</t>
  </si>
  <si>
    <t>Щит баскетбольный 1800*1050 из
влагостойкой фанеры</t>
  </si>
  <si>
    <t>522-101-1074-0003</t>
  </si>
  <si>
    <t>Щит баскетбольный игровой, размеры
1800х1050х100мм</t>
  </si>
  <si>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</si>
  <si>
    <t>522-101-1074-0004</t>
  </si>
  <si>
    <t>Щит баскетбольный учебный</t>
  </si>
  <si>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</si>
  <si>
    <t>522-101-1074-0005</t>
  </si>
  <si>
    <t>Щит баскетбольный игровой орг.стекло
1800*1050 мм SH-1800</t>
  </si>
  <si>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</si>
  <si>
    <t>522-101-1074-0006</t>
  </si>
  <si>
    <t>Щит баскетбольный тренировочный
орг.стекло 1200*800 мм SH-1200</t>
  </si>
  <si>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</si>
  <si>
    <t>522-101-1074-0007</t>
  </si>
  <si>
    <t>Ферма баскетбольная стационарная, изготовлена из стальной трубы, крепление к стене, вынос от стены 1000мм</t>
  </si>
  <si>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</si>
  <si>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522-101-1074-0008</t>
  </si>
  <si>
    <t>Ферма баскетбольная стационарная, изготовлена из стальной трубы, крепление к стене, вынос от стены 1200мм</t>
  </si>
  <si>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</si>
  <si>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522-101-1075</t>
  </si>
  <si>
    <t>Рама для баскетбольного щита</t>
  </si>
  <si>
    <t>522-101-1075-0001</t>
  </si>
  <si>
    <t>Рама для баскетбольного щита 180*105см</t>
  </si>
  <si>
    <t>522-101-1075-0002</t>
  </si>
  <si>
    <t>Рама для баскетбольного щита 120*80см</t>
  </si>
  <si>
    <t>522-101-1076</t>
  </si>
  <si>
    <t>522-101-1076-0001</t>
  </si>
  <si>
    <t>Санки-снеголет 80 х 30 см</t>
  </si>
  <si>
    <t>522-101-1077</t>
  </si>
  <si>
    <t>Конь гимнастический</t>
  </si>
  <si>
    <t>522-101-1077-0001</t>
  </si>
  <si>
    <t>Конь гимнастический прыжковый переменной высоты, высота регулируемая</t>
  </si>
  <si>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</si>
  <si>
    <t>522-101-1077-0002</t>
  </si>
  <si>
    <t>Конь гимнастический, высота регулируемая</t>
  </si>
  <si>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</si>
  <si>
    <t>522-101-1078</t>
  </si>
  <si>
    <t>Станок хореографический</t>
  </si>
  <si>
    <t>522-101-1078-0001</t>
  </si>
  <si>
    <t>Станок хореографический однорядный RAG-20501. Две стойки, деревянная жердь
склеенная из березы, толщиной 50мм. Длина 2 м. Крепление- пол</t>
  </si>
  <si>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</si>
  <si>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522-101-1078-0002</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</si>
  <si>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</si>
  <si>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</si>
  <si>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522-101-1078-0003</t>
  </si>
  <si>
    <t>Станок хореографический однорядный RAG-250501. Две стойки, деревянная жердь толщиной 50мм. Длина 2,5 м</t>
  </si>
  <si>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</si>
  <si>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522-101-1078-0004</t>
  </si>
  <si>
    <t>Станок хореографический двухрядный RAG-250502. Две стойки, деревянная жердь толщиной 50мм. Длина 2,5 м</t>
  </si>
  <si>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</si>
  <si>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522-101-1078-0005</t>
  </si>
  <si>
    <t>Станок хореографический однорядный RAG-3050. Две стойки, деревянная жердь толщиной 50мм. Длина 3 м</t>
  </si>
  <si>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</si>
  <si>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522-101-1078-0006</t>
  </si>
  <si>
    <t>Станок хореографический двухрядный RAG-30502. Две стойки, деревянная жердь толщиной 50мм. Длина 3 м</t>
  </si>
  <si>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</si>
  <si>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522-101-1079</t>
  </si>
  <si>
    <t>Шест</t>
  </si>
  <si>
    <t>522-101-1079-0001</t>
  </si>
  <si>
    <t>Шест для лазания разборный металлический RA-2430.  Металлический шест имеет разборную конструкцию. Материал: сталь. Длина: в собранном состоянии: 5000мм</t>
  </si>
  <si>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</si>
  <si>
    <t>522-101-1080</t>
  </si>
  <si>
    <t>Консоль</t>
  </si>
  <si>
    <t>522-101-1080-0001</t>
  </si>
  <si>
    <t>Консоль для подвесного снаряда усиленная RA-6419. Конструкция выполнена из профильной трубы 60х60мм, цельносварная</t>
  </si>
  <si>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</si>
  <si>
    <t>522-101-1080-0002</t>
  </si>
  <si>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</si>
  <si>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</si>
  <si>
    <t>522-101-1081</t>
  </si>
  <si>
    <t>Барьер</t>
  </si>
  <si>
    <t>522-101-1081-0001</t>
  </si>
  <si>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</si>
  <si>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t>522-101-1081-0003</t>
  </si>
  <si>
    <t>Барьер разделительный, размеры: 1400х750х30мм. Материал изготовления: металл, ПВХ</t>
  </si>
  <si>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</si>
  <si>
    <t>522-101-1081-0004</t>
  </si>
  <si>
    <t>Конус игровой. Материал изготовления: ПВХ пластик. Размеры: 380х200х200мм</t>
  </si>
  <si>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</si>
  <si>
    <t>522-101-1081-0005</t>
  </si>
  <si>
    <t>Кочка массажная. Материал изготовления: ударопрочный пластик (ПВХ). Размеры: 0,28х0,28х0,1 м</t>
  </si>
  <si>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</si>
  <si>
    <t>522-101-1081-0006</t>
  </si>
  <si>
    <t>Антенна волейбольная в комплекте с карманами. Материал изготовления: стеклопластик</t>
  </si>
  <si>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</si>
  <si>
    <t>522-101-1081-0007</t>
  </si>
  <si>
    <t>Лестница веревочная 8 м. Материал изготовления: пластиковые перекладины, ленты из нейлона</t>
  </si>
  <si>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</si>
  <si>
    <t>522-101-1082</t>
  </si>
  <si>
    <t>Мешок боксерский, груша</t>
  </si>
  <si>
    <t>522-101-1082-0001</t>
  </si>
  <si>
    <t>Мешок боксерский TBX-12. Размер мешка: 120 х 40 см. Вес мешка: 40 кг. Материал: натуральная кожа 2,5 мм и ПВХ</t>
  </si>
  <si>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</si>
  <si>
    <t>522-101-1082-0002</t>
  </si>
  <si>
    <t>Мешок боксерский TM-2328. Размер мешка: 150 х 40 см. Вес мешка: 45 кг. Материал: натуральная кожа 2,5 мм и ПВХ</t>
  </si>
  <si>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</si>
  <si>
    <t>522-101-1082-0003</t>
  </si>
  <si>
    <t>Мешок боксерский TBX-18. Размер мешка: 180 х 40 см. Вес мешка: 65-75 кг. Материал: натуральная кожа 2.5 мм и ПВХ</t>
  </si>
  <si>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</si>
  <si>
    <t>522-101-1082-0004</t>
  </si>
  <si>
    <t>Платформа с пневматической грушей TM-01. Изготовлена из кожзама</t>
  </si>
  <si>
    <t>Платформа с пневматической грушей TM-01.  Изготовлена из кожзама, длина основания 650мм, ширина 600мм, регулировка по высоте 30см, вес снаряда 1,5кг</t>
  </si>
  <si>
    <t>522-101-1082-0005</t>
  </si>
  <si>
    <t>Борцовский снаряд одноногий 160см</t>
  </si>
  <si>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</si>
  <si>
    <t>522-101-1082-0006</t>
  </si>
  <si>
    <t>Борцовский снаряд двуногий 160см</t>
  </si>
  <si>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</si>
  <si>
    <t>522-101-1082-0007</t>
  </si>
  <si>
    <t>Тренажер водоналивной для отработки реакции</t>
  </si>
  <si>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</si>
  <si>
    <t>522-101-1082-0008</t>
  </si>
  <si>
    <t>Мешок боксерский водоналивной, напольный, кожзам</t>
  </si>
  <si>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</si>
  <si>
    <t>522-101-1082-0009</t>
  </si>
  <si>
    <t>Груша на растяжках, кожа</t>
  </si>
  <si>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</si>
  <si>
    <t>522-101-1082-0010</t>
  </si>
  <si>
    <t>Мешок болгарский 5 кг, кожзам</t>
  </si>
  <si>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</si>
  <si>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522-101-1082-0011</t>
  </si>
  <si>
    <t>Мешок болгарский 10 кг, кожзам</t>
  </si>
  <si>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</si>
  <si>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522-101-1082-0012</t>
  </si>
  <si>
    <t>Мешок болгарский 15 кг, кожзам</t>
  </si>
  <si>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</si>
  <si>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522-101-1082-0013</t>
  </si>
  <si>
    <t>Мешок болгарский 20 кг, кожзам</t>
  </si>
  <si>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</si>
  <si>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522-101-1082-0014</t>
  </si>
  <si>
    <t>Мешок болгарский 25 кг, кожзам</t>
  </si>
  <si>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</si>
  <si>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522-101-1082-0015</t>
  </si>
  <si>
    <t>Жгут борцовский резиновый 1 м с ручками и креплениями, диаметром 250 мм</t>
  </si>
  <si>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</si>
  <si>
    <t>м</t>
  </si>
  <si>
    <t>522-101-1083</t>
  </si>
  <si>
    <t>Стойка для гантелей</t>
  </si>
  <si>
    <t>522-101-1083-0001</t>
  </si>
  <si>
    <t>Стойка для гантелей 3х рядная TFR-003. Рама: стальной профиль прямоугольного сечения. Размер в рабочем состоянии: габариты 1750мм х 850мм х 1000мм</t>
  </si>
  <si>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</si>
  <si>
    <t>522-101-1083-0002</t>
  </si>
  <si>
    <t>Стойка для гантелей горизонтальная, 2-х рядная на 10 пар F-A54, габариты: 2000мм х 650мм х 670мм</t>
  </si>
  <si>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</si>
  <si>
    <t>522-101-1083-0003</t>
  </si>
  <si>
    <t>Стойка под гантели горизонтальная,
2-рядная на 5 пар F-A54A, габариты: 1000мм х 650мм х 670мм</t>
  </si>
  <si>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</si>
  <si>
    <t>522-101-1083-0004</t>
  </si>
  <si>
    <t>Подставка для гантелей Dumbbell Rush The Shoulder F-A62, габариты: 960мм х 700мм х 1450мм</t>
  </si>
  <si>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</si>
  <si>
    <t>522-101-1083-0005</t>
  </si>
  <si>
    <t>Стойка для гирь. Материал изготовления: сталь с антикорозийным покрытием, резиновые накладки с антискользящим покрытием. Размеры: 1030х690х170мм</t>
  </si>
  <si>
    <t>Стойка для гирь выполнена из металокаркаса, покрытие порошковая краска. Полки оснащены резиновым антискользящим покрытием.</t>
  </si>
  <si>
    <t>522-101-1084</t>
  </si>
  <si>
    <t>Стойка для дисков</t>
  </si>
  <si>
    <t>522-101-1084-0001</t>
  </si>
  <si>
    <t>Стойка для дисков TFR-680. Рама: холоднокатанная профильная сталь 5 х 5 см. Порошковая окраска стойки. Габариты: 680×650×1250мм</t>
  </si>
  <si>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</si>
  <si>
    <t>522-101-1084-0002</t>
  </si>
  <si>
    <t>Стойка для дисков Barbell Disc Rack F-A63, габариты: 680мм х 650мм х 1250мм</t>
  </si>
  <si>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</si>
  <si>
    <t>522-101-1085</t>
  </si>
  <si>
    <t>Тележка</t>
  </si>
  <si>
    <t>522-101-1085-0001</t>
  </si>
  <si>
    <t>Тележка для матов TRA-2001. Размеры 1000х2000мм. Тележка для перевозки матов предназначена для перевозки гимнастических матов</t>
  </si>
  <si>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</si>
  <si>
    <t>522-101-1086</t>
  </si>
  <si>
    <t>Сетка для настольного тенниса</t>
  </si>
  <si>
    <t>522-101-1086-0001</t>
  </si>
  <si>
    <t>Сетка для настольного тенниса sd-100, крепление винт. Изготовлена из нейлона Размеры сетки: Длина: 183 см +/– 1 см. Высота: 15,25 см</t>
  </si>
  <si>
    <t>Сетка для настольного тенниса sd-100, крепление винт. Изготовлена из нейлона  Размеры сетки: Длина: 183 см +/– 1 см. Высота: 15,25 см.</t>
  </si>
  <si>
    <t>522-101-1087</t>
  </si>
  <si>
    <t>Колодка стартовая</t>
  </si>
  <si>
    <t>522-101-1087-0001</t>
  </si>
  <si>
    <t>Колодка стартовая TA-2126, с возможностью регулировки угла наклона и длины (шаг регулировки – 25 мм, длина – до 550 мм)</t>
  </si>
  <si>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</si>
  <si>
    <t>522-101-1088</t>
  </si>
  <si>
    <t>Перчатки  боксерские, лапы, шлем</t>
  </si>
  <si>
    <t>522-101-1088-0001</t>
  </si>
  <si>
    <t>Перчатки боксерские тренировочные TBX-2369. Изготовлены из кожзама</t>
  </si>
  <si>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</si>
  <si>
    <t>522-101-1088-0002</t>
  </si>
  <si>
    <t>Перчатки боксерские TBX-2371. Изготовлены из натуральной кожи</t>
  </si>
  <si>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</si>
  <si>
    <t>522-101-1088-0003</t>
  </si>
  <si>
    <t>Лапы боксерские TM-001</t>
  </si>
  <si>
    <t>Лапы боксерские TM-001. Размеры 32см x 21см. Материал верха - искусственная кожа, материал наполнителя - пенополиуретан.</t>
  </si>
  <si>
    <t>522-101-1088-0004</t>
  </si>
  <si>
    <t>Шлем боксерский TFHM0238, из синтетической кожи</t>
  </si>
  <si>
    <t>Шлем боксерский TFHM0238. Изготовлен из синтетической кожи.</t>
  </si>
  <si>
    <t>522-101-1088-0005</t>
  </si>
  <si>
    <t>"Лапы для таэквондо TT-2372, изготовлены из натуральной кожи "</t>
  </si>
  <si>
    <t>"Лапы для таэквондо TT-2372 (хлопушка).  Размеры: длина-400мм, ширина-230мм, толщина-50мм.  Изготовлены из натуральной кожи. "</t>
  </si>
  <si>
    <t>522-101-1088-0006</t>
  </si>
  <si>
    <t>Шлем для рукопашного боя KHLT001</t>
  </si>
  <si>
    <t>Шлем для рукопашного боя KHLT001. Внутренняя сторона изготовлена из искусственной замши, внешняя из искусственной кожи.</t>
  </si>
  <si>
    <t>522-101-1088-0007</t>
  </si>
  <si>
    <t>Макивара большая TM-003 из искусственной кожи</t>
  </si>
  <si>
    <t>Макивара большая TM-003. Материал - искусственная кожа (полиуретан).
Наполнитель поролон 22кг/м.  Размеры: 680мм х 400мм х 100 мм.</t>
  </si>
  <si>
    <t>522-101-1088-0008</t>
  </si>
  <si>
    <t>Макивара TM-002 из искусственной кожи</t>
  </si>
  <si>
    <t>Макивара TM-002. Материал - искусственная кожа (полиуретан).  Двойное крепление руки.  Тренажер наполнен пенополиуретаном. Размеры: 450мм х 250мм х 150мм</t>
  </si>
  <si>
    <t>522-101-1088-0009</t>
  </si>
  <si>
    <t>Макивара апперкотная настенная TBX-084, из натуральной кожи</t>
  </si>
  <si>
    <t>Макивара апперкотная настенная TBX-084  Материал: натуральная кожа.
Набивка: изолон, синтипон, лоскут.</t>
  </si>
  <si>
    <t>522-101-1089</t>
  </si>
  <si>
    <t>Тренажер спортивный</t>
  </si>
  <si>
    <t>522-101-1089-0001</t>
  </si>
  <si>
    <t>Тренажер Силовая рама для приседаний F-A01, габариты: 2170мм х 1350мм х 2200мм</t>
  </si>
  <si>
    <t>Тренажер Силовая рама для приседаний  F-A01. Габариты: 2170мм
×1350мм ×2200мм. Сечение трубы профиля: 7 х 5 см. Толщина трубы профиля: 3 мм</t>
  </si>
  <si>
    <t>522-101-1089-0002</t>
  </si>
  <si>
    <t>Тренажер Разгибание ног сидя F-A02,
габариты: 1500мм х 1200мм х 1650мм</t>
  </si>
  <si>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</si>
  <si>
    <t>522-101-1089-0003</t>
  </si>
  <si>
    <t>Тренажер Сгибание ног лежа F-A03,
габариты: 1600мм х 1200мм х 1650мм</t>
  </si>
  <si>
    <t>Тренажер Сгибание ног лежа  F-03. Габариты:1600мм×1200мм×1650мм, искусственная кожа 18 группы толщины.</t>
  </si>
  <si>
    <t>522-101-1089-0004</t>
  </si>
  <si>
    <t>Тренежер Сведение рук перед грудью F-A04, габариты: 1600мм х 1200мм х 1650мм</t>
  </si>
  <si>
    <t>Тренежер Сведение рук перед грудью  F-A04. Габариты тренажера: 1600мм×1200мм×1650мм, материал: металл, кожзам, параллон.</t>
  </si>
  <si>
    <t>522-101-1089-0005</t>
  </si>
  <si>
    <t>Тренажер Жим сидя от груди
F-A05габариты: 950мм х 1500мм х 1650мм</t>
  </si>
  <si>
    <t>"Тренажер Жим сидя от груди F-A05. Габариты тренажера: 950мм×1500мм×1650мм, материал: металл, кожзам, параллон. "</t>
  </si>
  <si>
    <t>522-101-1089-0006</t>
  </si>
  <si>
    <t>Тренажер Кроссовер F-A06, габариты:
3800мм х 830мм х 2300мм</t>
  </si>
  <si>
    <t>Тренажер Кроссовер F-A06, габариты тренажера ：3800мм×830мм×2300мм. Грузоблочные плитки стальные весом 71кг х 2, грузоблочная нагрузка 76кг х 2.</t>
  </si>
  <si>
    <t>522-101-1089-0007</t>
  </si>
  <si>
    <t>Тренажер Поворот туловища (для косых мышц живота) F-A08, габариты: 1200мм х 720мм х 1650мм</t>
  </si>
  <si>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</si>
  <si>
    <t>522-101-1089-0008</t>
  </si>
  <si>
    <t>Тренажер Разгибание спины F-A09,
габариты: 1200мм х 720мм х 1650мм</t>
  </si>
  <si>
    <t>Тренажер Разгибание спины F-A09, габариты тренажера: 1200мм×720мм×1650мм, противовес составляет 54 кг.</t>
  </si>
  <si>
    <t>522-101-1089-0009</t>
  </si>
  <si>
    <t>Тренажер  Скручивание/Разгибание спины
/Back Extension: F-A10, габариты: 1500мм х 1500мм х 1650мм</t>
  </si>
  <si>
    <t>Тренажер  Скручивание/Разгибание спины/Back Extension F-A10, габариты тренажера: 1500мм×1500мм×1650мм, противовес составляет 54 кг.</t>
  </si>
  <si>
    <t>522-101-1089-0010</t>
  </si>
  <si>
    <t>Тренажер Жим вверх от плеч F-A11, габариты: 950мм х 1500мм х 1650мм</t>
  </si>
  <si>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</si>
  <si>
    <t>522-101-1089-0011</t>
  </si>
  <si>
    <t>Тренажер Силовой тренажер Multi-Hip
F-A12, габариты: 950мм х 1500мм х 1650мм</t>
  </si>
  <si>
    <t>Тренажер Силовой тренажер Multi-Hip F-A12, габариты тренажера: 950мм×1500мм×1650мм, вес стека: 77 кг.</t>
  </si>
  <si>
    <t>522-101-1089-0012</t>
  </si>
  <si>
    <t>Тренажер Отведение бедра сидя F-A13, габариты: 1800мм х 1600мм х 1650мм</t>
  </si>
  <si>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</si>
  <si>
    <t>522-101-1089-0013</t>
  </si>
  <si>
    <t>Тренажер  Гравитрон (турник-брусья) F-A14, габариты: 1800мм х 600мм хм1650мм</t>
  </si>
  <si>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</si>
  <si>
    <t>522-101-1089-0014</t>
  </si>
  <si>
    <t>Тренажер Выгибание ног F-A15, габариты: 1800мм х 1600мм х 1650мм</t>
  </si>
  <si>
    <t>Тренажер Выгибание ног F-A15, габариты тренажера: 1800мм х 1600мм х 1650мм, максимальный вес пользователя:180 кг</t>
  </si>
  <si>
    <t>522-101-1089-0015</t>
  </si>
  <si>
    <t>Тренажер Бицепс-машина F-A16, габариты: 950мм х 1200мм х 1650мм</t>
  </si>
  <si>
    <t>Тренажер Бицепс-машина F-A16 Габариты тренажера: 950мм×1200мм×1650мм, максимальный вес пользователя: 200 кг.</t>
  </si>
  <si>
    <t>522-101-1089-0016</t>
  </si>
  <si>
    <t>Тренажер Сведение и разведение рук F-A17, габариты: 1340мм х 1600мм х 2010мм</t>
  </si>
  <si>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</si>
  <si>
    <t>522-101-1089-0017</t>
  </si>
  <si>
    <t>Тренажер для трицепсов F-A18, габариты тренажера: 950×1200×1650мм</t>
  </si>
  <si>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</si>
  <si>
    <t>522-101-1089-0018</t>
  </si>
  <si>
    <t>Блок для мышц спины (верхняя тяга) F-A19, габариты тренажера: 1200мм х 1200мм х 2100мм</t>
  </si>
  <si>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</si>
  <si>
    <t>522-101-1089-0019</t>
  </si>
  <si>
    <t>Тренажер в нижнем ряду сидения F-A20, габариты тренажера: 1500мм х 750мм х 2100мм</t>
  </si>
  <si>
    <t>Тренажер в нижнем ряду сидения F-A20, габариты тренажера: 1500мм×750мм×2100мм, тренируемые группы мышц: бицепсы/трицепсы.</t>
  </si>
  <si>
    <t>522-101-1089-0020</t>
  </si>
  <si>
    <t>Гребной тренажер для сидения F-A22, габариты: 1500мм х 750мм х 2100мм</t>
  </si>
  <si>
    <t>Гребной тренажер для сидения F-A22, габариты тренажера: 1500×750×2100мм, рама: стальной профиль 50мм х 100 мм, толщина стенки 3-2,5 мм, максимальный вес пользователя: 150 кг.</t>
  </si>
  <si>
    <t>522-101-1089-0021</t>
  </si>
  <si>
    <t>Силовой тренажер для жима ногами F-A49, габариты: 2300мм х 1600мм х 1400мм</t>
  </si>
  <si>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</si>
  <si>
    <t>522-101-1089-0022</t>
  </si>
  <si>
    <t>Скамья стойка для жима штанги лежа с уклоном F-A50, габариты: 1620мм х 1730мм х 1500мм</t>
  </si>
  <si>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</si>
  <si>
    <t>522-101-1089-0023</t>
  </si>
  <si>
    <t>Скамья стойка для жима штанги лежа горизонтальная F-A52, габариты: 1720мм х 1730мм х 1160мм</t>
  </si>
  <si>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</si>
  <si>
    <t>522-101-1089-0024</t>
  </si>
  <si>
    <t>Горизонтальная скамья F-A53, габариты: 1720мм х 1730мм х 1160мм</t>
  </si>
  <si>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</si>
  <si>
    <t>522-101-1089-0025</t>
  </si>
  <si>
    <t>Скамья Скотта для прокачки бицепсов
F-A54B, габариты: 970мм х 730мм х 900мм</t>
  </si>
  <si>
    <t>Скамья Скотта для прокачки бицепсов F-A54B, габариты: 970×730×900мм. Изготовлена из высокопрочного стального профиля сечением 100мм х 50мм. с толщиной стенки 3 мм.</t>
  </si>
  <si>
    <t>522-101-1089-0026</t>
  </si>
  <si>
    <t>Скамья для пресса регулируемая F-A56, габариты 1450мм х 660мм х 1000мм</t>
  </si>
  <si>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</si>
  <si>
    <t>522-101-1089-0027</t>
  </si>
  <si>
    <t>Многофункциональная скамья F-A57, габариты: 1350мм х 660мм х 1320мм</t>
  </si>
  <si>
    <t>522-101-1089-0028</t>
  </si>
  <si>
    <t>Силовая рама  для приседаний под штангу: F-A58, габариты: 1250мм х 1000мм х 2240мм</t>
  </si>
  <si>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</si>
  <si>
    <t>522-101-1089-0029</t>
  </si>
  <si>
    <t>Тренажер Римский стул (гиперэкстензия)
F-A59, габариты тренажера: 1100мм х 780мм х 770мм</t>
  </si>
  <si>
    <t>Тенажер Римский стул (гиперэкстензия) F-A59.                                Габариты тренажера ：1100мм×780мм×770мм.  Максимальная нагрузка 159 кг.</t>
  </si>
  <si>
    <t>522-101-1089-0030</t>
  </si>
  <si>
    <t>Тренажер Римский стул Икроножные мышцы сидя F-A60, габариты 1350мм х 660мм х 980 мм</t>
  </si>
  <si>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</si>
  <si>
    <t>522-101-1089-0031</t>
  </si>
  <si>
    <t>Скамья-стул с вертикальной спинкой F-A61, габариты: 1130мм х 650мм х 1130мм</t>
  </si>
  <si>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</si>
  <si>
    <t>522-101-1089-0032</t>
  </si>
  <si>
    <t>Тренажер турник-брусья Dip Chin Ab F-A63, габариты: 1700мм х 1120мм х 2200мм</t>
  </si>
  <si>
    <t>Тренажер турник-брусья Dip Chin Ab F-A63. Прочная рама из стального профиля 50*50 мм. Габариты тренажера ：1700мм×1120мм×2200мм</t>
  </si>
  <si>
    <t>522-101-1089-0033</t>
  </si>
  <si>
    <t>Беговая дорожка 155D-C</t>
  </si>
  <si>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</si>
  <si>
    <t>522-101-1089-0034</t>
  </si>
  <si>
    <t>Велотренажер TFO-120 со светодиодным дисплеем</t>
  </si>
  <si>
    <t>Велотренажер TFO-120. Светодиодный дисплей 8718. Допустимый вес пользователя составляет 120 кг. Размеры в эксплуатации (LW B): 1950мм х 580мм х 1720мм.</t>
  </si>
  <si>
    <t>522-101-1089-0035</t>
  </si>
  <si>
    <t>Степ-платформа размерами 950 х 350 х 150 мм TF-931</t>
  </si>
  <si>
    <t>522-101-1089-0036</t>
  </si>
  <si>
    <t>Беговая дорожка 258A-B</t>
  </si>
  <si>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</si>
  <si>
    <t>522-101-1089-0037</t>
  </si>
  <si>
    <t>Велотренажер TFK-900</t>
  </si>
  <si>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</si>
  <si>
    <t>522-101-1089-0038</t>
  </si>
  <si>
    <t>Велотренажер, размеры тренажёра: 1280×660×1230 мм. Сиденье имеет 4 уровня регулировки. Максимальный вес пользователя — 150 кг</t>
  </si>
  <si>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</si>
  <si>
    <t>522-101-1089-0039</t>
  </si>
  <si>
    <t>Тренажер гребной, 10 уровней нагрузки, компенсаторы неровности пола и монохромный ЖК-дисплей. Максимальный вес пользователя — 150 кг. Размеры: 1270×26×900 мм</t>
  </si>
  <si>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</si>
  <si>
    <t>522-101-1089-0040</t>
  </si>
  <si>
    <t>Степбол Босу</t>
  </si>
  <si>
    <t>Материал изготовления: купол — резиновый, жёсткое основание из ударопрочного ABS-пластика, противоскользящее покрытие, размеры 0,8х0,8х0,05м</t>
  </si>
  <si>
    <t>522-101-1090</t>
  </si>
  <si>
    <t>Грифы и диски для штанги</t>
  </si>
  <si>
    <t>522-101-1090-0001</t>
  </si>
  <si>
    <t>Гриф для штанги олимпийский TF-2250, длина 2200мм</t>
  </si>
  <si>
    <t>Гриф для штанги олимпийский TF-2250, хромированный, длина 2200мм, диаметр: 50 мм, максимальная нагрузка 220 кг.</t>
  </si>
  <si>
    <t>522-101-1090-0002</t>
  </si>
  <si>
    <t>Изогнутый гриф TF-050, длина 1200мм</t>
  </si>
  <si>
    <t>Изогнутый гриф TF-050. Гриф и замки хромированные. Длина грифа 1200мм, масса с замками 12,5 кг.</t>
  </si>
  <si>
    <t>522-101-1090-0003</t>
  </si>
  <si>
    <t>Олимпийский диск евро-классик с тройным хватом TFO-0025 черный, 2,5 кг</t>
  </si>
  <si>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</si>
  <si>
    <t>522-101-1090-0004</t>
  </si>
  <si>
    <t>Олимпийский диск евро-классик TFO-005 с тройным хватом черный, 5 кг</t>
  </si>
  <si>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</si>
  <si>
    <t>522-101-1090-0005</t>
  </si>
  <si>
    <t>Олимпийский диск евро-классик TFO-075 с тройным хватом черный, 7,5 кг</t>
  </si>
  <si>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</si>
  <si>
    <t>522-101-1090-0006</t>
  </si>
  <si>
    <t>Олимпийский диск евро-классик FO-010 с тройным хватом черный, 10 кг</t>
  </si>
  <si>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</si>
  <si>
    <t>522-101-1090-0007</t>
  </si>
  <si>
    <t>Олимпийский диск евро-классик TFO-015 с тройным хватом, 15 кг</t>
  </si>
  <si>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</si>
  <si>
    <t>522-101-1090-0008</t>
  </si>
  <si>
    <t>Олимпийский диск евро-классик TFO-020 с тройным хватом черный, 20 кг</t>
  </si>
  <si>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</si>
  <si>
    <t>522-101-1090-0009</t>
  </si>
  <si>
    <t>Олимпийский диск евро-классик TFO-025 с тройным хватом черный, 25 кг</t>
  </si>
  <si>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</si>
  <si>
    <t>522-101-1090-0010</t>
  </si>
  <si>
    <t>Торсонатор двойной для грифа, высокопрочная сталь с порошковым антикоррозийным покрытием 200 × 220 ×
180 мм</t>
  </si>
  <si>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</si>
  <si>
    <t>522-101-1091</t>
  </si>
  <si>
    <t>Сетка заградительная</t>
  </si>
  <si>
    <t>522-101-1091-0001</t>
  </si>
  <si>
    <t>Сетка заградительная, размер ячейки 100 х 100 мм</t>
  </si>
  <si>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</si>
  <si>
    <t>522-101-1091-0002</t>
  </si>
  <si>
    <t>Сетка заградительная, размер ячейки 40х40мм RAC-040</t>
  </si>
  <si>
    <t>Сетка заградительная RAC-040. Толщина нити 2,2мм. Ячейка 40х40мм.
Безузловая. Сетка изготовлена из полимерных материалов — полипропилена</t>
  </si>
  <si>
    <t>522-101-1091-0003</t>
  </si>
  <si>
    <t>Стеновой протектор</t>
  </si>
  <si>
    <t>Толщина 30мм. Наполнение: НПЭ 20мм (маты из вспененного полиэтилена), размер одного листа 2000х1000х30мм. Обшивка: тентова ткань 610гр/м2. Подложка: фанера 2000х1000х10мм.</t>
  </si>
  <si>
    <t>522-101-1092</t>
  </si>
  <si>
    <t>Измеритель высоты</t>
  </si>
  <si>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</si>
  <si>
    <t>522-101-1093</t>
  </si>
  <si>
    <t>Пенек для равновесия</t>
  </si>
  <si>
    <t>522-101-1093-0001</t>
  </si>
  <si>
    <t>Пенек для равновесия, размеры: диаметр
220мм, высота 200мм</t>
  </si>
  <si>
    <t>Пеньки для равновесия. Материал фанера.</t>
  </si>
  <si>
    <t>522-101-1093-0002</t>
  </si>
  <si>
    <t>Пенек для равновесия, размеры: диаметр
220мм, высота 250мм</t>
  </si>
  <si>
    <t>522-101-1093-0003</t>
  </si>
  <si>
    <t>Пенек для равновесия, размеры: диаметр
220мм, высота 300мм</t>
  </si>
  <si>
    <t>522-101-1094</t>
  </si>
  <si>
    <t>Оборудование для единоборств</t>
  </si>
  <si>
    <t>522-101-1094-0001</t>
  </si>
  <si>
    <t>Ринг боксерский 4 х 4 м с помостом 5 х 5 м, помост 1м</t>
  </si>
  <si>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</si>
  <si>
    <t>522-101-1094-0002</t>
  </si>
  <si>
    <t>Ринг боксерский 4 х 4 м с помостом 5 х 5м, помост 0,5 м</t>
  </si>
  <si>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</si>
  <si>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522-101-1094-0003</t>
  </si>
  <si>
    <t>Ринг боксерский 4 х 4 м напольный</t>
  </si>
  <si>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</si>
  <si>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522-101-1094-0004</t>
  </si>
  <si>
    <t>Ринг боксерский 5 х 5 м с помостом 6,1 х 6,1 помост 1м</t>
  </si>
  <si>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</si>
  <si>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522-101-1094-0005</t>
  </si>
  <si>
    <t>Ринг боксерский 5 х 5 м с помостом 6,1 х 6,1 помост 0,5м</t>
  </si>
  <si>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</si>
  <si>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522-101-1094-0006</t>
  </si>
  <si>
    <t>Ринг боксерский 5 х 5 м с помостом 6,1 х 6,1 напольный</t>
  </si>
  <si>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</si>
  <si>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522-101-1094-0007</t>
  </si>
  <si>
    <t>Ринг боксерский 6,1 х 6,1 м с помостом 7,8 х 7,8м, помост 1м</t>
  </si>
  <si>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</si>
  <si>
    <t>522-101-1094-0008</t>
  </si>
  <si>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</si>
  <si>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</si>
  <si>
    <t>522-101-1094-0009</t>
  </si>
  <si>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</si>
  <si>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</si>
  <si>
    <t>522-101-1094-0010</t>
  </si>
  <si>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</si>
  <si>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</si>
  <si>
    <t>522-101-1094-0011</t>
  </si>
  <si>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</si>
  <si>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</si>
  <si>
    <t>522-101-1095</t>
  </si>
  <si>
    <t>Гиря</t>
  </si>
  <si>
    <t>522-101-1095-0001</t>
  </si>
  <si>
    <t>Гиря 8 кг, материал изготовления: чугун, винил</t>
  </si>
  <si>
    <t>Гиря 8кг - спортивный снаряд для силовых упражнений. Гиря тежелоатлетическая изготовленный из серого чугуна и покрытый винилом.
Размеры 0,35х0,28х0,3 м</t>
  </si>
  <si>
    <t>522-101-1095-0002</t>
  </si>
  <si>
    <t>Гиря 12 кг, материал изготовления: чугун, винил</t>
  </si>
  <si>
    <t>Гиря 12кг - спортивный снаряд для силовых упражнений. Гиря тежелоатлетическая изготовленный из серого чугуна и покрытый винилом.
Размеры 0,35х0,38х0,3 м</t>
  </si>
  <si>
    <t>522-101-1095-0003</t>
  </si>
  <si>
    <t>Гиря 16 кг, материал изготовления: чугун, винил</t>
  </si>
  <si>
    <t>Гиря 16кг - спортивный снаряд для силовых упражнений. Гиря тежелоатлетическая изготовленный из серого чугуна и покрытый винилом.
Размеры 0,38х0,38х0,3 м</t>
  </si>
  <si>
    <t>522-101-1095-0004</t>
  </si>
  <si>
    <t>Гиря 20 кг, материал изготовления: чугун, винил</t>
  </si>
  <si>
    <t>Гиря 20кг - спортивный снаряд для силовых упражнений. Гиря тежелоатлетическая изготовленный из серого чугуна и покрытый винилом.
Размеры 0,35х0,48х0,3 м</t>
  </si>
  <si>
    <t>522-101-1095-0005</t>
  </si>
  <si>
    <t>Гиря 24 кг, материал изготовления: чугун, винил</t>
  </si>
  <si>
    <t>Гиря 24кг - спортивный снаряд для силовых упражнений. Гиря тежелоатлетическая изготовленный из серого чугуна и покрытый винилом.
Размеры 0,38х0,48х0,3 м</t>
  </si>
  <si>
    <t>522-101-1095-0006</t>
  </si>
  <si>
    <t>Гиря 32 кг, материал изготовления: чугун, винил</t>
  </si>
  <si>
    <t>Гиря 32кг - спортивный снаряд для силовых упражнений. Гиря тежелоатлетическая изготовленный из серого чугуна и покрытый винилом.
Размеры 0,4х0,48х0,32 м</t>
  </si>
  <si>
    <t>522-101-1096</t>
  </si>
  <si>
    <t>Инвентарь для плавания</t>
  </si>
  <si>
    <t>522-101-1096-0001</t>
  </si>
  <si>
    <t>Доска для плавания, размеры:
650х400х200мм</t>
  </si>
  <si>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</si>
  <si>
    <t>522-101-1096-0003</t>
  </si>
  <si>
    <t>Лопатка для плавания, материал изготовления прочный пластик (PP или ABS), ремешки — мягкий эластичный силикон. Размеры: 200х150х10мм</t>
  </si>
  <si>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</si>
  <si>
    <t>522-101-1096-0004</t>
  </si>
  <si>
    <t>Фиксатор ног для плавания, материал изготовления нейлон, размеры 0,08х0,05х0,05м</t>
  </si>
  <si>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</si>
  <si>
    <t>522-101-1096-0005</t>
  </si>
  <si>
    <t>Мяч для водного поло №3, внешняя оболочка — прочная резина с нескользящим рельефным покрытием, внутренняя камера
— бутилкаучук</t>
  </si>
  <si>
    <t>Предназначен для тренировок и соревнований по водному поло. Размеры 0,38х0,38х0,38м</t>
  </si>
  <si>
    <t>522-101-1096-0006</t>
  </si>
  <si>
    <t>Мяч для водного поло №5, внешняя оболочка — прочная резина с нескользящим рельефным покрытием, внутренняя камера
— бутилкаучук</t>
  </si>
  <si>
    <t>522-101-1096-0007</t>
  </si>
  <si>
    <t>Ласты короткие. Материал: мягкий силикон. Размер: 360×200×30 мм</t>
  </si>
  <si>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</si>
  <si>
    <t>522-101-1096-0009</t>
  </si>
  <si>
    <t>Пояс для аквааэробики. Вспененный EVA-материал (этиленвинилацетат). Размеры: 800х280х35мм</t>
  </si>
  <si>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</si>
  <si>
    <t>522-101-1096-0010</t>
  </si>
  <si>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</si>
  <si>
    <t>Круг служит для оказания помощи человеку, оказавшемуся в воде. Имеются светоотражающие полоски и веревка для удержания.</t>
  </si>
  <si>
    <t>522-101-1100</t>
  </si>
  <si>
    <t>522-101-1103</t>
  </si>
  <si>
    <t>Цифровое пианино</t>
  </si>
  <si>
    <t>522-101-1112</t>
  </si>
  <si>
    <t>Доска классная "Нотный стан"</t>
  </si>
  <si>
    <t>522-101-1112-0001</t>
  </si>
  <si>
    <t>Доска классная с нотным станом</t>
  </si>
  <si>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</si>
  <si>
    <t>522-101-1113</t>
  </si>
  <si>
    <t>Стул к фортепиано</t>
  </si>
  <si>
    <t>522-101-1200</t>
  </si>
  <si>
    <t>522-101-1201</t>
  </si>
  <si>
    <t>Стол компьютерный</t>
  </si>
  <si>
    <t>522-101-1201-0001</t>
  </si>
  <si>
    <t>Стол компьютерный с выдвижной полкой. ЛДСП 16мм, размеры 800х600х750 мм.</t>
  </si>
  <si>
    <t>Стол компьютерный с выдвижной полкой. ЛДСП 16мм, размеры 800х600х750 мм. Боковые стенки имеют полимерные не регулируемые подпятники.</t>
  </si>
  <si>
    <t>522-101-1201-0002</t>
  </si>
  <si>
    <t>Стол компьютерный с выдвижной полкой и отсеком под системный блок. ЛДСП 16мм, размеры 1000х600х750 мм</t>
  </si>
  <si>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</si>
  <si>
    <t>522-101-1201-0003</t>
  </si>
  <si>
    <t>Стол компьютерный с выдвижной полкой, отсеком под системный блок, тумбой с дверцей. ЛДСП 16мм, размеры 1400х650х750 мм</t>
  </si>
  <si>
    <t>Стол компьютерный с выдвижной полкой, отсеком под системный блок, тумбой с дверцей. ЛДСП 16мм, размеры1400х650х750 мм</t>
  </si>
  <si>
    <t>522-101-1201-0004</t>
  </si>
  <si>
    <t>Стол компьютерный с выдвижной полкой и тумбой с дверцей. ЛДСП 16мм, размеры 1200х600х750 мм</t>
  </si>
  <si>
    <t>522-101-1201-0005</t>
  </si>
  <si>
    <t>Стол компьютерный выдвижной полкой и отсеком под системный блок. ЛДСП 16мм, размеры 900х600х760мм</t>
  </si>
  <si>
    <t>Стол компьютерный выдвижной полкой и отсеком под системный блок.
ЛДСП 16мм, размеры 900х600х760мм</t>
  </si>
  <si>
    <t>522-101-1201-0006</t>
  </si>
  <si>
    <t>Стол с выдвижной полкой и отсеком под системный блок, закрытый с трех сторон, спереди оргстекло, размер 900х600х750мм</t>
  </si>
  <si>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</si>
  <si>
    <t>522-101-1201-0007</t>
  </si>
  <si>
    <t>Стол компьютерный двухместный, ЛДСП 32мм, каркас металлический, с полками для системного блока и розетками, размер 1300х600х750 мм</t>
  </si>
  <si>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</si>
  <si>
    <t>522-101-1201-0008</t>
  </si>
  <si>
    <t>Стол компьютерный ученический, столешница ЛДСП 32мм, каркас металлический, с полкой для системного блока и розетками, размер 800х600х750мм</t>
  </si>
  <si>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</si>
  <si>
    <t>522-101-1201-0009</t>
  </si>
  <si>
    <t>Стол компьютерный с выдвижной полкой и отсеком под системный блок. ЛДСП 16мм, размеры 1200х700х750мм</t>
  </si>
  <si>
    <t>Ширина - 1200мм, глубина - 700мм, высота - 750мм. Столешница из ЛДСП 16мм, каркас выполнен из ЛДСП 16мм. Торцы облицованы  кромкой ПВХ толщиной 2мм.</t>
  </si>
  <si>
    <t>522-101-1201-0010</t>
  </si>
  <si>
    <t>Стол компьютерный одноместный 900х650х760мм.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</si>
  <si>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</si>
  <si>
    <t>522-101-1201-0011</t>
  </si>
  <si>
    <t>Стол компьютерный с выдвижной полкой, отсеком под системный блок, тумбой с дверцей. ЛДСП 32 мм, размеры 1400х650х750мм</t>
  </si>
  <si>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</si>
  <si>
    <t>522-101-1205</t>
  </si>
  <si>
    <t>Стол для преподавателя однотумбовый</t>
  </si>
  <si>
    <t>522-101-1205-0001</t>
  </si>
  <si>
    <t>Стол преподавателя 1350х650х750 мм с мобильной тумбой. Столешница ЛДСП, основание металлокаркас</t>
  </si>
  <si>
    <t>Стол преподавателя 1350х650х750 мм с мобильной тумбой размером 400x500x750мм и 3 выдвижными ящиками. Столешница ЛДСП 22мм, основание металлокаркас</t>
  </si>
  <si>
    <t>522-101-1205-0002</t>
  </si>
  <si>
    <t>Стол преподавателя 1350х650х750 мм с полиуретановой кромкой с мобильной тумбой. Столешница ЛСДП, основание металлокаркас</t>
  </si>
  <si>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</si>
  <si>
    <t>522-101-1205-0003</t>
  </si>
  <si>
    <t>Стол преподавателя 1600х600х760мм/1600х650х760мм с мобильной тумбой. Столешница ЛДСП, основание металлокаркас</t>
  </si>
  <si>
    <t>522-101-1205-0004</t>
  </si>
  <si>
    <t>Стол преподавателя 1500х700х750 мм с мобильной тумбой. Материал ЛДСП</t>
  </si>
  <si>
    <t>Стол преподавателя 1500х700х750 мм с мобильной тумбой. Материал ЛДСП 16мм. Столешница ЛДСП 32мм.</t>
  </si>
  <si>
    <t>522-101-1205-0005</t>
  </si>
  <si>
    <t>Стол преподавателя 2340х1500х750 мм с тумбой. Материал ЛДСП</t>
  </si>
  <si>
    <t>Стол преподавателя 2340х1500х750 мм с тумбой. Тумба  стационарная имеет выдвижные ящики. Материал ЛДСП 16мм, столешница 25мм.</t>
  </si>
  <si>
    <t>522-101-1205-0006</t>
  </si>
  <si>
    <t>Стол письменный для преподавателя, тумба с двумя выдвижными ящиками, размер 1200х600мм</t>
  </si>
  <si>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</si>
  <si>
    <t>522-101-1205-0007</t>
  </si>
  <si>
    <t>Стол преподавателя 1650х800х750 мм со встроенной тумбой. Столешница ЛДСП типа EGGER, основание металлокаркас</t>
  </si>
  <si>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</si>
  <si>
    <t>522-101-1205-0008</t>
  </si>
  <si>
    <t>Стол преподавателя, подвесная тумба с выдвижными ящиками, металлический каркас, размер 1600х700х750мм</t>
  </si>
  <si>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</si>
  <si>
    <t>522-101-1205-0009</t>
  </si>
  <si>
    <t>Стол преподавателя 1400х720х750 мм с мобильной тумбой, кромка ПВХ. Столешница ЛСДП 16мм, каркас из ЛДСП 16мм</t>
  </si>
  <si>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</si>
  <si>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522-101-1205-0010</t>
  </si>
  <si>
    <t>Стол преподавателя угловой 1800*1600х600х750мм со встроенной тумбой с выдвижными ящиками. Материал ЛДСП 16мм</t>
  </si>
  <si>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</si>
  <si>
    <t>522-101-1205-0012</t>
  </si>
  <si>
    <t>Стол преподавателя с тумбой и 4 выдвижными ящиками, размеры 1600х650х760 мм, столешница из ЛДСП 22 мм, кромка ПВХ</t>
  </si>
  <si>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</si>
  <si>
    <t>522-101-1206</t>
  </si>
  <si>
    <t>Стол однотумбовый</t>
  </si>
  <si>
    <t>522-101-1206-0001</t>
  </si>
  <si>
    <t>Стол однотумбовый с 3 ящиками и нишей. Размер 1200х650х750 мм</t>
  </si>
  <si>
    <t>Стол однотумбовый с 3 ящиками и нишей. Размер 1200х650х750 мм. ЛДСП 16мм.</t>
  </si>
  <si>
    <t>522-101-1206-0002</t>
  </si>
  <si>
    <t>Стол однотумбовый с 3 направляющими выдвижными ящиками. Размер 1400х700х750 мм</t>
  </si>
  <si>
    <t>Стол однотумбовый с 3 направляющими выдвижными ящиками. Размер 1400х700х750 мм. ЛДСП 16мм</t>
  </si>
  <si>
    <t>522-101-1206-0003</t>
  </si>
  <si>
    <t>Стол однотумбовый с направляющим выдвижным ящиком и тумбой. Размер 1200х600х750 мм, ЛДСП 16 мм</t>
  </si>
  <si>
    <t>Стол однотумбовый с направляющим выдвижным ящиком и тумбой.
Размер 1200х600х750 мм. ЛДСП 16мм</t>
  </si>
  <si>
    <t>522-101-1206-0004</t>
  </si>
  <si>
    <t>Стол однотумбовый с 2 выдвижными ящиками, ЛДСП 16 мм, размер 1200х600х760мм</t>
  </si>
  <si>
    <t>Стол однотумбовым с 2 выдвижными полками, ЛДСП 16 мм, размер 1200х600х760мм</t>
  </si>
  <si>
    <t>522-101-1206-0005</t>
  </si>
  <si>
    <t>Стол однотумбовый с 2 направляющими выдвижными ящиками. Размер 1500х700х750 мм. ЛДСП 18мм</t>
  </si>
  <si>
    <t>Стол однотумбовый с 2 направляющими выдвижными ящиками. Размер 1500х700х750 мм. ЛДСП 18мм, облицованной кромкой ПВХ толщиной 1,5мм.</t>
  </si>
  <si>
    <t>522-101-1206-0006</t>
  </si>
  <si>
    <t>Стол однотумбовый с направляющим выдвижным ящиком и тумбой. Размер 1200х600х750 мм, ЛДСП 16 мм, столешница 32 мм</t>
  </si>
  <si>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</si>
  <si>
    <t>522-101-1206-0007</t>
  </si>
  <si>
    <t>Стол однотумбовый с направляющим выдвижным ящиком и дверью. Размер 1500х600х750мм</t>
  </si>
  <si>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</si>
  <si>
    <t>522-101-1206-0008</t>
  </si>
  <si>
    <t>Стол однотумбовый с 3 выджвижными ящиками и нишей. Размер 1200х680х750мм, ЛДСП 16мм</t>
  </si>
  <si>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</si>
  <si>
    <t>522-101-1206-0009</t>
  </si>
  <si>
    <t>Стол однотумбовый с 2 выдвижными ящиками, ЛДСП 16 мм, размер 1200х700х750мм</t>
  </si>
  <si>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</si>
  <si>
    <t>522-101-1206-0010</t>
  </si>
  <si>
    <t>Стол однотумбовый с подвесной тумбой и открытой нишей, ЛДСП 16мм. Размер 1200х600х750мм</t>
  </si>
  <si>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</si>
  <si>
    <t>522-101-1206-0011</t>
  </si>
  <si>
    <t>Стол однотумбовый с 2 выдвижными ящиками и нишей, ЛДСП 16 мм, размер 1200х600х750мм</t>
  </si>
  <si>
    <t>522-101-1206-0012</t>
  </si>
  <si>
    <t>Стол однотумбовый с 3 направляющими выдвижными ящиками. Размер 1500х700х750 мм. ЛДСП 16мм</t>
  </si>
  <si>
    <t>522-101-1206-0015</t>
  </si>
  <si>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</si>
  <si>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</si>
  <si>
    <t>522-101-1206-0016</t>
  </si>
  <si>
    <t>Стол рабочий с парящей подставкой для системного блока, столешница ЛДСП 22 мм, кромка ПВХ, размеры 1800х700х760 мм</t>
  </si>
  <si>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</si>
  <si>
    <t>522-101-1206-0017</t>
  </si>
  <si>
    <t>Стол с приставной тумбой, столешница из ЛДСП 22мм, кромка ПВХ, металлокаркас из прямоугольной профильной трубы, размеры 1800х1700х760 мм</t>
  </si>
  <si>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</si>
  <si>
    <t>522-101-1207</t>
  </si>
  <si>
    <t>Стол руководителя</t>
  </si>
  <si>
    <t>522-101-1207-0001</t>
  </si>
  <si>
    <t>Стол руководителя угловой с мобильной тумбой, компьютерной приставкой 2200х1500х750 мм. ЛДСП 16мм,
столешница ЛДСП 32мм.</t>
  </si>
  <si>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</si>
  <si>
    <t>522-101-1207-0002</t>
  </si>
  <si>
    <t>Стол для конференций 4-х местный. Основание металлокаркас, столешница ЛДСП 25мм, лючки для проводов. Размеры 1380х1380х750мм</t>
  </si>
  <si>
    <t>522-101-1207-0003</t>
  </si>
  <si>
    <t>Стол для конференций 8-ми местный. Основание металлокаркас, столешница ЛДСП 25мм, лючки для проводов. Размеры 2760х1380х750 мм</t>
  </si>
  <si>
    <t>522-101-1207-0004</t>
  </si>
  <si>
    <t>Стол для конференций 12-ти местный. Основание металлокаркас, столешница ЛДСП 25мм, лючки для проводов. Размеры 4140х1380х750 мм</t>
  </si>
  <si>
    <t>Стол для конференций 12-ти местный. Основание металлокаркас, столешница ЛДСП 25мм, лючки для проводов. Размеры  4140х1380х750 мм</t>
  </si>
  <si>
    <t>522-101-1207-0005</t>
  </si>
  <si>
    <t>Стол для конференций 16-ти местный. Основание металлокаркас, столешница ЛДСП 25мм, лючки для проводов. Размеры 5520х1380х750 мм</t>
  </si>
  <si>
    <t>522-101-1207-0006</t>
  </si>
  <si>
    <t>Стол для конференций 20-ти местный. Основание металлокаркас, столешница ЛДСП 25мм, лючки для проводов. Размеры 6900х1380х750 мм</t>
  </si>
  <si>
    <t>Стол для конференций 20-ти местный. Основание металлокаркас, столешница ЛДСП 25мм, лючки для проводов. Размеры  6900х1380х750 мм</t>
  </si>
  <si>
    <t>522-101-1207-0007</t>
  </si>
  <si>
    <t>Стол для конференций 2500х1100х750мм, ЛДСП 16мм</t>
  </si>
  <si>
    <t>Размер: 2500х1100х750мм. Толщина: 16мм. Материал: ЛДСП</t>
  </si>
  <si>
    <t>522-101-1207-0008</t>
  </si>
  <si>
    <t>Стол эргономичный с мобильной тумбой 2200/1400х600х750 мм</t>
  </si>
  <si>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</si>
  <si>
    <t>522-101-1207-0009</t>
  </si>
  <si>
    <t>Стол приставной 1600х600х750 мм</t>
  </si>
  <si>
    <t>Материал: ЛДСП 16 мм, столешница 32 мм. Кромки деталей облицованы полимерным кромочным материалам (ПВХ), толщиной 1,5 мм. Стяжка типа BLUM.</t>
  </si>
  <si>
    <t>522-101-1207-0010</t>
  </si>
  <si>
    <t>Стол для совещаний 2400х800х750 мм</t>
  </si>
  <si>
    <t>522-101-1207-0011</t>
  </si>
  <si>
    <t>Стол руководителя угловой со встроенной тумбой, компьютерной приставкой. ЛДСП 16мм, столешница из МДФ 16мм. Размер 1600х600х760мм</t>
  </si>
  <si>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</si>
  <si>
    <t>522-101-1207-0012</t>
  </si>
  <si>
    <t>Стол приставной, размеры не менее
1100х500х700мм</t>
  </si>
  <si>
    <t>Столешница из ЛДСП 32мм, каркас выполнен из ЛДСП 16мм. Торцы облицованы  кромкой ПВХ толщиной 2мм.</t>
  </si>
  <si>
    <t>522-101-1207-0013</t>
  </si>
  <si>
    <t>Стол руководителя 1800х820х775мм. ЛДСП
16мм, столешница ЛДСП 32мм</t>
  </si>
  <si>
    <t>Стол руководителя. Ширина - 1800мм, глубина - 820мм, высота - 775мм. Столешница из ЛДСП 32мм, каркас выполнен из ЛДСП 16мм. Торцы облицованы  кромкой ПВХ толщиной 2мм.</t>
  </si>
  <si>
    <t>522-101-1207-0014</t>
  </si>
  <si>
    <t>Стол 2300х900х750мм.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</si>
  <si>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</si>
  <si>
    <t>522-101-1207-0015</t>
  </si>
  <si>
    <t>Стол 2300х1200х750мм.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</si>
  <si>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</si>
  <si>
    <t>522-101-1207-0016</t>
  </si>
  <si>
    <t>Стол для совещаний 2000х900х760мм. Столешница из ЛДСП 22мм, основание металлического профиля</t>
  </si>
  <si>
    <t>522-101-1207-0019</t>
  </si>
  <si>
    <t>Стол для конференций на 12 человек, размеры 3700х1300х760 мм, столешница из ЛДСП 22мм, кромка ПВХ</t>
  </si>
  <si>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</si>
  <si>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522-101-1207-0020</t>
  </si>
  <si>
    <t>Стол для конференций  на 16 человек, размеры 4900х1300х760 мм, столешница из ЛДСП 22мм, кромка ПВХ</t>
  </si>
  <si>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</si>
  <si>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522-101-1207-0021</t>
  </si>
  <si>
    <t>Стол для конференций  на 20 человек, размеры 6100х1300х760 мм, столешница из ЛДСП 22мм, кромка ПВХ</t>
  </si>
  <si>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</si>
  <si>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522-101-1207-0022</t>
  </si>
  <si>
    <t>Стол для президиума, размеры 3600х800х760 мм, внешняя опора и столешница из ЛДСП 22 мм, внутренняя опора 16 мм</t>
  </si>
  <si>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</si>
  <si>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522-101-1207-0023</t>
  </si>
  <si>
    <t>Стол для конференций, столешница из щита дуба, металлокаркас из прямоугольной профильной трубы, размеры 2000х900х760 мм</t>
  </si>
  <si>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</si>
  <si>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522-101-1207-0024</t>
  </si>
  <si>
    <t>Стол для конференций, столешница из ЛДСП 22мм, кромка ПВХ, металлокаркас из прямоугольной профильной трубы, размеры 2200х800х760 мм</t>
  </si>
  <si>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</si>
  <si>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522-101-1208</t>
  </si>
  <si>
    <t>Стол преподавателя</t>
  </si>
  <si>
    <t>522-101-1208-0001</t>
  </si>
  <si>
    <t>Стол преподавателя 1200х600х750 мм марки
СУ 07-19</t>
  </si>
  <si>
    <t>Стол однотумбовый. Каркас цельносварная рамочная конструкция. Столешница и тумба из ЛДСП 16 мм. Размеры: 1200х600х750мм.</t>
  </si>
  <si>
    <t>522-101-1208-0002</t>
  </si>
  <si>
    <t>Стол преподавателя 1200х600х750 мм марки
СУ 07-18</t>
  </si>
  <si>
    <t>522-101-1208-0003</t>
  </si>
  <si>
    <t>Стол преподавателя размер с ПВХ кромкой
1350х650х750 мм</t>
  </si>
  <si>
    <t>Стол преподавателя с ПВХ кромкой размер 1350х650х750 мм на 2-х металлических боковинах. Основание металлокаркас</t>
  </si>
  <si>
    <t>522-101-1208-0004</t>
  </si>
  <si>
    <t>Стол преподавателя с полиуретановой
кромкой размерами 1350х650х750 мм</t>
  </si>
  <si>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</si>
  <si>
    <t>522-101-1208-0005</t>
  </si>
  <si>
    <t>Стол учителя 1350х650х760мм, столешница ЛДСП 22мм, каркас из профильной трубы 40х40мм, кромка ПВХ</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</si>
  <si>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</si>
  <si>
    <t>522-101-1208-0006</t>
  </si>
  <si>
    <t>Стол учителя 1350х650х760мм, столешница ЛДСП 22мм, каркас из профильной трубы 60х15мм, кромка ПВХ</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</si>
  <si>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</si>
  <si>
    <t>522-101-1208-0007</t>
  </si>
  <si>
    <t>Стол учителя 1350х650х760мм, столешница ЛДСП 22мм, каркас цельносварной из квадратной профильной трубы 25х25мм, кромка ПВХ</t>
  </si>
  <si>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</si>
  <si>
    <t>522-101-1208-0008</t>
  </si>
  <si>
    <t>Стол учителя 1350х650х760мм, столешница ЛДСП 22мм, каркас из квадратной профильной трубы 30х30мм, кромка ПВХ</t>
  </si>
  <si>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</si>
  <si>
    <t>522-101-1208-0009</t>
  </si>
  <si>
    <t>Стол учителя 1300х650х760 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</si>
  <si>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</si>
  <si>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522-101-1208-0010</t>
  </si>
  <si>
    <t>Стол учителя с полкой для ПК 1300х650х760мм. Столешница ЛДСП 22 мм, кромка ПВХ 2 мм</t>
  </si>
  <si>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</si>
  <si>
    <t>522-101-1208-0011</t>
  </si>
  <si>
    <t>Стол учителя 1200х600х750мм. Столешница и полки из ЛДСП 16 мм, кромка ПВХ 1мм. Полка под процессор</t>
  </si>
  <si>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</si>
  <si>
    <t>522-101-1208-0012</t>
  </si>
  <si>
    <t>Стол с подвесной тумбой, размеры 1200х650х750 мм, столешница из ЛДСП толщиной 22мм, металлический цельносварной каркас</t>
  </si>
  <si>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</si>
  <si>
    <t>522-101-1208-0013</t>
  </si>
  <si>
    <t>Стол преподавателя, размеры 1800х800х780 мм, столешница из ЛДСП толщиной 22мм, металлический каркас</t>
  </si>
  <si>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</si>
  <si>
    <t>522-101-1209</t>
  </si>
  <si>
    <t>Стол ученический одноместный</t>
  </si>
  <si>
    <t>522-101-1209-0001</t>
  </si>
  <si>
    <t>Стол ученический одноместный регулируемый по высоте 700х500х580/760мм ШК 85-13 Р-1</t>
  </si>
  <si>
    <t>Стол ученический одноместный регулируемый по высоте. Размер 700х500х580/760мм. Столешница ЛДСП 16мм. Основание металлокаркас.</t>
  </si>
  <si>
    <t>522-101-1209-0002</t>
  </si>
  <si>
    <t>Стол ученический одноместный 700х500х760мм (тр20х20) ШК 85-13-1</t>
  </si>
  <si>
    <t>Стол ученический одноместный. Размер 700х500х760мм. Столешница ЛДСП 16мм. Основание металлокаркас.</t>
  </si>
  <si>
    <t>522-101-1209-0003</t>
  </si>
  <si>
    <t>Стол ученический одноместный регулируемый по высоте с ПВХ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</si>
  <si>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</si>
  <si>
    <t>522-101-1209-0004</t>
  </si>
  <si>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</si>
  <si>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</si>
  <si>
    <t>522-101-1209-0005</t>
  </si>
  <si>
    <t>Стол ученический одноместный не регулируемый. Столешница ЛДСП 32мм, основание металлокаркас. Размер столешницы 700х500х640/710/760 мм</t>
  </si>
  <si>
    <t>522-101-1209-0006</t>
  </si>
  <si>
    <t>Стол ученический одноместный регулируемый по высоте с ПВХ кромкой. Столешница ЛДСП 16мм, основание металлокаркас. Размер столешницы 630*450мм.</t>
  </si>
  <si>
    <t>522-101-1209-0007</t>
  </si>
  <si>
    <t>Стол ученический одноместный не регулируемый с ПВХ кромкой. Столешница ЛДСП 16мм, основание металлокаркас.
Размер столешницы 630*450мм</t>
  </si>
  <si>
    <t>Стол ученический одноместный не регулируемый с ПВХ кромкой.
Столешница ЛДСП 16мм, основание металлокаркас. Размер столешницы 630*450мм</t>
  </si>
  <si>
    <t>522-101-1209-0008</t>
  </si>
  <si>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</si>
  <si>
    <t>522-101-1209-0009</t>
  </si>
  <si>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</si>
  <si>
    <t>522-101-1209-0010</t>
  </si>
  <si>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</si>
  <si>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</si>
  <si>
    <t>522-101-1209-0011</t>
  </si>
  <si>
    <t>Стол ученический одноместный регулируемый по высоте с ПВХ кромкой. Столешница ЛДСП 18мм, основание металлокаркас. Размер столешницы 600х500мм</t>
  </si>
  <si>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</si>
  <si>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522-101-1209-0012</t>
  </si>
  <si>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</si>
  <si>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</si>
  <si>
    <t>522-101-1209-0013</t>
  </si>
  <si>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</si>
  <si>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</si>
  <si>
    <t>522-101-1209-0014</t>
  </si>
  <si>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</si>
  <si>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</si>
  <si>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522-101-1209-0015</t>
  </si>
  <si>
    <t>Стол ученический одноместный регулируемый по высоте.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</si>
  <si>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</si>
  <si>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522-101-1209-0016</t>
  </si>
  <si>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</si>
  <si>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</si>
  <si>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522-101-1209-0017</t>
  </si>
  <si>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</si>
  <si>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</si>
  <si>
    <t>522-101-1209-0018</t>
  </si>
  <si>
    <t>Стол ученический одноместный регулируемый по высоте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</si>
  <si>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</si>
  <si>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522-101-1209-0019</t>
  </si>
  <si>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</si>
  <si>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</si>
  <si>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522-101-1209-0020</t>
  </si>
  <si>
    <t>Стол ученический одноместный регулируемый по высоте.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</si>
  <si>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</si>
  <si>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522-101-1209-0021</t>
  </si>
  <si>
    <t>Стол ученический одноместный регулируемый по высоте и наклону столешницы.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</si>
  <si>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</si>
  <si>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522-101-1209-0022</t>
  </si>
  <si>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</si>
  <si>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</si>
  <si>
    <t>522-101-1209-0023</t>
  </si>
  <si>
    <t>Стол ученический одноместный регулируемый по высоте с ПВХ кромкой. Столешница из МДФ 18мм, основание металлокаркас. Размер столешницы 800х500мм</t>
  </si>
  <si>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</si>
  <si>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522-101-1209-0024</t>
  </si>
  <si>
    <t>Стол ученический одноместный для групповых работ. Столешница 730*790мм, ламинированный МДФ 18мм. Каркас из стального профиля 30х30мм</t>
  </si>
  <si>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</si>
  <si>
    <t>522-101-1209-0025</t>
  </si>
  <si>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</si>
  <si>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</si>
  <si>
    <t>522-101-1209-0026</t>
  </si>
  <si>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</si>
  <si>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</si>
  <si>
    <t>522-101-1209-0027</t>
  </si>
  <si>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</si>
  <si>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</si>
  <si>
    <t>522-101-1209-0028</t>
  </si>
  <si>
    <t>Стол ученический одноместный 600х500х760мм. Столешница ЛДСП 22мм, царга из МДФ, каркас из квадратной профильной трубы 30х30мм, кромка ПВХ</t>
  </si>
  <si>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</si>
  <si>
    <t>522-101-1209-0029</t>
  </si>
  <si>
    <t>Стол модульный 995х561х760мм. Столешница ЛДСП 22мм, кромка ПВХ, металлический каркас труба круглая</t>
  </si>
  <si>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</si>
  <si>
    <t>522-101-1209-0030</t>
  </si>
  <si>
    <t>Стол модульный 815х500х760мм. Столешница ЛДСП 16мм, кромка ПВХ, каркас стола цельносварной,  труба профильная 25х25мм</t>
  </si>
  <si>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</si>
  <si>
    <t>522-101-1209-0031</t>
  </si>
  <si>
    <t>Стол модульный для груп 950х950х760мм. Столешница круглая ЛДСП 16мм, кромка ПВХ, металлический каркас труба профильная</t>
  </si>
  <si>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</si>
  <si>
    <t>522-101-1209-0032</t>
  </si>
  <si>
    <t>Стол модульный для груп 600х600х760мм. Столешница квадратная ЛДСП 22мм, кромка ПВХ, металлический каркас труба круглая</t>
  </si>
  <si>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</si>
  <si>
    <t>522-101-1209-0033</t>
  </si>
  <si>
    <t>Стол модульный для груп 600х600х760мм. Столешница круглая ЛДСП 22мм, кромка ПВХ, металлический каркас труба круглая</t>
  </si>
  <si>
    <t>522-101-1209-0034</t>
  </si>
  <si>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</si>
  <si>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</si>
  <si>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522-101-1209-0035</t>
  </si>
  <si>
    <t>Стол ученический одноместный нерегулируемый по высоте с ПВХ кромкой. Столешница ЛДСП 22мм, основание металлокаркас. Размер 700х500х760мм</t>
  </si>
  <si>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</si>
  <si>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522-101-1209-0036</t>
  </si>
  <si>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</si>
  <si>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</si>
  <si>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522-101-1209-0037</t>
  </si>
  <si>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</si>
  <si>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</si>
  <si>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522-101-1209-0038</t>
  </si>
  <si>
    <t>Стол ученический одноместный нерегулируемый по высоте с ПВХ кромкой. Столешница ЛДСП 22мм, основание металлокаркас. Размер 700х600х760мм</t>
  </si>
  <si>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</si>
  <si>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522-101-1209-0039</t>
  </si>
  <si>
    <t>Стол ученический с перегородкой для индивидуальных занятий. Размеры 600х500х750мм. Бенч система с 3х сторон.</t>
  </si>
  <si>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</si>
  <si>
    <t>522-101-1209-0042</t>
  </si>
  <si>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</si>
  <si>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</si>
  <si>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522-101-1209-0043</t>
  </si>
  <si>
    <t>Стол модульный овальный 4-х секционный на 10 учеников, размеры 2600х1300х750 мм, столешница каждого модульного стола из ЛДСП 22мм, кромка ПВХ</t>
  </si>
  <si>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</si>
  <si>
    <t>522-101-1209-0044</t>
  </si>
  <si>
    <t>Стол модульный трапеция одноместный регулируемый, размеры 970х760х750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</si>
  <si>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</si>
  <si>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522-101-1209-0045</t>
  </si>
  <si>
    <t>Стол модульный трехсторонний 3-местный регулируемый, размеры 1200х1300х750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</si>
  <si>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</si>
  <si>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522-101-1209-0046</t>
  </si>
  <si>
    <t>Стол модульный четырехлистник одноместный регулируемый, размеры 810х950х750 мм, столешница из ЛДСП 22 мм, кромка ПВХ</t>
  </si>
  <si>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</si>
  <si>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522-101-1209-0047</t>
  </si>
  <si>
    <t>Стол ученический одноместный пятиугольный, столешница из ЛДСП 22 мм, кромка ПВХ, размеры 703х603х760 мм, основание металлокаркас</t>
  </si>
  <si>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</si>
  <si>
    <t>522-101-1209-0048</t>
  </si>
  <si>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</si>
  <si>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</si>
  <si>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522-101-1209-0049</t>
  </si>
  <si>
    <t>Стол для занятий с выдвижным ящиком, размеры 900х600х830 мм. Столешница из ЛДСП 16 мм, кромка ПВХ, верхняя планка выступает на 80 мм над столешницей</t>
  </si>
  <si>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</si>
  <si>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522-101-1210</t>
  </si>
  <si>
    <t>Стол ученический двухместный</t>
  </si>
  <si>
    <t>522-101-1210-0001</t>
  </si>
  <si>
    <t>Стол  ученический двухместный регулируемый по высоте 1200х500х580/760,ШК 85-13 Р</t>
  </si>
  <si>
    <t>Стол  ученический двухместный регулируемый по высоте. Размер 1200х500х580/760мм. Основание металлокаркас. Столешница ЛДСП 16мм.</t>
  </si>
  <si>
    <t>522-101-1210-0002</t>
  </si>
  <si>
    <t>Стол ученический двухместный 1200х500х760 марки ШК 85-13</t>
  </si>
  <si>
    <t>Стол  ученический двухместный. Размер 1200х500х760мм. Основание металлокаркас квадратного сечения. Столешница ЛДСП 16мм.</t>
  </si>
  <si>
    <t>522-101-1210-0003</t>
  </si>
  <si>
    <t>Стол ученический двухместный 1200х500х760 марки ШК 01-14</t>
  </si>
  <si>
    <t>Стол  ученический двухместный. Размер 1200х500х760мм. Основание металлокаркас круглого сечения. Столешница ЛДСП 16мм.</t>
  </si>
  <si>
    <t>522-101-1210-0004</t>
  </si>
  <si>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</si>
  <si>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</si>
  <si>
    <t>522-101-1210-0005</t>
  </si>
  <si>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</si>
  <si>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</si>
  <si>
    <t>522-101-1210-0006</t>
  </si>
  <si>
    <t>Стол ученический двухместный не регулируемый. Столешница ЛДСП 32мм, основание металлокаркас. Размер столешницы  1200х500х640/710/760 мм</t>
  </si>
  <si>
    <t>Стол ученический двухместный не регулируемый. Столешница ЛДСП 32мм, основание металлокаркас. Размер столешницы 1200х500х640/710/760 мм</t>
  </si>
  <si>
    <t>522-101-1210-0007</t>
  </si>
  <si>
    <t>Стол ученический двухместный регулируемый по высоте с ПВХ кромкой. Столешница ЛДСП 16 мм, основание металлокаркас. Размер столешницы 1200*500мм.</t>
  </si>
  <si>
    <t>522-101-1210-0008</t>
  </si>
  <si>
    <t>Стол ученический двухместный не регулируемый. Столешница 1200*500мм, ЛДСП 16 мм.</t>
  </si>
  <si>
    <t>Стол ученический двухместный не регулируемый. Столешница 1200*500мм, ЛДСП 16 мм. Основание металлокаркас</t>
  </si>
  <si>
    <t>522-101-1210-0009</t>
  </si>
  <si>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</si>
  <si>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</si>
  <si>
    <t>522-101-1210-0010</t>
  </si>
  <si>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</si>
  <si>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</si>
  <si>
    <t>522-101-1210-0011</t>
  </si>
  <si>
    <t>Стол ученический двухместный регулируемый по высоте с ПВХ кромкой. Столешница ЛДСП 18мм, основание металлокаркас. Размер столешницы 1200х500мм</t>
  </si>
  <si>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</si>
  <si>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522-101-1210-0012</t>
  </si>
  <si>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</si>
  <si>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</si>
  <si>
    <t>522-101-1210-0013</t>
  </si>
  <si>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</si>
  <si>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</si>
  <si>
    <t>522-101-1210-0014</t>
  </si>
  <si>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</si>
  <si>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</si>
  <si>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522-101-1210-0015</t>
  </si>
  <si>
    <t>Стол ученический двухместный регулируемый по высоте.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</si>
  <si>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</si>
  <si>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522-101-1210-0016</t>
  </si>
  <si>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</si>
  <si>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</si>
  <si>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522-101-1210-0017</t>
  </si>
  <si>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</si>
  <si>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</si>
  <si>
    <t>522-101-1210-0018</t>
  </si>
  <si>
    <t>Стол ученический двухместный регулируемый по высоте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</si>
  <si>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</si>
  <si>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522-101-1210-0019</t>
  </si>
  <si>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</si>
  <si>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</si>
  <si>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522-101-1210-0020</t>
  </si>
  <si>
    <t>Стол ученический двухместный регулируемый по высоте.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</si>
  <si>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</si>
  <si>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522-101-1210-0021</t>
  </si>
  <si>
    <t>Стол ученический двухместный регулируемый по высоте и наклону столешницы.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</si>
  <si>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</si>
  <si>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522-101-1210-0022</t>
  </si>
  <si>
    <t>Стол ученический двухместный регулируемый по высоте с ПВХ кромкой. Столешница из МДФ 18мм, основание металлокаркас.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</si>
  <si>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</si>
  <si>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522-101-1210-0023</t>
  </si>
  <si>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</si>
  <si>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t>522-101-1210-0024</t>
  </si>
  <si>
    <t>Стол ученический двухместный 1200х500х760мм. Столешница ЛДСП 22мм, царга из МДФ, каркас из квадратной профильной трубы 30х30мм, кромка ПВХ</t>
  </si>
  <si>
    <t>522-101-1210-0025</t>
  </si>
  <si>
    <t>Стол модульный 1400х950х760мм. Столешница ЛДСП 16мм, кромка ПВХ, металлический каркас труба профильная</t>
  </si>
  <si>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</si>
  <si>
    <t>522-101-1210-0026</t>
  </si>
  <si>
    <t>Стол ученический двухместный регулируемый по высоте с ПВХ кромкой. Столешница ЛДСП 16 мм, основание металлокаркас. Размер столешницы 1200х500мм</t>
  </si>
  <si>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</si>
  <si>
    <t>522-101-1210-0027</t>
  </si>
  <si>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</si>
  <si>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</si>
  <si>
    <t>522-101-1210-0028</t>
  </si>
  <si>
    <t>Стол ученический двухместный нерегулируемый трапеция с ПВХ кромкой. Столешница 1300х590х760мм, ЛДСП 16мм, основание металлокаркас</t>
  </si>
  <si>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</si>
  <si>
    <t>522-101-1210-0029</t>
  </si>
  <si>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</si>
  <si>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</si>
  <si>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522-101-1210-0030</t>
  </si>
  <si>
    <t>Стол ученический двухместный нерегулируемый по высоте с ПВХ кромкой. Столешница ЛДСП 22мм, основание металлокаркас. Размер 1200х500х760мм</t>
  </si>
  <si>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</si>
  <si>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522-101-1210-0031</t>
  </si>
  <si>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</si>
  <si>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</si>
  <si>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522-101-1210-0032</t>
  </si>
  <si>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</si>
  <si>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</si>
  <si>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522-101-1210-0033</t>
  </si>
  <si>
    <t>Стол ученический двухместный с бортиками, размер 1100х520х700мм, основание металлокаркас</t>
  </si>
  <si>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</si>
  <si>
    <t>522-101-1210-0037</t>
  </si>
  <si>
    <t>Стол ученический двухместный регулируемый по высоте с ПВХ кромкой. Столешница ЛДСП 22 мм, основание металлокаркас. Размер столешницы 1200х500 мм</t>
  </si>
  <si>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</si>
  <si>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522-101-1210-0038</t>
  </si>
  <si>
    <t>Стол ученический двухместный нерегулируемый по высоте с ПВХ кромкой. Столешница ЛДСП 22 мм, основание металлокаркас. Размер столешницы 1200х600 мм</t>
  </si>
  <si>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</si>
  <si>
    <t>522-101-1210-0039</t>
  </si>
  <si>
    <t>Стол ученический двухместный нерегулируемый по высоте. Столешница ЛДСП 22 мм, основание металлокаркас. Размер столешницы 1200х500 мм</t>
  </si>
  <si>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</si>
  <si>
    <t>522-101-1210-0040</t>
  </si>
  <si>
    <t>Стол с бортиками двухместный, столешница из ЛДСП 22 мм, кромка ПВХ, металлический каркас, размеры 1300х600х760 мм</t>
  </si>
  <si>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</si>
  <si>
    <t>522-101-1211</t>
  </si>
  <si>
    <t>Стол ученический лабораторный без раковины</t>
  </si>
  <si>
    <t>522-101-1211-0001</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</si>
  <si>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</si>
  <si>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</si>
  <si>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522-101-1211-0002</t>
  </si>
  <si>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</si>
  <si>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</si>
  <si>
    <t>522-101-1211-0003</t>
  </si>
  <si>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</si>
  <si>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</si>
  <si>
    <t>522-101-1211-0004</t>
  </si>
  <si>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</si>
  <si>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</si>
  <si>
    <t>522-101-1211-0005</t>
  </si>
  <si>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</si>
  <si>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</si>
  <si>
    <t>522-101-1211-0006</t>
  </si>
  <si>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</si>
  <si>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</si>
  <si>
    <t>522-101-1211-0009</t>
  </si>
  <si>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</si>
  <si>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</si>
  <si>
    <t>522-101-1211-0010</t>
  </si>
  <si>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</si>
  <si>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</si>
  <si>
    <t>522-101-1212</t>
  </si>
  <si>
    <t>Стол для кабинета</t>
  </si>
  <si>
    <t>522-101-1212-0001</t>
  </si>
  <si>
    <t>Стол с бенч-системой одноместный 1180х680х750 мм</t>
  </si>
  <si>
    <t>522-101-1212-0002</t>
  </si>
  <si>
    <t>Стол с бенч-системой одноместный 1380х680х750 мм</t>
  </si>
  <si>
    <t>522-101-1212-0003</t>
  </si>
  <si>
    <t>Стол с бенч-системой одноместный 1580х680х750 мм</t>
  </si>
  <si>
    <t>522-101-1212-0004</t>
  </si>
  <si>
    <t>Стол с бенч-системой одноместный 1780х680х750 мм</t>
  </si>
  <si>
    <t>522-101-1212-0005</t>
  </si>
  <si>
    <t>Стол с бенч-системой одноместный 1180х780х750 мм</t>
  </si>
  <si>
    <t>522-101-1212-0006</t>
  </si>
  <si>
    <t>Стол с бенч-системой одноместный 1380х780х750 мм</t>
  </si>
  <si>
    <t>522-101-1212-0007</t>
  </si>
  <si>
    <t>Стол с бенч-системой одноместный 1580х780х750 мм</t>
  </si>
  <si>
    <t>522-101-1212-0008</t>
  </si>
  <si>
    <t>Стол с бенч-системой одноместный 1780х780х750 мм</t>
  </si>
  <si>
    <t>522-101-1212-0009</t>
  </si>
  <si>
    <t>Стол с бенч-системой 2-х местный 1180х1380х750 мм</t>
  </si>
  <si>
    <t>522-101-1212-0010</t>
  </si>
  <si>
    <t>Стол с бенч-системой 2-х местный 1380х1380х750 мм</t>
  </si>
  <si>
    <t>522-101-1212-0011</t>
  </si>
  <si>
    <t>Стол с бенч-системой 4-х местный 2360х1380х750 мм</t>
  </si>
  <si>
    <t>522-101-1212-0012</t>
  </si>
  <si>
    <t>Стол с бенч-системой 4-х местный 2760х1380х750 мм</t>
  </si>
  <si>
    <t>522-101-1212-0013</t>
  </si>
  <si>
    <t>Стол с бенч-системой 6-ти местный 3540х1380х750 мм</t>
  </si>
  <si>
    <t>522-101-1212-0014</t>
  </si>
  <si>
    <t>Стол с бенч-системой 6-ти местный 4140х1380х750 мм</t>
  </si>
  <si>
    <t>522-101-1212-0015</t>
  </si>
  <si>
    <t>Угловой сегмент 700х700х750мм, ЛДСП 16мм</t>
  </si>
  <si>
    <t>Столешница из ЛДСП 16мм, каркас выполнен из ЛДСП ированной ДСП 16мм. Торцы облицованы  кромкой ПВХ толщиной 2мм.</t>
  </si>
  <si>
    <t>522-101-1212-0016</t>
  </si>
  <si>
    <t>Стол гримировальный с зеркалом 1200х600х750/1200мм. ЛДСП 16мм, 2
выдвижных ящика</t>
  </si>
  <si>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</si>
  <si>
    <t>522-101-1212-0017</t>
  </si>
  <si>
    <t>Стол гримировальный с зеркалом 1200х600х875мм. Столешница из ЛДСП 16мм, основание металло-каркас, выдвижной ящик</t>
  </si>
  <si>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</si>
  <si>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522-101-1213</t>
  </si>
  <si>
    <t>Стол читательский рабочий</t>
  </si>
  <si>
    <t>522-101-1213-0001</t>
  </si>
  <si>
    <t>Стол читательский одноместный 900х600х870 мм. Материал ЛДСП 16 мм</t>
  </si>
  <si>
    <t>Стол читательский одноместный. Материал ЛДСП 16 мм. Боковые стенки имеют полимерные не регулируемые подпятники. Размеры: 900х600х870мм</t>
  </si>
  <si>
    <t>522-101-1213-0002</t>
  </si>
  <si>
    <t>Стол читательский, ЛДСП 16мм, размеры 1400х500х750мм</t>
  </si>
  <si>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</si>
  <si>
    <t>522-101-1213-0003</t>
  </si>
  <si>
    <t>Стол читательский 2-местный, ЛДСП 32мм, каркас металлический, розетки, размер 1800х800х750 мм</t>
  </si>
  <si>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</si>
  <si>
    <t>522-101-1214</t>
  </si>
  <si>
    <t>Стол ученический лабораторный с раковиной</t>
  </si>
  <si>
    <t>522-101-1214-0001</t>
  </si>
  <si>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</si>
  <si>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</si>
  <si>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522-101-1214-0002</t>
  </si>
  <si>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</si>
  <si>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</si>
  <si>
    <t>522-101-1214-0003</t>
  </si>
  <si>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</si>
  <si>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</si>
  <si>
    <t>522-101-1214-0004</t>
  </si>
  <si>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</si>
  <si>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</si>
  <si>
    <t>522-101-1214-0005</t>
  </si>
  <si>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</si>
  <si>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</si>
  <si>
    <t>522-101-1214-0006</t>
  </si>
  <si>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</si>
  <si>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</si>
  <si>
    <t>522-101-1214-0007</t>
  </si>
  <si>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</si>
  <si>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</si>
  <si>
    <t>522-101-1214-0009</t>
  </si>
  <si>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</si>
  <si>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</si>
  <si>
    <t>522-101-1215</t>
  </si>
  <si>
    <t>Стол демонстрационный без раковины</t>
  </si>
  <si>
    <t>522-101-1215-0001</t>
  </si>
  <si>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</si>
  <si>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t>522-101-1215-0002</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</si>
  <si>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</si>
  <si>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</si>
  <si>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522-101-1215-0003</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</si>
  <si>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</si>
  <si>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</si>
  <si>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522-101-1215-0004</t>
  </si>
  <si>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</si>
  <si>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</si>
  <si>
    <t>522-101-1215-0005</t>
  </si>
  <si>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</si>
  <si>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</si>
  <si>
    <t>522-101-1215-0008</t>
  </si>
  <si>
    <t>Стол демонстрационный размеры 1600х750х910 мм, столешница из ЛДСП толщиной 22 мм</t>
  </si>
  <si>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</si>
  <si>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522-101-1215-0009</t>
  </si>
  <si>
    <t>Стол демонстрационный мобильный на колесах, размеры 1500х640х900 мм, столешница ЛДСП 22мм, кромка ПВХ</t>
  </si>
  <si>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</si>
  <si>
    <t>522-101-1216</t>
  </si>
  <si>
    <t>Стол лабораторный</t>
  </si>
  <si>
    <t>522-101-1216-0001</t>
  </si>
  <si>
    <t>Стол лабораторный, столешница постформинг 28мм, основание металлокаркас, ящики, размер 1000х600х850мм (постформиг) СЛ-2</t>
  </si>
  <si>
    <t>522-101-1216-0002</t>
  </si>
  <si>
    <t>Стол лабораторный, столешница постформинг 28мм, основание металлокаркас, декоративные панели, ящик, размер 1500х600х850мм (постформинг)
СЛ-3 (П)</t>
  </si>
  <si>
    <t>Стол лабораторный, столешница постформинг 28мм, основание металлокаркас, декоративные панели, ящик, размер 1500х600х850мм (постформинг) СЛ-3 (П)</t>
  </si>
  <si>
    <t>522-101-1216-0003</t>
  </si>
  <si>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</si>
  <si>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t>522-101-1216-0004</t>
  </si>
  <si>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</si>
  <si>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t>522-101-1216-0005</t>
  </si>
  <si>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</si>
  <si>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</si>
  <si>
    <t>522-101-1216-0007</t>
  </si>
  <si>
    <t>Стол лабораторный двухсторонний для STEM лабораторий, размеры 1500х1300х960 мм, две столешницы с надстройкой, ЛДСП 22 мм, основание металлокаркас</t>
  </si>
  <si>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</si>
  <si>
    <t>522-101-1216-0008</t>
  </si>
  <si>
    <t>Стол ученический двухместный лабораторный, размеры столешницы 1200х600 мм, ЛДСП 22 мм, кромка ПВХ, основание металлокаркас</t>
  </si>
  <si>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</si>
  <si>
    <t>522-101-1217</t>
  </si>
  <si>
    <t>Стол письменный</t>
  </si>
  <si>
    <t>522-101-1217-0001</t>
  </si>
  <si>
    <t>Стол письменый open space 1250х650х750 мм, с эффектом «парящей» столешницы из ЛДСП 22 мм, на сварных П-образных опорах, труба сечением 60х30 мм</t>
  </si>
  <si>
    <t>522-101-1217-0002</t>
  </si>
  <si>
    <t>Стол письменый open space 1250х750х1320 мм, с эффектом «парящей» столешницы из ЛДСП 22 мм, на сварных П-образных опорах, труба сечением 60х30 мм</t>
  </si>
  <si>
    <t>522-101-1217-0003</t>
  </si>
  <si>
    <t>Стол письменый open space 1350х750х1320 мм, с эффектом «парящей» столешницы из ЛДСП 22 мм, на сварных П-образных опорах, труба сечением 60х30 мм</t>
  </si>
  <si>
    <t>522-101-1217-0004</t>
  </si>
  <si>
    <t>Стол письменый open space 1250х750х650 мм, с эффектом «парящей» столешницы из ЛДСП 22 мм, на сварных П-образных опорах, труба сечением 60х30 мм</t>
  </si>
  <si>
    <t>522-101-1217-0005</t>
  </si>
  <si>
    <t>Стол письменый open space 1350х750х650 мм, с эффектом «парящей» столешницы из ЛДСП 22 мм, на сварных П-образных опорах, труба сечением 60х30 мм</t>
  </si>
  <si>
    <t>522-101-1217-0006</t>
  </si>
  <si>
    <t>Стол письменый open space 1600х750х650 мм, с эффектом «парящей» столешницы из ЛДСП 22 мм, на сварных П-образных опорах, труба сечением 60х30 мм</t>
  </si>
  <si>
    <t>522-101-1217-0007</t>
  </si>
  <si>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</si>
  <si>
    <t>522-101-1217-0008</t>
  </si>
  <si>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</si>
  <si>
    <t>522-101-1217-0009</t>
  </si>
  <si>
    <t>Стол письменый open space 1600х750х650 мм, с эффектом «парящей» столешницы из ЛДСП 22 мм, на сварных П-образных опорах, труба сечением 40х40 мм</t>
  </si>
  <si>
    <t>522-101-1217-0010</t>
  </si>
  <si>
    <t>Стол письменый open space 900х750х650 мм, с эффектом «парящей» столешницы из ЛДСП 22 мм, на сварных П-образных опорах, труба сечением 40х40 мм</t>
  </si>
  <si>
    <t>522-101-1217-0011</t>
  </si>
  <si>
    <t>Стол письменый open space 1000х750х650 мм, с эффектом «парящей» столешницы из ЛДСП 22 мм, на сварных П-образных опорах, труба сечением 40х40 мм</t>
  </si>
  <si>
    <t>522-101-1217-0012</t>
  </si>
  <si>
    <t>Стол письменый open space 1100х750х650 мм, с эффектом «парящей» столешницы из ЛДСП 22 мм, на сварных П-образных опорах, труба сечением 40х40 мм</t>
  </si>
  <si>
    <t>522-101-1217-0013</t>
  </si>
  <si>
    <t>Стол письменый open space 1250х750х650 мм, с эффектом «парящей» столешницы из ЛДСП 22 мм, на сварных П-образных опорах, труба сечением 40х40 мм</t>
  </si>
  <si>
    <t>522-101-1217-0014</t>
  </si>
  <si>
    <t>Стол письменый open space 1350х750х650 мм, с эффектом «парящей» столешницы из ЛДСП 22 мм, на сварных П-образных опорах, труба сечением 40х40 мм</t>
  </si>
  <si>
    <t>522-101-1217-0015</t>
  </si>
  <si>
    <t>Стол письменый open space 1250х750х1320 мм,  с эффектом «парящей» столешницы из ЛДСП 22 мм, на сварных П-образных опорах, труба сечением 40х40 мм</t>
  </si>
  <si>
    <t>522-101-1217-0016</t>
  </si>
  <si>
    <t>Стол письменый open space 1350х750х1320 мм,с эффектом «парящей» столешницы из ЛДСП 22 мм, на сварных П-образных опорах труба сечением 40х40 мм.</t>
  </si>
  <si>
    <t>522-101-1217-0017</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</si>
  <si>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</si>
  <si>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522-101-1217-0018</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</si>
  <si>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</si>
  <si>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522-101-1217-0019</t>
  </si>
  <si>
    <t>Стол письменный 1200х600х750мм. Столешница ЛДСП 22мм, царга ЛДСП 16мм, боковые опоры из профильной трубы сечением 40х20мм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</si>
  <si>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</si>
  <si>
    <t>522-101-1217-0020</t>
  </si>
  <si>
    <t>Стол письменный 1350х600х750мм. Столешница ЛДСП 22мм, царга ЛДСП 16мм, боковые опоры из профильной трубы сечением 40х20мм</t>
  </si>
  <si>
    <t>522-101-1217-0021</t>
  </si>
  <si>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</si>
  <si>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522-101-1217-0022</t>
  </si>
  <si>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</si>
  <si>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522-101-1217-0023</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</si>
  <si>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</si>
  <si>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522-101-1217-0024</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</si>
  <si>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</si>
  <si>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522-101-1217-0025</t>
  </si>
  <si>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</si>
  <si>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522-101-1217-0028</t>
  </si>
  <si>
    <t>Стол письменый open space 1600х750х1320 мм, с эффектом «парящей» столешницы из ЛДСП 22 мм, на сварных П-образных опорах, труба сечением 40х40 мм</t>
  </si>
  <si>
    <t>522-101-1217-0029</t>
  </si>
  <si>
    <t>Стол письменный 1500х600х750 мм</t>
  </si>
  <si>
    <t>Стол письменный 1500х600х750 мм. ЛДСП 16мм.</t>
  </si>
  <si>
    <t>522-101-1217-0030</t>
  </si>
  <si>
    <t>Стол письменный 1200х600х750 мм,
материал ЛДСП 16мм, кромка ПВХ</t>
  </si>
  <si>
    <t>Материал корпуса и столешницы из ЛДСП 16мм, кромка ПВХ. Для предотвращения воздействия воды и влаги на стол предусмотрены пластиковые подпятники.</t>
  </si>
  <si>
    <t>522-101-1217-0031</t>
  </si>
  <si>
    <t>Стол письменный 1000х600х750 мм</t>
  </si>
  <si>
    <t>Стол письменный 1000х600х750 мм. ЛДСП 16мм.</t>
  </si>
  <si>
    <t>522-101-1217-0032</t>
  </si>
  <si>
    <t>Стол письменный 1000х500х750 мм</t>
  </si>
  <si>
    <t>Стол письменный 1000х500х750 мм. ЛДСП 16мм.</t>
  </si>
  <si>
    <t>522-101-1217-0033</t>
  </si>
  <si>
    <t>Стол офисный складной типа Suno
1200х600мм</t>
  </si>
  <si>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</si>
  <si>
    <t>522-101-1217-0034</t>
  </si>
  <si>
    <t>Стол письменный 1200х600х750 мм. Материал ЛДСП толщиной 16мм, столешница 32 мм</t>
  </si>
  <si>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</si>
  <si>
    <t>522-101-1217-0035</t>
  </si>
  <si>
    <t>Стол письменный 1200х700х750мм</t>
  </si>
  <si>
    <t>522-101-1217-0036</t>
  </si>
  <si>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</si>
  <si>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</si>
  <si>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522-101-1217-0037</t>
  </si>
  <si>
    <t>Стол письменый open space 1250х650х750 мм, с эффектом «парящей» столешницы из ЛДСП 16 мм, на сварных
О-образныхопорах, труба сечением 60х20х2 мм</t>
  </si>
  <si>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</si>
  <si>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522-101-1217-0038</t>
  </si>
  <si>
    <t>Стол рабочий, размеры 1200х600х750 мм, столешница из ЛДСП толщиной 32 мм, металлический цельносварной каркас</t>
  </si>
  <si>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</si>
  <si>
    <t>522-101-1217-0039</t>
  </si>
  <si>
    <t>Стол рабочий с приставной тумбой, размеры 1950х1500х760 мм, столешница из ЛДСП 22 мм, кромка ПВХ, каркас из профильной трубы</t>
  </si>
  <si>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</si>
  <si>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522-101-1217-0040</t>
  </si>
  <si>
    <t>Стол с надстройкой, столешница из ЛДСП 22 мм, кромка ПВХ, размеры 1200х1400х1134 мм</t>
  </si>
  <si>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</si>
  <si>
    <t>522-101-1217-0041</t>
  </si>
  <si>
    <t>Стол рабочий, столешница из ЛДСП 22 мм, кромка ПВХ, металлический каркас, размеры 1400х1000х760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</si>
  <si>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</si>
  <si>
    <t>522-101-1217-0042</t>
  </si>
  <si>
    <t>Стол рабочий с тумбой, столешница из ЛДСП 22 мм, кромка ПВХ, металлический каркас, размеры 1400х700х760 мм</t>
  </si>
  <si>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</si>
  <si>
    <t>522-101-1217-0043</t>
  </si>
  <si>
    <t>Стол с двумя мобильными тумбами, тремя опорами, бенч система, столешница из ЛДСП 22 мм, кромка ПВХ, каркас металлический, размеры 2750х700х1160 мм</t>
  </si>
  <si>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</si>
  <si>
    <t>522-101-1217-0044</t>
  </si>
  <si>
    <t>Стол рабочий с мобильной тумбой, столешница из ЛДСП 22 мм, кромка ПВХ, металлический каркас, размеры 1400х700х760 мм</t>
  </si>
  <si>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</si>
  <si>
    <t>522-101-1217-0045</t>
  </si>
  <si>
    <t>Стол универсальный,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</si>
  <si>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</si>
  <si>
    <t>522-101-1217-0046</t>
  </si>
  <si>
    <t>Стол с бенч системой, столешница из ЛДСП 22 мм, кромка ПВХ, металлический каркас, размеры 4100х1400х1160 мм</t>
  </si>
  <si>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</si>
  <si>
    <t>522-101-1217-0047</t>
  </si>
  <si>
    <t>Стол с бенч системой, мобильной тумбой, столешница из ЛДСП 22 мм, кромка ПВХ, размеры 1400х700х1160 мм</t>
  </si>
  <si>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</si>
  <si>
    <t>522-101-1217-0048</t>
  </si>
  <si>
    <t>Стол с бенч системой, двумя тумбами, двумя столешницами, соединяющей тумбой, столешница из ЛДСП 22 мм, кромка ПВХ, размеры 3180х680х1150 мм</t>
  </si>
  <si>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</si>
  <si>
    <t>522-101-1217-0049</t>
  </si>
  <si>
    <t>Стол с брифинг приставкой, двумя тумбами, столешница из ЛДСП 22 мм, кромка ПВХ, размеры 2100х1500х760 мм</t>
  </si>
  <si>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</si>
  <si>
    <t>522-101-1217-0050</t>
  </si>
  <si>
    <t>Стол с перфорацией, приставной тумбой, столешница из ЛДСП 22 мм, кромка ПВХ, размеры 1600х1400х760 мм</t>
  </si>
  <si>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</si>
  <si>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522-101-1217-0051</t>
  </si>
  <si>
    <t>Стол с перфорацией,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</si>
  <si>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</si>
  <si>
    <t>522-101-1217-0052</t>
  </si>
  <si>
    <t>Стол с тумбой, столешница из ЛДСП 22мм, размеры 1600х1400х760 мм</t>
  </si>
  <si>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</si>
  <si>
    <t>522-101-1217-0053</t>
  </si>
  <si>
    <t>Стол ведущего телестудии на колесиках, размеры 1800х600х780 мм, столешница из ЛДСП 22 мм, две боковые опоры ЛДСП 32 мм</t>
  </si>
  <si>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</si>
  <si>
    <t>522-101-1217-0054</t>
  </si>
  <si>
    <t>Стол ведущего телестудии с планками, размер 1800х600х780мм, столешница из ЛДСП 22 мм, две боковые опоры ЛДСП 32 мм</t>
  </si>
  <si>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</si>
  <si>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522-101-1218</t>
  </si>
  <si>
    <t>Стол детский</t>
  </si>
  <si>
    <t>522-101-1218-0001</t>
  </si>
  <si>
    <t>Стол детский «Квадратик» М 700х700хН580 (каркас-мет) (3рг)</t>
  </si>
  <si>
    <t>Столешница из  ДСП 16 мм, все углы закруглены. Основание металлокаркас. Размеры: 700х700х Н580мм</t>
  </si>
  <si>
    <t>522-101-1218-0002</t>
  </si>
  <si>
    <t>Стол детский «Квадратик», регулируемый по высоте 700х700х520-640 (2-4рг)</t>
  </si>
  <si>
    <t>Столешница из  ЛДСП 16 мм, все углы закруглены. Стол игровой регулируемый по высоте. Размеры: 700х700хН520-640мм</t>
  </si>
  <si>
    <t>522-101-1218-0003</t>
  </si>
  <si>
    <t>Стол детский размерами 500х700х520 мм</t>
  </si>
  <si>
    <t>Столешница ДСП 16мм. Металлический каркас. Размер 600*800*620мм</t>
  </si>
  <si>
    <t>522-101-1218-0004</t>
  </si>
  <si>
    <t>Стол детский размерами 600х800х620 мм</t>
  </si>
  <si>
    <t>Столешница ДСП 16мм. Металлический каркас. Размер 500*700*520мм</t>
  </si>
  <si>
    <t>522-101-1218-0005</t>
  </si>
  <si>
    <t>Стол детский размерами 750х520 мм</t>
  </si>
  <si>
    <t>Столешница ДСП 16мм. Металлический каркас. Размер 750*520мм</t>
  </si>
  <si>
    <t>522-101-1219</t>
  </si>
  <si>
    <t>Стул полумягкий</t>
  </si>
  <si>
    <t>522-101-1219-0001</t>
  </si>
  <si>
    <t>Основание металлокаркас. Сидение и спинка стула сделаны из фанеры, облицованы мебельной тканью – гобелен</t>
  </si>
  <si>
    <t>522-101-1219-0002</t>
  </si>
  <si>
    <t>Стул полумягкий (Винилискожа)</t>
  </si>
  <si>
    <t>Основание металлокаркас. Сидение и спинка стула сделаны из фанеры, облицованы мебельной тканью – винилискожа</t>
  </si>
  <si>
    <t>522-101-1219-0003</t>
  </si>
  <si>
    <t>Стул полумягкий (ткань меб)</t>
  </si>
  <si>
    <t>Основание металлокаркас. Сидение и спинка стула сделаны из фанеры, облицованы мебельной тканью</t>
  </si>
  <si>
    <t>522-101-1219-0004</t>
  </si>
  <si>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</si>
  <si>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</si>
  <si>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522-101-1219-0005</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</si>
  <si>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</si>
  <si>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</si>
  <si>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522-101-1219-0006</t>
  </si>
  <si>
    <t>Стул полумягкий. Металлический каркас. Размер: 400х465х800мм</t>
  </si>
  <si>
    <t>Металлический каркас. Материал обивки и цвет по согласованию с заказчиком.</t>
  </si>
  <si>
    <t>522-101-1219-0007</t>
  </si>
  <si>
    <t>Стул полумягкий. Каркас металлический. Размер: 460х520х830мм</t>
  </si>
  <si>
    <t>Каркас металлический, цвет черный.  Материал обивки и цвет по согласованию с заказчиком.</t>
  </si>
  <si>
    <t>522-101-1219-0008</t>
  </si>
  <si>
    <t>Стул полумягкий. Каркас металлический крашенный. Размер: 550x600x830мм</t>
  </si>
  <si>
    <t>Каркас металлический крашенный.  Материал обивки и цвет по согласованию с заказчиком.</t>
  </si>
  <si>
    <t>522-101-1219-0009</t>
  </si>
  <si>
    <t>Стул полумягкий. Хромированный каркас. Размер: 550x600x830мм</t>
  </si>
  <si>
    <t>Хромированный каркас. Материал обивки и цвет по согласованию с заказчиком.</t>
  </si>
  <si>
    <t>522-101-1219-0010</t>
  </si>
  <si>
    <t>Стул полумягкий. Материал обивки ткань/эко кожа. Металлический каркас, окрашен порошковой полимерной краской. Размер:410х560х940мм</t>
  </si>
  <si>
    <t>Цвет по согласованию с заказчиком. Допустимая нагрузка до 180 кг.</t>
  </si>
  <si>
    <t>522-101-1219-0011</t>
  </si>
  <si>
    <t>Стул полумягкий. Хромированный каркас, без подлокотников. Материал обивки: экокожа. Размер: 490x500x840мм</t>
  </si>
  <si>
    <t>522-101-1219-0012</t>
  </si>
  <si>
    <t>Стул полумягкий. Металлический каркас черный. Материал обивки- эко кожа. Размер: 510x510x735мм</t>
  </si>
  <si>
    <t>522-101-1219-0013</t>
  </si>
  <si>
    <t>Стул полумягкий. Металлический каркас, хром. Материал обивки- эко кожа. Размер: 510x510x735мм</t>
  </si>
  <si>
    <t>522-101-1219-0014</t>
  </si>
  <si>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</si>
  <si>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t>Ограничение по весу: 120 кг.
Материал обивки: Спинка – сетка, сиденье – ткань</t>
  </si>
  <si>
    <t>522-101-1219-0015</t>
  </si>
  <si>
    <t>Стул полумягкий. Хромированный каркас. Металлические подлокотники с накладками из эко кожи/дерева</t>
  </si>
  <si>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</si>
  <si>
    <t>522-101-1219-0016</t>
  </si>
  <si>
    <t>Стул полумягкий. Металлический каркас, цвет черный. Металлические подлокотники с накладками из дерева/эко.кожи. Размер: 600x560x860мм</t>
  </si>
  <si>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</si>
  <si>
    <t>522-101-1219-0017</t>
  </si>
  <si>
    <t>Стул полумягкий. Материал обивки эко.кожа. Каркас металлический, подлокотники с пластиковыми накладками, полозья черные. Размер: 510х475х870мм</t>
  </si>
  <si>
    <t>Каркас металлический. Пластиковые накладки на подлокотники. Цвет полозьев: черный. Ограничение по весу: 120 кг. Материал обивки: эко.кожа</t>
  </si>
  <si>
    <t>522-101-1219-0018</t>
  </si>
  <si>
    <t>Стул полумягкий. Материал обивки: ткань/эко кожа. Металлические ножки. Размер: 470х420х890мм</t>
  </si>
  <si>
    <t>Металлические ножки с пластиковыми заглушками. Материал обивки: ткань/эко кожа, цвет по согласованию с заказчиком. Ограничение по весу: 120 кг</t>
  </si>
  <si>
    <t>522-101-1219-0019</t>
  </si>
  <si>
    <t>Стул полумягкий. Хромированный каркас, металлические подлокотники с  накладками из эко кожи. Материал обивки: экокожа.
Размер: 620х680х1020мм</t>
  </si>
  <si>
    <t>Хромированный каркас, металлические подлокотники с  накладками из эко кожи. Материал обивки: экокожа</t>
  </si>
  <si>
    <t>522-101-1219-0020</t>
  </si>
  <si>
    <t>Стул полумягкий. Сиденье и спинка из литого полипропиленового пластика, каркас из металлического прута.</t>
  </si>
  <si>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</si>
  <si>
    <t>522-101-1219-0021</t>
  </si>
  <si>
    <t>Стул полумягкий с подлокотниками. Спинка из сетчатой ткани. Сиденье из ткани или искусственной кожи. Металлические
U-образные ножки.</t>
  </si>
  <si>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</si>
  <si>
    <t>522-101-1219-0022</t>
  </si>
  <si>
    <t>Стул полумягкий. Материал основания и спинки пластик, ножки металлические. Размеры 710х570х500 мм</t>
  </si>
  <si>
    <t>Размеры: 710х570х500мм. Стул с пластиковым основанием и порошковым покрытием</t>
  </si>
  <si>
    <t>522-101-1219-0023</t>
  </si>
  <si>
    <t>Стул полумягкий на колесах с пюпитром. Размеры 675*677*710 мм</t>
  </si>
  <si>
    <t>Материал основания: металлическое. Материал сиденья: формованная пена высокой плотности. Цвета: зеленый, оранжевый, синий, черный, серый с пюпитром.</t>
  </si>
  <si>
    <t>522-101-1219-0024</t>
  </si>
  <si>
    <t>Стул полумягкий. Материал сиденья и спинки ткань, ножки хромированные</t>
  </si>
  <si>
    <t>Размеры: 730*400*400 мм.  Цвет по согласованию</t>
  </si>
  <si>
    <t>522-101-1219-0025</t>
  </si>
  <si>
    <t>Стул полумягкий, материал кожзам. Каркас металлический. Размер сиденья: 400х380мм. Размер спинки: 380х390мм</t>
  </si>
  <si>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</si>
  <si>
    <t>522-101-1219-0026</t>
  </si>
  <si>
    <t>Стул полумягкий типа Изо. Каркас металлический цветной. Размер: 435х440х840мм</t>
  </si>
  <si>
    <t>Каркас металлический цветной. Материал обивки и цвет по согласованию с заказчиком.</t>
  </si>
  <si>
    <t>522-101-1219-0027</t>
  </si>
  <si>
    <t>Стул полумягкий типа СМ-7. Каркас металлический цветной. Размер: 460х350х820мм</t>
  </si>
  <si>
    <t>Высота от пола до сиденья 470мм. Каркас металлический цветной.
Заглушки стандартные заглушки</t>
  </si>
  <si>
    <t>522-101-1219-0028</t>
  </si>
  <si>
    <t>Стул полумягкий типа СМ-А. Каркас металлический цветной. Обивка гобелен. Размер: 440х410х970мм</t>
  </si>
  <si>
    <t>Высота от пола до сиденья 460мм. Каркас металлический цветной.</t>
  </si>
  <si>
    <t>522-101-1219-0029</t>
  </si>
  <si>
    <t>Стул полумягкий типа Нино. Каркас металлический цветной. Обивка экокожа. Подлокотники с деревянными накладками. Размер: 420х380х850мм</t>
  </si>
  <si>
    <t>Каркас металлический цветной. Подлокотники деревянные "Винтаж"</t>
  </si>
  <si>
    <t>522-101-1219-0030</t>
  </si>
  <si>
    <t>Стул полумягкий типа Реймс. Каркас металлический цветной. Обивка экокожа. Размер: 520х500х880мм</t>
  </si>
  <si>
    <t>522-101-1219-0031</t>
  </si>
  <si>
    <t>Стул полумягкий типа Пиаф. Каркас металлический цветной. Обивка сетка. Размер: 470х450х840мм</t>
  </si>
  <si>
    <t>Высота от пола до сиденья 470мм. Каркас металлический цветной</t>
  </si>
  <si>
    <t>522-101-1219-0033</t>
  </si>
  <si>
    <t>Стул на металлических круглях ногах, сиденье выполнено из полипропилена, размеры 460х500х780 мм</t>
  </si>
  <si>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</si>
  <si>
    <t>522-101-1219-0034</t>
  </si>
  <si>
    <t>Стул на металлических полозьях, сиденье выполнено из полипропилена, размеры 520х530х780 мм</t>
  </si>
  <si>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</si>
  <si>
    <t>522-101-1220</t>
  </si>
  <si>
    <t>Стул детский</t>
  </si>
  <si>
    <t>522-101-1220-0001</t>
  </si>
  <si>
    <t>Стул детский марки Д-13</t>
  </si>
  <si>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</si>
  <si>
    <t>522-101-1220-0002</t>
  </si>
  <si>
    <t>Стул детский марки Д-21</t>
  </si>
  <si>
    <t>522-101-1220-0003</t>
  </si>
  <si>
    <t>Стул детский марки Д-22</t>
  </si>
  <si>
    <t>522-101-1220-0004</t>
  </si>
  <si>
    <t>Стул детский марки Д02-31</t>
  </si>
  <si>
    <t>Материал : лакированная фанера. Высота 340мм</t>
  </si>
  <si>
    <t>522-101-1220-0005</t>
  </si>
  <si>
    <t>Стул детский «Балакай» размерами 280х230х500 мм</t>
  </si>
  <si>
    <t>Металлический каркас, полимерно-порошковое покрытие, основание фанера, 280*230*580мм</t>
  </si>
  <si>
    <t>522-101-1220-0006</t>
  </si>
  <si>
    <t>Стул детский «Жастар» размерами 320х320х600 мм</t>
  </si>
  <si>
    <t>Металлический каркас, полимерно-порошковое покрытие, основание фанера 320*320*600мм</t>
  </si>
  <si>
    <t>522-101-1221</t>
  </si>
  <si>
    <t>Стул ученический</t>
  </si>
  <si>
    <t>522-101-1221-0001</t>
  </si>
  <si>
    <t>Стул ученический рег ШК2018-100(Р), размер спинки и сиденья согласно ГОСТ СТ РК EN 1729-1-2019</t>
  </si>
  <si>
    <t>Стул ученический регулируемый. Основание металлокаркас. Сиденье и спинка из гнутоклеенной фанеры.</t>
  </si>
  <si>
    <t>522-101-1221-0002</t>
  </si>
  <si>
    <t>Стул ученический рег ШК2020-100(Р), размер спинки и сиденья согласно ГОСТ СТ РК EN 1729-1-2019</t>
  </si>
  <si>
    <t>522-101-1221-0003</t>
  </si>
  <si>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</si>
  <si>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</si>
  <si>
    <t>522-101-1221-0004</t>
  </si>
  <si>
    <t>Стул ученический, сиденье и спинка из полипропилена, каркас металлический</t>
  </si>
  <si>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</si>
  <si>
    <t>522-101-1221-0005</t>
  </si>
  <si>
    <t>Стул ученический лабораторный с регулирующим механизмом, сиденье и спинка из полипропилена</t>
  </si>
  <si>
    <t>522-101-1221-0006</t>
  </si>
  <si>
    <t>Стул ученический, основание металлокаркас, сиденье и спинка из фанеры, размер спинки и сиденья согласно ГОСТ СТ РК EN 1729-1-2019</t>
  </si>
  <si>
    <t>Стул ученический, основание металлокаркас, сиденье и спинка из фанеры</t>
  </si>
  <si>
    <t>522-101-1221-0007</t>
  </si>
  <si>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</si>
  <si>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</si>
  <si>
    <t>522-101-1221-0008</t>
  </si>
  <si>
    <t>Стул ученический типа Suno, сиденье и спинка из высокопрочного пластика. Каркас из металической трубы плоскоовального сечения</t>
  </si>
  <si>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</si>
  <si>
    <t>522-101-1221-0011</t>
  </si>
  <si>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</si>
  <si>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</si>
  <si>
    <t>522-101-1221-0012</t>
  </si>
  <si>
    <t>Стул ученический, сиденье и спинка из высокопрочного пластика. Каркас из металической трубы плоскоовального сечения</t>
  </si>
  <si>
    <t>Материал спинки и сиденья: пластик. Материал каркаса: металл. Размеры: (Ш х В х Г): 380x750x380мм.</t>
  </si>
  <si>
    <t>522-101-1221-0013</t>
  </si>
  <si>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</si>
  <si>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</si>
  <si>
    <t>522-101-1221-0014</t>
  </si>
  <si>
    <t>Стул ученический, сиденье и спинка из полипропилена, сиденье 400х400мм, металлический каркас</t>
  </si>
  <si>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</si>
  <si>
    <t>522-101-1221-0016</t>
  </si>
  <si>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</si>
  <si>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</si>
  <si>
    <t>522-101-1221-0017</t>
  </si>
  <si>
    <t>Стул ученический регулируемый по высоте, основание металлокаркас, сиденье и спинка из фанеры, размер спинки и сиденья согласно ГОСТ СТ РК EN 1729-1-2019</t>
  </si>
  <si>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</si>
  <si>
    <t>522-101-1221-0018</t>
  </si>
  <si>
    <t>Стул ученический, сиденье и спинка из полипропилен, стальные смешанные
V-образные, металлические ножки</t>
  </si>
  <si>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</si>
  <si>
    <t>522-101-1221-0019</t>
  </si>
  <si>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</si>
  <si>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</si>
  <si>
    <t>522-101-1221-0020</t>
  </si>
  <si>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</si>
  <si>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</si>
  <si>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522-101-1221-0021</t>
  </si>
  <si>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</si>
  <si>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</si>
  <si>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522-101-1221-0022</t>
  </si>
  <si>
    <t>Стул ученический лабораторный винтовой. Сиденье из ABS пластика диаметром 300мм, каркас из овальной трубы</t>
  </si>
  <si>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</si>
  <si>
    <t>522-101-1221-0026</t>
  </si>
  <si>
    <t>Стул ученический регулируемый по высоте, основание металлокаркас, спинка и сиденье изготовлены из гнутоклеенной фанеры</t>
  </si>
  <si>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</si>
  <si>
    <t>522-101-1221-0027</t>
  </si>
  <si>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</si>
  <si>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</si>
  <si>
    <t>522-101-1223</t>
  </si>
  <si>
    <t>Стул или кресло для президиума</t>
  </si>
  <si>
    <t>522-101-1223-0001</t>
  </si>
  <si>
    <t>Кресло для конференц-зала типа Suno, крестовина хром, подголовник нерегулируемый, подлокотники хромированные</t>
  </si>
  <si>
    <t>Рекомендованная максимальная нагрузка до 120 кг. Цвет подлокотника и каркаса: белый. Материал обивки: ткань/сетка</t>
  </si>
  <si>
    <t>522-101-1224</t>
  </si>
  <si>
    <t>Кресло руководителя</t>
  </si>
  <si>
    <t>522-101-1224-0001</t>
  </si>
  <si>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</si>
  <si>
    <t>522-101-1224-0002</t>
  </si>
  <si>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</si>
  <si>
    <t>522-101-1224-0003</t>
  </si>
  <si>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</si>
  <si>
    <t>522-101-1224-0004</t>
  </si>
  <si>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</si>
  <si>
    <t>522-101-1224-0005</t>
  </si>
  <si>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</si>
  <si>
    <t>522-101-1224-0006</t>
  </si>
  <si>
    <t>Кресло, модель "Азат". Высота спинки: 760 мм, ширина: 500 мм, длина: 510 мм, материал: крестовина- пластик, подлокотники – пластик Сенатор, обивка – эко-кожа</t>
  </si>
  <si>
    <t>522-101-1224-0007</t>
  </si>
  <si>
    <t>Кресло, модель "Азат". Высота спинки: 760 мм, ширина: 500 мм, глубина: 510 мм, материал: полозья - металл, подлокотники – пластик 818 (эко-кожа), обивка – гобелен, эко-кожа</t>
  </si>
  <si>
    <t>522-101-1224-0008</t>
  </si>
  <si>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</si>
  <si>
    <t>522-101-1224-0009</t>
  </si>
  <si>
    <t>Кресло, модель "Азат". Высота спинки: 760 мм, ширина: 500 мм, глубина: 510 мм, материал: крестовина - пластик d680+JL, подлокотники – пластик 818/1 (эко-кожа), обивка – эко-кожа</t>
  </si>
  <si>
    <t>522-101-1224-0010</t>
  </si>
  <si>
    <t>Кресло, модель "Азат". Высота спинки: 760 мм, ширина: 500 мм, глубина: 510 мм, материал: крестовина - хром, подлокотники – хром, эко-кожа 420, обивка – гобелен,
эко-кожа</t>
  </si>
  <si>
    <t>522-101-1224-0011</t>
  </si>
  <si>
    <t>Кресло, модель "Альберт". Высота спинки: 770 мм, ширина: 500 мм, глубина: 500 мм, материал: крестовина - хром, подлокотники – хром, эко-кожа 420</t>
  </si>
  <si>
    <t>522-101-1224-0012</t>
  </si>
  <si>
    <t>Кресло, модель "Альберт". Высота спинки: 770 мм, ширина: 500 мм, глубина: 500 мм,
материал: крестовина-пластик 680, подлокотники – пластик 818 (эко-кожа)</t>
  </si>
  <si>
    <t>522-101-1224-0013</t>
  </si>
  <si>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</si>
  <si>
    <t>522-101-1224-0014</t>
  </si>
  <si>
    <t>Кресло, модель "Артур №2". Высота спинки: 670 мм, ширина: 500 мм, глубина: 500 мм, материал: крестовина d680, подлокотники – пластик (эко-кожа), обивка –  эко-кожа</t>
  </si>
  <si>
    <t>522-101-1224-0015</t>
  </si>
  <si>
    <t>Кресло, модель "Артур №2". Высота спинки: 670 мм, ширина: 500 мм, глубина: 500 мм, материал: крестовина d680, подлокотники – пластик 818/1 (эко-кожа), обивка –  эко-кожа</t>
  </si>
  <si>
    <t>522-101-1224-0016</t>
  </si>
  <si>
    <t>Кресло экокожа, подлокотники дерево+хром, крестовина хром, высота сиденья регулируется, модель ZETA 879</t>
  </si>
  <si>
    <t>522-101-1224-0017</t>
  </si>
  <si>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</si>
  <si>
    <t>522-101-1224-0018</t>
  </si>
  <si>
    <t>Кресло, модель "Б Директор №2". Высота спинки: 640 мм, ширина: 520 мм, глубина: 490 мм, материал: крестовина – пластик, подлокотники – пластик Сенатор, обивка – гобелен</t>
  </si>
  <si>
    <t>522-101-1224-0019</t>
  </si>
  <si>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</si>
  <si>
    <t>522-101-1224-0020</t>
  </si>
  <si>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</si>
  <si>
    <t>522-101-1224-0021</t>
  </si>
  <si>
    <t>Кресло кожзам с деревянными подлокотниками, крестовина дерево, модель Честерфилд</t>
  </si>
  <si>
    <t>522-101-1224-0022</t>
  </si>
  <si>
    <t>Кресло, модель "Батыр". Высота спинки: 760 мм, ширина: 580 мм, глубина: 550 мм, материал: крестовина – дерево, подлокотники – дерево Ромб, обивка –
эко-кожа</t>
  </si>
  <si>
    <t>522-101-1224-0023</t>
  </si>
  <si>
    <t>Кресло кожзам с пластиковыми подлокотниками, крестовина пластик, модель Уркер 818/1</t>
  </si>
  <si>
    <t>522-101-1224-0024</t>
  </si>
  <si>
    <t>Кресло, модель "Бахыт". Высота спинки: 790 мм, ширина: 510 мм, глубина: 490 мм, материал: крестовина - хром, подлокотники – хром 420, обивка – эко-кожа</t>
  </si>
  <si>
    <t>522-101-1224-0025</t>
  </si>
  <si>
    <t>Кресло, модель "Бахыт". Высота спинки: 790 мм, ширина: 510 мм, глубина: 490 мм, материал: обивка – эко-кожа</t>
  </si>
  <si>
    <t>522-101-1224-0026</t>
  </si>
  <si>
    <t>Кресло, модель "Бахыт". Высота спинки: 790 мм, ширина: 510 мм, глубина: 490 мм, материал: подлокотники – 420 (эко-кожа)</t>
  </si>
  <si>
    <t>522-101-1224-0027</t>
  </si>
  <si>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</si>
  <si>
    <t>522-101-1224-0028</t>
  </si>
  <si>
    <t>Кресло, модель "Вильгельм". Высота спинки: 770 мм, ширина: 500 мм, глубина: 500 мм, материал: крестовина - хром, подлокотники – пластик Сенатор</t>
  </si>
  <si>
    <t>522-101-1224-0029</t>
  </si>
  <si>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</si>
  <si>
    <t>522-101-1224-0030</t>
  </si>
  <si>
    <t>Кресло, модель "Гермес". Высота спинки: 720 мм, ширина: 520 мм, глубина: 490 мм, материал: крестовина - хром+JL, подлокотники – пластик 351/410, обивка – эко-кожа</t>
  </si>
  <si>
    <t>522-101-1224-0031</t>
  </si>
  <si>
    <t>Кресло, модель "Гермес". Высота спинки: 720 мм, ширина: 520 мм, глубина: 490 мм, материал: крестовина - пластик d680+JL, подлокотники – пластик 818/1 (эко-кожа), обивка –  эко-кожа</t>
  </si>
  <si>
    <t>522-101-1224-0032</t>
  </si>
  <si>
    <t>Кресло, модель "Гермес". Высота спинки: 720 мм, ширина: 520 мм, глубина: 490 мм, материал: крестовина - пластик
350-10/350-8, подлокотники – пластик 603/609/613/811, обивка –  эко-кожа</t>
  </si>
  <si>
    <t>522-101-1224-0033</t>
  </si>
  <si>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</si>
  <si>
    <t>522-101-1224-0034</t>
  </si>
  <si>
    <t>Кресло, модель "Деко №2". Высота спинки: 760 мм, ширина: 510 мм, глубина: 500 мм, материал: крестовина - пластик d680+JL 011, подлокотники – пластик 818 (гобелен), обивка – гобелен</t>
  </si>
  <si>
    <t>522-101-1224-0035</t>
  </si>
  <si>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</si>
  <si>
    <t>522-101-1224-0036</t>
  </si>
  <si>
    <t>Кресло, модель "Деко №3". Высота спинки: 760 мм, ширина: 510 мм, глубина: 500 мм, материал: крестовина - пластик d680+JL 011, подлокотники – пластик 818 (гобелен)</t>
  </si>
  <si>
    <t>522-101-1224-0037</t>
  </si>
  <si>
    <t>Кресло, модель "Деко №2". Высота спинки: 760 мм, ширина: 510 мм, глубина: 500 мм, материал: крестовина - пластик d680+JL081, подлокотники – пластик 818 (эко-кожа), обивка – эко-кожа</t>
  </si>
  <si>
    <t>522-101-1224-0038</t>
  </si>
  <si>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</si>
  <si>
    <t>522-101-1224-0039</t>
  </si>
  <si>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</si>
  <si>
    <t>522-101-1224-0040</t>
  </si>
  <si>
    <t>Кресло, модель "Зевс". Высота спинки: 730 мм, ширина: 510 мм, глубина: 500 мм, материал: крестовина - хром; подлокотники – хром (эко-кожа) 420; обивка - эко-кожа</t>
  </si>
  <si>
    <t>522-101-1224-0041</t>
  </si>
  <si>
    <t>Кресло, модель "Зевс". Высота спинки: 730 мм, ширина: 510 мм, глубина: 500 мм, материал: крестовина - пластик 680+рк; подлокотники – 818 (эко-кожа); обивка - эко-кожа</t>
  </si>
  <si>
    <t>522-101-1224-0042</t>
  </si>
  <si>
    <t>Кресло, модель "Зевс". Высота спинки: 730 мм, ширина: 510 мм, глубина: 500 мм, материал: крестовина - пластик d680+JL; подлокотники – 818/1 (эко-кожа); обивка - эко-кожа</t>
  </si>
  <si>
    <t>522-101-1224-0043</t>
  </si>
  <si>
    <t>Кресло, модель "Зевс". Высота спинки: 730 мм, ширина: 510 мм, глубина: 500 мм, материал: крестовина - пластик
№350-10/№350-8, 818; подлокотники – пластик, 603/609/613/811; обивка - эко-кожа</t>
  </si>
  <si>
    <t>522-101-1224-0044</t>
  </si>
  <si>
    <t>Кресло, модель "Каспий". Высота спинки: 800 мм, ширина: 470 мм, глубина: 540 мм, материал: крестовина - хром, обивка – эко кожа</t>
  </si>
  <si>
    <t>522-101-1224-0045</t>
  </si>
  <si>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</si>
  <si>
    <t>522-101-1224-0046</t>
  </si>
  <si>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</si>
  <si>
    <t>522-101-1224-0047</t>
  </si>
  <si>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</si>
  <si>
    <t>522-101-1224-0048</t>
  </si>
  <si>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</si>
  <si>
    <t>522-101-1224-0049</t>
  </si>
  <si>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</si>
  <si>
    <t>522-101-1224-0050</t>
  </si>
  <si>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</si>
  <si>
    <t>522-101-1224-0051</t>
  </si>
  <si>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</si>
  <si>
    <t>522-101-1224-0052</t>
  </si>
  <si>
    <t>Кресло, модель "Маджестик"  . Высота спинки: 660 мм, ширина: 520 мм, глубина: 490 мм, материал: полозья - металл, подлокотники –  пластик Сенатор, обивка – гобелен</t>
  </si>
  <si>
    <t>522-101-1224-0053</t>
  </si>
  <si>
    <t>Кресло, модель "Малибу". Высота спинки: 750 мм, ширина: 520 мм, глубина: 480 мм, материал: крестовина - пластик; подлокотники – пластик Сенатор,906,606; обивка – эко-кожа</t>
  </si>
  <si>
    <t>522-101-1224-0054</t>
  </si>
  <si>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</si>
  <si>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t>Механизм качания с регулировкой под вес и фиксацией в вертикальном положении. Ограничение по весу: 181 кг</t>
  </si>
  <si>
    <t>522-101-1224-0055</t>
  </si>
  <si>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</si>
  <si>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t>Кресло офисное. Механизм качания с регулировкой под вес и фиксацией в вертикальном положении. Ограничение по весу: 120 кг.</t>
  </si>
  <si>
    <t>522-101-1224-0056</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</si>
  <si>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</si>
  <si>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</si>
  <si>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522-101-1224-0057</t>
  </si>
  <si>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</si>
  <si>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</si>
  <si>
    <t>522-101-1224-0058</t>
  </si>
  <si>
    <t>Кресло, регулировка высоты. Крестовина пластик. Подлокотники пластиковые.
Спинка сетчатая. Размер: 490х460х1240мм</t>
  </si>
  <si>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</si>
  <si>
    <t>522-101-1224-0059</t>
  </si>
  <si>
    <t>Кресло, регулировка высоты. Крестовина пластик. Подлокотники пластиковые.
Спинка сетчатая, сиденье ортопедическое. Размер: 500х450х1300мм</t>
  </si>
  <si>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</si>
  <si>
    <t>522-101-1224-0060</t>
  </si>
  <si>
    <t>Кресло, регулировка высоты. Крестовина пластик. Подлокотники пластиковые.
Спинка сетчатая, сиденье ортопедическое. Размер: 450х480х990мм</t>
  </si>
  <si>
    <t>Высота регулируется. Крестовина пластик. Ортопедическое сиденье. Подлокотники пластиковые. Сетчатая спинка. Угол наклона регулируется</t>
  </si>
  <si>
    <t>522-101-1224-0061</t>
  </si>
  <si>
    <t>Кресло, регулировка высоты. Крестовина пластик. Подлокотники пластиковые.
Спинка сетчатая, сиденье ортопедическое. Размер: 500х460х1050мм</t>
  </si>
  <si>
    <t>Высота регулируется. Крестовина пластик. Ортопедическое сиденье.
Подголовник. Подлокотники пластиковые. Сетчатая спинка. Угол наклона регулируется</t>
  </si>
  <si>
    <t>522-101-1225</t>
  </si>
  <si>
    <t>Кресло секционное</t>
  </si>
  <si>
    <t>522-101-1225-0001</t>
  </si>
  <si>
    <t>Кресло для конференц залов Трио мод.СМ82/2</t>
  </si>
  <si>
    <t>Кресло для конференц залов Трио мод.СМ82/2. Трехместная секция.</t>
  </si>
  <si>
    <t>522-101-1225-0002</t>
  </si>
  <si>
    <t>Кресло для конференц залов Тракт мод.СМ82/6</t>
  </si>
  <si>
    <t>Кресло для конференц залов Тракт мод.СМ82/6. Трехместная секция.</t>
  </si>
  <si>
    <t>522-101-1225-0003</t>
  </si>
  <si>
    <t>Кресло для конференц залов Принт мод.СМ82/3</t>
  </si>
  <si>
    <t>Кресло для конференц залов Принт мод.СМ82/3. Трехместная секция.</t>
  </si>
  <si>
    <t>522-101-1225-0004</t>
  </si>
  <si>
    <t>Кресло для конференц залов ИЗО 3-х местн. на раме</t>
  </si>
  <si>
    <t>Кресло для конференц залов ИЗО 3-х местн. на раме. Трехместная секция.
Материал обивки экокожа.</t>
  </si>
  <si>
    <t>522-101-1225-0005</t>
  </si>
  <si>
    <t>Скамья типа Дафне (2-х местная). Каркас металлический цветной, подлокотники с деревянной накладкой, обивка - гобелен. Размер: 1100х440х950мм</t>
  </si>
  <si>
    <t>Каркас металлический цветной, подлокотники с деревянной накладкой, обивка - гобелен. Размер: 1100х440х950мм. Высота от пола до сиденья
500мм.</t>
  </si>
  <si>
    <t>522-101-1225-0006</t>
  </si>
  <si>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</si>
  <si>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</si>
  <si>
    <t>522-101-1225-0007</t>
  </si>
  <si>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</si>
  <si>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</si>
  <si>
    <t>522-101-1225-0008</t>
  </si>
  <si>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</si>
  <si>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</si>
  <si>
    <t>522-101-1225-0009</t>
  </si>
  <si>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</si>
  <si>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</si>
  <si>
    <t>522-101-1227</t>
  </si>
  <si>
    <t>Кресло на колесиках</t>
  </si>
  <si>
    <t>522-101-1227-0001</t>
  </si>
  <si>
    <t>Кресло для персонала PRESTIGE GTP RU Q</t>
  </si>
  <si>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</si>
  <si>
    <t>522-101-1227-0002</t>
  </si>
  <si>
    <t>Кресло офисное МЕТТА SU-BK-8 Pl</t>
  </si>
  <si>
    <t>Каркас кресла: стальной, покрытый  износостойким полимерным материалом. Подлокотники: хромированные стальные,  с мягкими накладками, обитыми Эко кожей</t>
  </si>
  <si>
    <t>522-101-1227-0003</t>
  </si>
  <si>
    <t>Кресло офисное PARMA</t>
  </si>
  <si>
    <t>Механизм подъёма без функции качания. Подлокотник, крестовина и ролики - пластик.</t>
  </si>
  <si>
    <t>522-101-1227-0004</t>
  </si>
  <si>
    <t>Кресло офисное. Материал спинки сетка, сиденье из ткани, крестовина из пластика, подлокотники из мягкого пластика. Размеры 588х920-1020х640 мм</t>
  </si>
  <si>
    <t>Максимальная нагрузка: 120 кг. Наполнитель: пенополиуретан. Цвет черный.</t>
  </si>
  <si>
    <t>522-101-1227-0005</t>
  </si>
  <si>
    <t>Кресло офисное типа Suno, обивка гобелен</t>
  </si>
  <si>
    <t>Высота сиденья регулируемая. Материал: крестовина - пластик; подлокотники – пластик;  обивка – гобелен.</t>
  </si>
  <si>
    <t>522-101-1227-0006</t>
  </si>
  <si>
    <t>Кресло красно-черное типа Suno</t>
  </si>
  <si>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</si>
  <si>
    <t>522-101-1227-0007</t>
  </si>
  <si>
    <t>Кресло офисное типа Suno, обивка эко-кожа</t>
  </si>
  <si>
    <t>Кресло регулиреумое по высоте. Обивка эко-кожа. Высота спинки - не более 670мм</t>
  </si>
  <si>
    <t>522-101-1227-0008</t>
  </si>
  <si>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</si>
  <si>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</si>
  <si>
    <t>522-101-1227-0009</t>
  </si>
  <si>
    <t>Кресло офисное. Ролик из полиуретана, черный газлифт, сетчатая спинка + сиденье из пенополиуретана. Размеры 660 мм*990*660 мм</t>
  </si>
  <si>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</si>
  <si>
    <t>522-101-1227-0010</t>
  </si>
  <si>
    <t>Кресло офисное. Регулировка высоты (газлифт), крестовина и подлокотники пластиковые. Материал обивки: спинка-
сетка, сиденье- ткань. Размер: 480х440х890 мм</t>
  </si>
  <si>
    <t>Пластиковая крестовина. Подлокотники пластиковые. Ограничение по весу: 120 кг.
Материал обивки: спинка- сетка, сиденье- ткань</t>
  </si>
  <si>
    <t>522-101-1227-0011</t>
  </si>
  <si>
    <t>Кресло офисное. Регулировка высоты (газлифт). Подлокотники, крестовина и колеса пластиковые. Материал обивки: эко кожа. Размер: 440х440х870мм.</t>
  </si>
  <si>
    <t>Ограничение по весу: 120 кг.  Материал обивки: эко кожа, цвет черный.</t>
  </si>
  <si>
    <t>522-101-1227-0012</t>
  </si>
  <si>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</si>
  <si>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</si>
  <si>
    <t>522-101-1227-0013</t>
  </si>
  <si>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</si>
  <si>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</si>
  <si>
    <t>522-101-1227-0014</t>
  </si>
  <si>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</si>
  <si>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t>Механизм качания с возможностью фиксации в рабочем положении.
Ограничение по весу: 120 кг.</t>
  </si>
  <si>
    <t>522-101-1227-0015</t>
  </si>
  <si>
    <t>Кресло офисное. Механизм качания. Регулировка высоты (газлифт). Материал обивки: эко.кожа. Размер: 545х475х1140мм</t>
  </si>
  <si>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</si>
  <si>
    <t>522-101-1227-0016</t>
  </si>
  <si>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</si>
  <si>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t>Механизм качания с регулировкой под вес и фиксацией в вертикальном положении. Ограничение по весу: 120 кг.</t>
  </si>
  <si>
    <t>522-101-1227-0017</t>
  </si>
  <si>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</si>
  <si>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t>522-101-1227-0018</t>
  </si>
  <si>
    <t>Кресло офисное. Регулировка высоты (газлифт). Крестовина и подлокотники пластиковые. Материал обивки: спинка – сетка, сиденье – ткань. Размер: 480х440х890мм</t>
  </si>
  <si>
    <t>Крестовина белый пластик. Подлокотники белые пластиковые. Материал обивки: Спинка – сетка, сиденье – ткань. Ограничение по весу: 120 кг</t>
  </si>
  <si>
    <t>522-101-1227-0019</t>
  </si>
  <si>
    <t>Кресло офисное. Механизм качания, регулировка высоты (газлифт), подлокотники и кретовина пластиковые, материал обивки: ткань. Размер: 480х450х1100мм</t>
  </si>
  <si>
    <t>Механизм качания с регулировкой под вес и фиксацией в вертикальном положении. Ограничение по весу: 120 кг</t>
  </si>
  <si>
    <t>522-101-1227-0020</t>
  </si>
  <si>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</si>
  <si>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t>Пружинно-винтовой механизм качания спинки. Крестовина металлическая разборная. Ограничение по весу: 120 кг</t>
  </si>
  <si>
    <t>522-101-1227-0021</t>
  </si>
  <si>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</si>
  <si>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</si>
  <si>
    <t>522-101-1227-0022</t>
  </si>
  <si>
    <t>Кресло офисное регулируемое по высоте, крестовина пластик, материал сиденья ткань, регулируемый подголовник, пластиковые подлокотники</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</si>
  <si>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</si>
  <si>
    <t>522-101-1227-0023</t>
  </si>
  <si>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</si>
  <si>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t>Размеры: глубина 660мм, ширина 650мм, высота 1080мм. Без подголовника. Максимальная нагрузка: 120 кг. Наполнитель: пена полиуритан. Цвет: черный. Регулировка высоты.</t>
  </si>
  <si>
    <t>522-101-1227-0024</t>
  </si>
  <si>
    <t>Кресло офисное. Материал спинки сетка, сиденье из ткани, крестовина из пластика, подлокотники из мягкого пластика</t>
  </si>
  <si>
    <t>Без подголовника. Максимальная нагрузка: 120 кг. Наполнитель: пена полиуритан. Цвет: черный</t>
  </si>
  <si>
    <t>522-101-1227-0025</t>
  </si>
  <si>
    <t>Кресло офисное. Материал спинки и подголовника сетка, сиденье из ткани, крестовина из пластика, подлокотники из мягкого пластика</t>
  </si>
  <si>
    <t>С подголовником. Максимальная нагрузка: 140 кг. Наполнитель: пена полиуритан. Цвет: черный</t>
  </si>
  <si>
    <t>522-101-1227-0026</t>
  </si>
  <si>
    <t>Кресло офисное типа SU - CS - 9. Регулировка высоты, крестовина и подлокотники пластиковые. Материал обивки: спинка- сетка, сиденье- ткань</t>
  </si>
  <si>
    <t>Пластиковая крестовина. Подлокотники пластиковые. Ограничение по весу: 90 кг. Материал обивки: спинка- сетка, сиденье- ткань.</t>
  </si>
  <si>
    <t>522-101-1229</t>
  </si>
  <si>
    <t>Шкаф для одежды</t>
  </si>
  <si>
    <t>522-101-1229-0001</t>
  </si>
  <si>
    <t>Шкаф для одежды двухсекционный с вытяжным патрубком 800х500х2000 мм</t>
  </si>
  <si>
    <t>522-101-1229-0002</t>
  </si>
  <si>
    <t>Шкаф для одежды 800х540х1930 мм</t>
  </si>
  <si>
    <t>Шкаф для одежды 800х540х1930 мм. Несущие части, полки, фасадная часть – ЛДСП 16 мм</t>
  </si>
  <si>
    <t>522-101-1229-0003</t>
  </si>
  <si>
    <t>Шкаф для одежды 800х540х1950 мм</t>
  </si>
  <si>
    <t>522-101-1229-0004</t>
  </si>
  <si>
    <t>Шкаф для одежды 800х450х1800 мм</t>
  </si>
  <si>
    <t>Шкаф для одежды 800х450х1800 мм. ЛДСП 16мм. Полки для одежды и головного убора.</t>
  </si>
  <si>
    <t>522-101-1229-0005</t>
  </si>
  <si>
    <t>Шкаф для одежды 600х450х1800 мм</t>
  </si>
  <si>
    <t>Шкаф для одежды 600х450х1800 мм. ЛДСП 16мм. Полка для головного убора и перекладина.</t>
  </si>
  <si>
    <t>522-101-1229-0006</t>
  </si>
  <si>
    <t>Шкаф для одежды 1000х450х1800 мм</t>
  </si>
  <si>
    <t>Шкаф для одежды 1000х450х1800 мм. ЛДСП 16мм. Полка для головного убора и перекладина.</t>
  </si>
  <si>
    <t>522-101-1229-0007</t>
  </si>
  <si>
    <t>Шкаф для одежды 4-х секционный 1200х400х1450 мм</t>
  </si>
  <si>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</si>
  <si>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522-101-1229-0008</t>
  </si>
  <si>
    <t>Шкаф для одежды 5-ти секционный 1500х400х1450 мм</t>
  </si>
  <si>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</si>
  <si>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522-101-1229-0009</t>
  </si>
  <si>
    <t>Шкаф для одежды 849х376х1835 мм</t>
  </si>
  <si>
    <t>Шкаф для одежды 849х376х1835 мм. ЛДСП 16мм. Полка для головного убора, перекладина, полки для одежды, 2 дверцы</t>
  </si>
  <si>
    <t>522-101-1229-0010</t>
  </si>
  <si>
    <t>Шкаф металлический для одежды двухсекционный, размер 600x500x1860 мм</t>
  </si>
  <si>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</si>
  <si>
    <t>522-101-1229-0011</t>
  </si>
  <si>
    <t>Шкаф для одежды 600х400х2000 мм</t>
  </si>
  <si>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</si>
  <si>
    <t>522-101-1229-0012</t>
  </si>
  <si>
    <t>Шкаф для одежды, верхняя секция с двумя полками, нижняя секция с четырьмя ящиками, размер 850х450х2000мм</t>
  </si>
  <si>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</si>
  <si>
    <t>522-101-1229-0013</t>
  </si>
  <si>
    <t>Шкаф для одежды 13-ти секционный, размеры одной секции 500х450х1200мм</t>
  </si>
  <si>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</si>
  <si>
    <t>522-101-1229-0014</t>
  </si>
  <si>
    <t>Шкаф для одежды 300х500х1860 мм на металлокаркасе (секционный)</t>
  </si>
  <si>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</si>
  <si>
    <t>522-101-1229-0015</t>
  </si>
  <si>
    <t>Шкаф для одежды 5-ти секционный, ЛДСП 16мм, металиический каркас, размер 1375х500х1250мм</t>
  </si>
  <si>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</si>
  <si>
    <t>522-101-1229-0016</t>
  </si>
  <si>
    <t>Шкаф для одежды 4-хсекционный 1200х400х1450 мм, материал корпуса, полок и дверей ЛДСП 16мм, задняя стенка МДФ 5мм</t>
  </si>
  <si>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</si>
  <si>
    <t>522-101-1229-0017</t>
  </si>
  <si>
    <t>Шкаф для одежды 5-тисекционный 1500х400х1450 мм, материал корпуса, полок и дверей ЛДСП 16мм, задняя стенка МДФ 5мм</t>
  </si>
  <si>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</si>
  <si>
    <t>522-101-1229-0018</t>
  </si>
  <si>
    <t>Шкаф для одежды 800х540х1930 мм, материал корпуса, полок и дверей ЛДСП 16мм, задняя стенка МДФ 5мм</t>
  </si>
  <si>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</si>
  <si>
    <t>522-101-1229-0019</t>
  </si>
  <si>
    <t>Шкаф для одежды 600х380х2100мм</t>
  </si>
  <si>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</si>
  <si>
    <t>522-101-1229-0020</t>
  </si>
  <si>
    <t>Шкаф для одежды 800х500х1970мм</t>
  </si>
  <si>
    <t>Ширина - 800мм, глубина - 500мм, высота 1970мм. Шкаф выполнен из ЛДСП 16мм. Торцы облицованы ударопрочной кромкой ПВХ толщиной 2мм. Ручки металлические.</t>
  </si>
  <si>
    <t>522-101-1229-0021</t>
  </si>
  <si>
    <t>Шкаф для одежды 4-х секционный 1296х352х1365 мм</t>
  </si>
  <si>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</si>
  <si>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522-101-1229-0022</t>
  </si>
  <si>
    <t>Шкаф для одежды 800х500х2000мм</t>
  </si>
  <si>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</si>
  <si>
    <t>522-101-1229-0023</t>
  </si>
  <si>
    <t>Шкаф для одежды 4-хсекционный 1500х600х1800мм, материал корпуса, полок и дверей ЛДСП 16мм</t>
  </si>
  <si>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</si>
  <si>
    <t>522-101-1229-0025</t>
  </si>
  <si>
    <t>Шкаф для одежды 800х420х1930 мм. ЛДСП 16мм. Полки закрытые. Задняя стенка из ламинированного МДФ 5 мм</t>
  </si>
  <si>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</si>
  <si>
    <t>522-101-1229-0026</t>
  </si>
  <si>
    <t>Шкаф для одежды 800х430х1800мм. Материал корпуса, полок и дверей ЛДСП 16 мм. Задняя стенка из ламинированного МДФ 5 мм</t>
  </si>
  <si>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</si>
  <si>
    <t>522-101-1229-0027</t>
  </si>
  <si>
    <t>Шкаф для одежды. Размер 800х540х1930. Материал корпуса, полок и дверей из ЛДСП 16 мм. Задняя стенка из МДФ 5мм</t>
  </si>
  <si>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</si>
  <si>
    <t>522-101-1229-0029</t>
  </si>
  <si>
    <t>Шкаф для одежды 2-х дверный, ЛДСП 16 мм, размеры 800х540х1930 мм</t>
  </si>
  <si>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</si>
  <si>
    <t>522-101-1229-0030</t>
  </si>
  <si>
    <t>Шкаф для одежды, размеры 600х450х1950 мм. ЛДСП 16 мм, кромка ПВХ, одна дверь</t>
  </si>
  <si>
    <t>Корпус, толщина 16мм выполнены из ЛДСП, кромка ПВХ не менее 1мм в цвет ЛДСП. Задняя стенка ДВПО. Ножки черные пластиковые регулируемые H-27мм.</t>
  </si>
  <si>
    <t>522-101-1229-0031</t>
  </si>
  <si>
    <t>Шкаф для одежды, размеры 600х580х1950 мм. ЛДСП 16 мм, кромка ПВХ</t>
  </si>
  <si>
    <t>522-101-1229-0032</t>
  </si>
  <si>
    <t>Шкаф для одежды, размеры 800х450х1950 мм. ЛДСП 16 мм, кромка ПВХ, две двери</t>
  </si>
  <si>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</si>
  <si>
    <t>522-101-1229-0033</t>
  </si>
  <si>
    <t>Шкаф для одежды, размеры 800х580х1950 мм. ЛДСП 16 мм, кромка ПВХ, две двери</t>
  </si>
  <si>
    <t>522-101-1229-0034</t>
  </si>
  <si>
    <t>Шкаф-локер, размеры 400х450х1598 мм, 4 распашные двери, ЛДСП 16 мм, кромка ПВХ</t>
  </si>
  <si>
    <t>Корпус, толщина 16мм выполнены из ЛДСП, кромка ПВХ не менее 1мм в цвет ЛДСП. Задняя стенка ЛДСП. распашные двери</t>
  </si>
  <si>
    <t>522-101-1231</t>
  </si>
  <si>
    <t>Шкаф закрытый</t>
  </si>
  <si>
    <t>522-101-1231-0001</t>
  </si>
  <si>
    <t>Шкаф закрытый 800х420х1930 мм. ЛДСП
16мм. Полки закрытые</t>
  </si>
  <si>
    <t>522-101-1231-0002</t>
  </si>
  <si>
    <t>Шкаф закрытый 800х400х1802 мм. ЛДСП
16мм. Полки закрытые</t>
  </si>
  <si>
    <t>522-101-1231-0003</t>
  </si>
  <si>
    <t>Шкаф закрытый 800х400х1452 мм. ЛДСП
16мм. Полки закрытые</t>
  </si>
  <si>
    <t>522-101-1231-0004</t>
  </si>
  <si>
    <t>Шкаф закрытый 800х400х750мм. ЛДСП
16мм. Полки закрытые</t>
  </si>
  <si>
    <t>Шкаф закрытый 800х400х750мм. ЛДСП 16мм. Полки закрытые</t>
  </si>
  <si>
    <t>522-101-1231-0005</t>
  </si>
  <si>
    <t>Шкаф инструментальный 1000х500х2000
мм. ЛДСП 16мм. Полки закрытые</t>
  </si>
  <si>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</si>
  <si>
    <t>522-101-1231-0006</t>
  </si>
  <si>
    <t>Шкаф закрытый для плакатов (карт) низкий
1200х400х800мм. ЛДСП 16мм</t>
  </si>
  <si>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</si>
  <si>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522-101-1231-0007</t>
  </si>
  <si>
    <t>Шкаф для документов закрытый
400х450х422мм,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</si>
  <si>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</si>
  <si>
    <t>522-101-1231-0008</t>
  </si>
  <si>
    <t>Шкаф для документов закрытый
800х450х422мм,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</si>
  <si>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</si>
  <si>
    <t>522-101-1231-0009</t>
  </si>
  <si>
    <t>Шкаф для документов закрытый 800х450х422мм, 4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</si>
  <si>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</si>
  <si>
    <t>522-101-1231-0010</t>
  </si>
  <si>
    <t>Шкаф для документов закрытый 800х450х422мм, 1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</si>
  <si>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</si>
  <si>
    <t>522-101-1231-0011</t>
  </si>
  <si>
    <t>Шкаф для документов закрытый 1200х450х422мм, 3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</si>
  <si>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</si>
  <si>
    <t>522-101-1231-0012</t>
  </si>
  <si>
    <t>Шкаф для документов закрытый 1200х450х422мм, две распашные двери,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</si>
  <si>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</si>
  <si>
    <t>522-101-1231-0013</t>
  </si>
  <si>
    <t>Шкаф для документов закрытый 1200х450х422мм,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</si>
  <si>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</si>
  <si>
    <t>522-101-1231-0014</t>
  </si>
  <si>
    <t>Шкаф для документов закрытый 800х450х814мм, четыре выдвижных ящика, ЛДСП 16мм</t>
  </si>
  <si>
    <t>522-101-1231-0015</t>
  </si>
  <si>
    <t>Шкаф для документов закрытый 800х450х814мм, восемь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</si>
  <si>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</si>
  <si>
    <t>522-101-1231-0016</t>
  </si>
  <si>
    <t>Шкаф для документов закрытый 1200х450х814мм, три распашные двери,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</si>
  <si>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</si>
  <si>
    <t>522-101-1231-0017</t>
  </si>
  <si>
    <t>Шкаф для документов закрытый 400х450х1200мм, 3 распашные двери, ЛДСП 16мм</t>
  </si>
  <si>
    <t>522-101-1231-0018</t>
  </si>
  <si>
    <t>Шкаф для документов закрытый 800х450х1200мм,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</si>
  <si>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</si>
  <si>
    <t>522-101-1231-0019</t>
  </si>
  <si>
    <t>Шкаф для документов закрытый 1200х450х1206мм, 9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</si>
  <si>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</si>
  <si>
    <t>522-101-1231-0020</t>
  </si>
  <si>
    <t>Шкаф для документов закрытый 400х450х1598мм,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</si>
  <si>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</si>
  <si>
    <t>522-101-1231-0021</t>
  </si>
  <si>
    <t>Шкаф для документов закрытый 800х450х1598мм,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</si>
  <si>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</si>
  <si>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522-101-1231-0022</t>
  </si>
  <si>
    <t>Шкаф для документов закрытый 800х450х1598мм, 4 распашные двери, полки, ЛДСП 16мм</t>
  </si>
  <si>
    <t>522-101-1231-0023</t>
  </si>
  <si>
    <t>Шкаф для документов закрытый 800х450х1598мм, 8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</si>
  <si>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</si>
  <si>
    <t>522-101-1231-0024</t>
  </si>
  <si>
    <t>Шкаф для документов закрытый 1200х450х1598мм, 12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</si>
  <si>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</si>
  <si>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522-101-1231-0025</t>
  </si>
  <si>
    <t>Шкаф для документов закрытый 400х450х1990мм, 1 распашная дверь,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</si>
  <si>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</si>
  <si>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522-101-1231-0026</t>
  </si>
  <si>
    <t>Шкаф для документов закрытый 800х450х1990мм,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</si>
  <si>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</si>
  <si>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522-101-1231-0027</t>
  </si>
  <si>
    <t>Шкаф для документов закрытый 800х450х1990мм, 4 распашные двери, полки, ЛДСП 16мм</t>
  </si>
  <si>
    <t>522-101-1231-0028</t>
  </si>
  <si>
    <t>Шкаф для документов закрытый 800х380х1970мм. ЛДСП 16мм</t>
  </si>
  <si>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</si>
  <si>
    <t>522-101-1231-0029</t>
  </si>
  <si>
    <t>Шкаф для хранения игрушек и пособий закрытый 600х500х1850мм, снизу четыре выдвижные полки, сверху две распашные двери, ЛДСП 16 мм</t>
  </si>
  <si>
    <t>Шкаф для хранения игрушек и пособий 600х500х1850мм, ЛДСП 16 мм, кромка ПВХ. Снизу четыре выдвижные полки, сверху 2 распашные двери (4 полки).</t>
  </si>
  <si>
    <t>522-101-1231-0030</t>
  </si>
  <si>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</si>
  <si>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</si>
  <si>
    <t>522-101-1231-0031</t>
  </si>
  <si>
    <t>Шкаф для документов закрытый 1240х600х3500мм, 2 распашные двери, корпус, полки и двери из ЛДСП 16мм, задняя стенка из ламинированного МДФ 5 мм</t>
  </si>
  <si>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</si>
  <si>
    <t>522-101-1231-0036</t>
  </si>
  <si>
    <t>Шкаф для плакатов и карт (низкий), 5 вертикальных отделов, ЛДСП 16 мм, размеры 1100х445х1630 мм</t>
  </si>
  <si>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</si>
  <si>
    <t>522-101-1232</t>
  </si>
  <si>
    <t>Шкаф закрытый полуостекленный</t>
  </si>
  <si>
    <t>522-101-1232-0001</t>
  </si>
  <si>
    <t>Шкаф закрытый полуостекленный 800х400х1800 мм</t>
  </si>
  <si>
    <t>Шкаф закрытый полуостекленный 800х400х1800 мм. Корпус ЛДСП 16мм. Фасады верх - стекло, прозрачное, в рамке МДФ.  Полки - ЛДСП 16мм</t>
  </si>
  <si>
    <t>522-101-1232-0002</t>
  </si>
  <si>
    <t>Шкаф закрытый полуостекленный 800х400х1450 мм</t>
  </si>
  <si>
    <t>Шкаф закрытый полуостекленный 800х400х1450 мм. Корпус ЛДСП 16мм. Фасады верх - стекло, прозрачное, в рамке МДФ.  Полки - ЛДСП 16мм</t>
  </si>
  <si>
    <t>522-101-1232-0003</t>
  </si>
  <si>
    <t>Шкаф закрытый полуостекленный 849х376х1835мм , полуоткрытый со стеклом,4 полки, 4 дверцы, регулируемые ножки, ЛДСП 16мм</t>
  </si>
  <si>
    <t>Шкаф закрытый полуостекленный 849х376х1835мм. Корпус ЛДСП 16мм.
Верх стекло, низ закрытый. Полки - ЛДСП 16мм</t>
  </si>
  <si>
    <t>522-101-1232-0004</t>
  </si>
  <si>
    <t>Шкаф закрытый полуостекленный
755х356х2000мм</t>
  </si>
  <si>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</si>
  <si>
    <t>522-101-1232-0005</t>
  </si>
  <si>
    <t>Шкаф закрытый полуостекленный
850х400х2000 мм</t>
  </si>
  <si>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</si>
  <si>
    <t>522-101-1232-0006</t>
  </si>
  <si>
    <t>Шкаф закрытый полуостекленный 800х400х1800мм. ЛДСП 16мм. Верхние двери в алюминиевом профиле, стекло бесцветное. Задняя стенка из МДФ 5мм</t>
  </si>
  <si>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</si>
  <si>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522-101-1232-0008</t>
  </si>
  <si>
    <t>Шкаф полуостекленный, стело в рамке, материал ЛДСП 16 мм, размеры 800х420х1930 мм</t>
  </si>
  <si>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</si>
  <si>
    <t>522-101-1233</t>
  </si>
  <si>
    <t>Шкаф для учебно-наглядных пособий</t>
  </si>
  <si>
    <t>522-101-1233-0001</t>
  </si>
  <si>
    <t>Шкаф для учебно-наглядных пособий полуоткрытый с открытыми верхними полками и закрытой нижней частью. Размер 600х350х1400мм. ЛДСП 16мм.</t>
  </si>
  <si>
    <t>Шкаф для учебно-наглядных пособий полуоткрытый с открытыми верхними полками и закрытой нижней частью. Размер 600х350х1400мм.
ЛДСП 16мм.</t>
  </si>
  <si>
    <t>522-101-1233-0002</t>
  </si>
  <si>
    <t>Шкаф книжный полуоткрытый с открытыми верхними полками и закрытой нижней частью. Размер 800х520х1800мм. ЛДСП 16мм.</t>
  </si>
  <si>
    <t>522-101-1233-0003</t>
  </si>
  <si>
    <t>Шкаф для документов с полками закрытый,
размер 800х450х1800мм, ЛДСП 16мм.</t>
  </si>
  <si>
    <t>Шкаф для документов с полками закрытый, размер 800х450х1800мм, ЛДСП 16мм.</t>
  </si>
  <si>
    <t>522-101-1233-0004</t>
  </si>
  <si>
    <t>Шкаф для учебно-наглядных пособий полуоткрытый. Размер 800х400х2050мм/800х450х2050мм. ЛДСП
16мм.</t>
  </si>
  <si>
    <t>Шкаф для учебно-наглядных пособий полуоткрытый. Размер 800х400х2050мм/800х450х2050мм. ЛДСП 16мм.</t>
  </si>
  <si>
    <t>522-101-1233-0005</t>
  </si>
  <si>
    <t>Шкаф книжный полуоткрытый с открытыми верхними полками и закрытой нижней частью. Размер 800х380х2000мм. ЛДСП 16мм.</t>
  </si>
  <si>
    <t>522-101-1233-0006</t>
  </si>
  <si>
    <t>Шкаф для документов с полками закрытый, размер 849х376х1835мм, ЛДСП 16мм</t>
  </si>
  <si>
    <t>Шкаф для документов с полками закрытый, размер 849х376х1835мм, ЛДСП 16мм. 4 глухие двери.</t>
  </si>
  <si>
    <t>522-101-1233-0007</t>
  </si>
  <si>
    <t>Шкаф для документов с полками закрытый, размер 800х380х2000мм, ЛДСП 16мм</t>
  </si>
  <si>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</si>
  <si>
    <t>522-101-1233-0008</t>
  </si>
  <si>
    <t>Шкаф многофункциональный с открытыми верхними полками и закрытой нижней частью. Размер 1200х400х2300мм. ЛДСП 16мм.</t>
  </si>
  <si>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</si>
  <si>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522-101-1233-0009</t>
  </si>
  <si>
    <t>Шкаф полуоткрытый с открытыми верхними полками и закрытой нижней частью. Размер 850х400х2000мм. ЛДСП 16мм.</t>
  </si>
  <si>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</si>
  <si>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522-101-1233-0010</t>
  </si>
  <si>
    <t>Шкаф закрытый 800х432х2050мм. ЛДСП 16мм, задняя стенка МДФ 5мм</t>
  </si>
  <si>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</si>
  <si>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522-101-1233-0011</t>
  </si>
  <si>
    <t>Шкаф для документов полуоткрытый 800х450х422мм, одна из двух частей закрыта распашной дверью, ЛДСП 16мм</t>
  </si>
  <si>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</si>
  <si>
    <t>522-101-1233-0012</t>
  </si>
  <si>
    <t>Шкаф для документов полуоткрытый 1200х450х814мм, четыре открытые полки, один распашной фасад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</si>
  <si>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</si>
  <si>
    <t>522-101-1233-0013</t>
  </si>
  <si>
    <t>Шкаф для документов полуоткрытый 1200х450х814мм, верхние полки открытые, в нижней части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</si>
  <si>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</si>
  <si>
    <t>522-101-1233-0014</t>
  </si>
  <si>
    <t>Шкаф для документов полуоткрытый 1200х450х814мм, по центру открытые полки, по двум сторонам 4 полки за распашными фасадами, ЛДСП 16мм</t>
  </si>
  <si>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</si>
  <si>
    <t>522-101-1233-0015</t>
  </si>
  <si>
    <t>Шкаф для документов полуоткрытый 400х450х1200мм, верхняя часть открытая, в нижней части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</si>
  <si>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</si>
  <si>
    <t>522-101-1233-0016</t>
  </si>
  <si>
    <t>Шкаф для документов полуоткрытый 400х450х1200мм, верхняя часть открытая,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</si>
  <si>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</si>
  <si>
    <t>522-101-1233-0017</t>
  </si>
  <si>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</si>
  <si>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</si>
  <si>
    <t>522-101-1233-0018</t>
  </si>
  <si>
    <t>Шкаф для документов полуоткрытый 800х450х1200мм, одна часть с открытыми полками, вторая часть закрыта тремя распашными дверями, ЛДСП 16мм</t>
  </si>
  <si>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</si>
  <si>
    <t>522-101-1233-0019</t>
  </si>
  <si>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</si>
  <si>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</si>
  <si>
    <t>522-101-1233-0020</t>
  </si>
  <si>
    <t>Шкаф для документов полуоткрытый 1200х450х1206мм, шесть распашных дверей 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</si>
  <si>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</si>
  <si>
    <t>522-101-1233-0021</t>
  </si>
  <si>
    <t>Шкаф для документов полуоткрытый 1200х450х1206мм, имеет сверху и снизу шесть распашных дверей, по центру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</si>
  <si>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</si>
  <si>
    <t>522-101-1233-0022</t>
  </si>
  <si>
    <t>Шкаф для документов полуоткрытый 1200х450х1206мм, имеет три распашные двери, расположенные по диагонали,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</si>
  <si>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</si>
  <si>
    <t>522-101-1233-0023</t>
  </si>
  <si>
    <t>Шкаф для документов полуоткрытый 1200х450х1206мм, пять распашных дверей в шахматном порядке,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</si>
  <si>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</si>
  <si>
    <t>522-101-1233-0024</t>
  </si>
  <si>
    <t>Шкаф для документов полуоткрытый 400х450х1598мм, имеет два выдвижных ящика в нижней части, открытые верхние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</si>
  <si>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</si>
  <si>
    <t>522-101-1233-0025</t>
  </si>
  <si>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</si>
  <si>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</si>
  <si>
    <t>522-101-1233-0026</t>
  </si>
  <si>
    <t>Шкаф для документов полуоткрытый 800х450х1598мм, две распашные двери в нижней части, верхние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</si>
  <si>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</si>
  <si>
    <t>522-101-1233-0027</t>
  </si>
  <si>
    <t>Шкаф для документов полуоткрытый 800х450х1598мм, две распашные двери в нижней части шкафа, четыре верхних открытых отделения, ЛДСП 16мм</t>
  </si>
  <si>
    <t>Корпус выполнен из ЛДСП, толщиной 16мм, кромка ПВХ не менее 1мм в цвет ЛДСП. Фасады  ЛДСП 16мм. Задняя стенка ДВПО. Ножки черные плас. рег. H-27мм 8</t>
  </si>
  <si>
    <t>522-101-1233-0028</t>
  </si>
  <si>
    <t>Шкаф для документов полуоткрытый 800х450х1598мм, четыре распашных двери и четыре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</si>
  <si>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</si>
  <si>
    <t>522-101-1233-0029</t>
  </si>
  <si>
    <t>Шкаф для документов полуоткрытый 800х450х1598мм, одна распашная дверь, два выдвижных ящика, две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</si>
  <si>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</si>
  <si>
    <t>522-101-1233-0030</t>
  </si>
  <si>
    <t>Шкаф для документов полуоткрытый 1200х450х1598мм, две распашные двери, полки открытые, ЛДСП 16мм</t>
  </si>
  <si>
    <t>Корпус, толщ 16мм выполнены из ЛДСП, кромка ПВХ не менее 1мм в цвет ЛДСП. Фасады  ЛДСП 16мм Задняя стенка ДВПО. Ножки черные плас. рег.
H-27мм</t>
  </si>
  <si>
    <t>522-101-1233-0031</t>
  </si>
  <si>
    <t>Шкаф локер для документов полуоткрытый 1200х450х1598мм, шесть распашных дверей и шесть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</si>
  <si>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</si>
  <si>
    <t>522-101-1233-0032</t>
  </si>
  <si>
    <t>Шкаф для документов полуоткрытый 400х450х1990мм, один фасад распашной и два выдвижных ящика в нижней части,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</si>
  <si>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</si>
  <si>
    <t>522-101-1233-0033</t>
  </si>
  <si>
    <t>Шкаф для документов полуоткрытый 800х450х1990мм, две распашные двери в нижней части, верхние открытые полки, ЛДСП 16мм</t>
  </si>
  <si>
    <t>522-101-1233-0034</t>
  </si>
  <si>
    <t>Шкаф для документов полуоткрытый 800х450х1990мм, пять распашных дверей и пять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</si>
  <si>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</si>
  <si>
    <t>522-101-1233-0035</t>
  </si>
  <si>
    <t>Шкаф для бумаг полуоткрытый 800х380х2100мм. Верхние полки открытые, в нижней части распашные двери, ЛДСП 16мм</t>
  </si>
  <si>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</si>
  <si>
    <t>522-101-1233-0036</t>
  </si>
  <si>
    <t>Шкаф под файлы полуоткрытый 800х380х1970мм. Верхние полки открытые, в нижней части распашные двери, ЛДСП 16мм</t>
  </si>
  <si>
    <t>Ширина - 800мм, глубина - 380мм, высота 1970мм. Шкаф выполнен из ЛДСП 16мм. Торцы облицованы ударопрочной кромкой ПВХ толщиной 1,5-2мм. Ручки металлические.</t>
  </si>
  <si>
    <t>522-101-1233-0037</t>
  </si>
  <si>
    <t>Шкаф для учебно-наглядных пособий полуоткрытый 1300х420х1200мм, по центру открытые полки, по бокам две распашные двери, ЛДСП 16мм</t>
  </si>
  <si>
    <t>Ширина -1 300мм, глубина - 420мм, высота 1 200мм. Шкаф выполнен из ЛДСП 16мм. Торцы облицованы ударопрочной кромкой ПВХ толщиной 2мм. Ручки металлические.</t>
  </si>
  <si>
    <t>522-101-1233-0038</t>
  </si>
  <si>
    <t>Шкаф полуоткрытый 800х400х1000мм, две распашные двери в нижней части, верхняя открытая полка, ЛДСП 16мм</t>
  </si>
  <si>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</si>
  <si>
    <t>522-101-1233-0039</t>
  </si>
  <si>
    <t>Шкаф полуоткрытый 1050х500х2400мм, две распашные двери в нижней части, верхние открытые полки, ЛДСП 16мм. Задняя стенка из ламинированного МДФ 5 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</si>
  <si>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</si>
  <si>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522-101-1233-0040</t>
  </si>
  <si>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</si>
  <si>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</si>
  <si>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522-101-1233-0041</t>
  </si>
  <si>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</si>
  <si>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</si>
  <si>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522-101-1233-0044</t>
  </si>
  <si>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</si>
  <si>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</si>
  <si>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522-101-1233-0045</t>
  </si>
  <si>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</si>
  <si>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</si>
  <si>
    <t>522-101-1233-0046</t>
  </si>
  <si>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</si>
  <si>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</si>
  <si>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522-101-1233-0047</t>
  </si>
  <si>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</si>
  <si>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</si>
  <si>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522-101-1233-0048</t>
  </si>
  <si>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</si>
  <si>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</si>
  <si>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522-101-1233-0049</t>
  </si>
  <si>
    <t>Шкаф для документов на 8 ячеек, 4 из которых закрыты внутренними дверками, материал ЛДСП 16 мм, размеры 800х450х1600 мм</t>
  </si>
  <si>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</si>
  <si>
    <t>522-101-1233-0050</t>
  </si>
  <si>
    <t>Шкаф пристенный со столом лабораторный, корпус шкафов, полки из ЛДСП 16 мм, размеры 2000х470х2000 мм</t>
  </si>
  <si>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</si>
  <si>
    <t>522-101-1233-0051</t>
  </si>
  <si>
    <t>Шкаф для учебно-наглядных пособий полуоткрытый с открытыми верхними полками и закрытой нижней частью. Размер 800х420х930 мм. ЛДСП 16мм.</t>
  </si>
  <si>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</si>
  <si>
    <t>522-101-1233-0052</t>
  </si>
  <si>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</si>
  <si>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</si>
  <si>
    <t>522-101-1233-0053</t>
  </si>
  <si>
    <t>Шкаф для музыкальных инструментов, размеры 2400х460х2030 мм, ЛДСП 16 мм, кромка ПВХ, 3 секции</t>
  </si>
  <si>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</si>
  <si>
    <t>522-101-1235</t>
  </si>
  <si>
    <t>Шкаф открытый</t>
  </si>
  <si>
    <t>522-101-1235-0001</t>
  </si>
  <si>
    <t>Шкаф открытый 800х420х1930 мм. ЛДСП
16мм.</t>
  </si>
  <si>
    <t>Шкаф открытый 800х420х1930 мм. ЛДСП 16мм.</t>
  </si>
  <si>
    <t>522-101-1235-0002</t>
  </si>
  <si>
    <t>Шкаф стеллаж открытый 849х360х1835мм.
ЛДСП 16мм</t>
  </si>
  <si>
    <t>Шкаф стеллаж открытый 849х360х1835мм. ЛДСП 16мм. Открытые полки</t>
  </si>
  <si>
    <t>522-101-1235-0003</t>
  </si>
  <si>
    <t>Шкаф стеллаж открытый 1000х400х2100мм. Корпус, полки из ЛДСП 16мм, задняя стенка из МДФ 5мм</t>
  </si>
  <si>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</si>
  <si>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522-101-1235-0004</t>
  </si>
  <si>
    <t>Шкаф стеллаж открытый для документов 400х430х1200мм,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</si>
  <si>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</si>
  <si>
    <t>522-101-1235-0005</t>
  </si>
  <si>
    <t>Шкаф стеллаж открытый для документов 1200х430х1206мм,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</si>
  <si>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</si>
  <si>
    <t>522-101-1235-0006</t>
  </si>
  <si>
    <t>Шкаф стеллаж открытый для документов 400х430х1598мм, с открытыми полками ЛДСП 16мм</t>
  </si>
  <si>
    <t>522-101-1235-0007</t>
  </si>
  <si>
    <t>Шкаф стеллаж открытый для документов 800х430х1598мм,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</si>
  <si>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</si>
  <si>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522-101-1235-0008</t>
  </si>
  <si>
    <t>Шкаф стеллаж открытый для документов 800х450х1598мм, с открытыми полками ЛДСП 16мм</t>
  </si>
  <si>
    <t>522-101-1235-0009</t>
  </si>
  <si>
    <t>Шкаф стеллаж открытый для документов 1200х430х1598мм, с открытыми полками ЛДСП 16мм</t>
  </si>
  <si>
    <t>522-101-1235-0010</t>
  </si>
  <si>
    <t>Шкаф стеллаж открытый для документов 400х430х1990мм, с открытыми полками ЛДСП 16мм</t>
  </si>
  <si>
    <t>522-101-1235-0011</t>
  </si>
  <si>
    <t>Шкаф стеллаж открытый для документов 800х430х1990мм, с открытыми полками ЛДСП 16мм</t>
  </si>
  <si>
    <t>522-101-1235-0012</t>
  </si>
  <si>
    <t>Шкаф стеллаж открытый для документов 800х430х1990мм, с открытыми полками, разделенными на две секции, ЛДСП 16мм</t>
  </si>
  <si>
    <t>522-101-1235-0013</t>
  </si>
  <si>
    <t>Шкаф стеллаж открытый для документов 1200х430х1990мм, с открытыми полками ЛДСП 16мм</t>
  </si>
  <si>
    <t>522-101-1235-0014</t>
  </si>
  <si>
    <t>Шкаф стеллаж открытый 700х350х1500мм, с полками ЛДСП 16мм</t>
  </si>
  <si>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</si>
  <si>
    <t>522-101-1235-0015</t>
  </si>
  <si>
    <t>Шкаф стеллаж открытый 350х450х2530мм, с полками ЛДСП 16мм</t>
  </si>
  <si>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</si>
  <si>
    <t>522-101-1235-0016</t>
  </si>
  <si>
    <t>Шкаф стеллаж открытый 800х420х1930мм. Корпус, полки из ЛДСП 16мм, задняя стенка из МДФ 5мм</t>
  </si>
  <si>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</si>
  <si>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522-101-1235-0017</t>
  </si>
  <si>
    <t>Шкаф стеллаж открытый 2000х300х1000мм. Корпус, полки из ЛДСП 16мм, 20 ячеек, задняя стенка из МДФ 5мм</t>
  </si>
  <si>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</si>
  <si>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522-101-1235-0018</t>
  </si>
  <si>
    <t>Шкаф стеллаж открытый экспозиционный 400х400х1500мм, с открытыми полками ЛДСП 16мм, задняя стенка из МДФ 5 мм</t>
  </si>
  <si>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</si>
  <si>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522-101-1235-0019</t>
  </si>
  <si>
    <t>Шкаф стеллаж открытый 1000х320х2250мм. Корпус, полки наклонные из ЛДСП 16мм, задняя стенка из МДФ 5мм</t>
  </si>
  <si>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</si>
  <si>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522-101-1235-0020</t>
  </si>
  <si>
    <t>Шкаф стеллаж открытый 2050х460х2050мм. Корпус, полки из ЛДСП 16мм, 20 ячеек, задняя стенка из МДФ 5мм</t>
  </si>
  <si>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</si>
  <si>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522-101-1235-0021</t>
  </si>
  <si>
    <t>Шкаф стеллаж открытый 1600х400х1800мм. Материал корпуса, полок ЛДСП 16 мм, полки открытые. Задняя стенка ламинированный МДФ 5 мм</t>
  </si>
  <si>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</si>
  <si>
    <t>522-101-1237</t>
  </si>
  <si>
    <t>Тумба под телевизор</t>
  </si>
  <si>
    <t>522-101-1237-0001</t>
  </si>
  <si>
    <t>Тумба под телевизор 640х450х561 мм. ЛДСП 16мм</t>
  </si>
  <si>
    <t>Тумба с выдвижным ящиком и открытыми секциями. Размеры: 640х450х561мм. ЛДСП 16мм</t>
  </si>
  <si>
    <t>522-101-1237-0002</t>
  </si>
  <si>
    <t>Тумба под телевизор 640х450х600 мм. ЛДСП 16мм</t>
  </si>
  <si>
    <t>Тумба с 2-мя дверьми и открытой нишей. Размеры 640х450х600 мм. ЛДСП 16мм</t>
  </si>
  <si>
    <t>522-101-1237-0003</t>
  </si>
  <si>
    <t>Тумба мобильная на колесах, 3 выдвижных ящика, ЛДСП 16 мм, размер 442х534х628мм</t>
  </si>
  <si>
    <t>522-101-1237-0004</t>
  </si>
  <si>
    <t>Стол-тумба 800х600х860мм</t>
  </si>
  <si>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</si>
  <si>
    <t>522-101-1237-0005</t>
  </si>
  <si>
    <t>Тумба под музыкальный центр 1000х500х500 мм</t>
  </si>
  <si>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</si>
  <si>
    <t>522-101-1237-0006</t>
  </si>
  <si>
    <t>Тумба универсальная 1180х490х660мм. 3 выдвижных ящика, одна дверь распашная</t>
  </si>
  <si>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</si>
  <si>
    <t>522-101-1237-0007</t>
  </si>
  <si>
    <t>Тумба мобильная на колесах 400х500х640мм, 3 выдвижных ящика, центральный замок, ЛДСП 16мм</t>
  </si>
  <si>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</si>
  <si>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522-101-1237-0008</t>
  </si>
  <si>
    <t>Тумба мобильная на колесах 400х500х550мм, 3 выдвижных ящика, ЛДСП 18мм</t>
  </si>
  <si>
    <t>Тумба мобильная на колесах 400х500х550мм, 3 выдвижных ящика, ЛДСП 18мм. Торцевые кромки облицованы материалом кромочным из ПВХ толщиной 1 мм в цвет.</t>
  </si>
  <si>
    <t>522-101-1237-0009</t>
  </si>
  <si>
    <t>Тумба мобильная на колесах 600х600х500мм, 3 выдвижных ящика, ЛДСП 16мм</t>
  </si>
  <si>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</si>
  <si>
    <t>522-101-1237-0012</t>
  </si>
  <si>
    <t>Место дневального. Тумбочка 602х450х1000мм, подставка 450х450х150мм. Материал корпуса, полок и дверей из ЛДСП 16 мм. Задняя стенка из ламинированного МДФ 5 мм</t>
  </si>
  <si>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</si>
  <si>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522-101-1238</t>
  </si>
  <si>
    <t>Индивидуальный шкаф для хранения учебников, сменной обуви и спортивных принадлежностей</t>
  </si>
  <si>
    <t>522-101-1238-0001</t>
  </si>
  <si>
    <t>Шкаф локер в 2 уровня на 8 ячеек 1600х400х752 мм</t>
  </si>
  <si>
    <t>522-101-1238-0002</t>
  </si>
  <si>
    <t>Шкаф локер в 3 уровня на 12 ячеек 1600х400х1102 мм</t>
  </si>
  <si>
    <t>522-101-1238-0003</t>
  </si>
  <si>
    <t>Шкаф локер в 4 уровня на 16 ячеек 1600х400х1452 мм</t>
  </si>
  <si>
    <t>522-101-1238-0004</t>
  </si>
  <si>
    <t>Шкаф локер в 5 уровней на 20 ячеек 1600х400х1802 мм</t>
  </si>
  <si>
    <t>522-101-1238-0005</t>
  </si>
  <si>
    <t>Шкаф локер металлический с электронным замком, размер 300х500х1900мм</t>
  </si>
  <si>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</si>
  <si>
    <t>522-101-1238-0006</t>
  </si>
  <si>
    <t>Шкаф локер металлический с электронным замком в 2 уровня на 8 секций, размер 1200х500х1900мм</t>
  </si>
  <si>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</si>
  <si>
    <t>522-101-1238-0007</t>
  </si>
  <si>
    <t>Шкаф локер 4 уровня на 16 ячеек 1200х500х1800мм</t>
  </si>
  <si>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</si>
  <si>
    <t>522-101-1238-0008</t>
  </si>
  <si>
    <t>Шкаф локер для одежды металлический на 16 ячеек, размер 1200х500х1800мм</t>
  </si>
  <si>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</si>
  <si>
    <t>522-101-1238-0009</t>
  </si>
  <si>
    <t>Шкаф металлический четырехсекционный 1230х1250х500мм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</si>
  <si>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</si>
  <si>
    <t>522-101-1238-0010</t>
  </si>
  <si>
    <t>Шкаф металлический восьмисекционный 1900х1250х500 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</si>
  <si>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</si>
  <si>
    <t>522-101-1238-0011</t>
  </si>
  <si>
    <t>Шкаф локер 4 уровня на 16 ячеек 1200х500х1800мм. Материал корпуса, полок, дверей ЛДСП 16 мм. Задняя стенка из ламинированного МДФ 5мм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</si>
  <si>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</si>
  <si>
    <t>522-101-1238-0012</t>
  </si>
  <si>
    <t>Шкаф локер 4 уровня на 28 ячеек 5500х500х1800мм. Материал корпуса, полок, дверей ЛДСП 16 мм. Задняя стенка из ламинированного МДФ 5мм</t>
  </si>
  <si>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</si>
  <si>
    <t>522-101-1238-0013</t>
  </si>
  <si>
    <t>Шкаф локер 4 уровня на 36 ячеек с замками, размеры 3600х400х1630 мм</t>
  </si>
  <si>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</si>
  <si>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522-101-1238-0014</t>
  </si>
  <si>
    <t>Шкаф локер металлический на четыре отсека вертикальной и горизонтальной панелью, размеры 570х500х1840 мм</t>
  </si>
  <si>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</si>
  <si>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522-101-1239</t>
  </si>
  <si>
    <t>Рабочее место библиотекаря</t>
  </si>
  <si>
    <t>522-101-1239-0001</t>
  </si>
  <si>
    <t>Стол рабочий библиотекаря 1500х620х918 мм</t>
  </si>
  <si>
    <t>Стол двухтумбовый с барьером. Стол с двумя тумбами подвесными.
Каждая с двумя ящиками под формуляры. Стол выполнен из ЛДСП 16 мм.
Размеры: 1500х620х918мм</t>
  </si>
  <si>
    <t>522-101-1239-0002</t>
  </si>
  <si>
    <t>Стол-ресепшн библиотекаря, с выдвижной полкой, ЛДСП 16мм, размер 1200х746х996мм</t>
  </si>
  <si>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</si>
  <si>
    <t>522-101-1239-0003</t>
  </si>
  <si>
    <t>Стол-кафедра выдачи литературы 1200х700х750мм</t>
  </si>
  <si>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</si>
  <si>
    <t>522-101-1239-0005</t>
  </si>
  <si>
    <t>Ресепшн размеры 1800х600х900 мм, столешница из ЛДСП толщиной 22 мм</t>
  </si>
  <si>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</si>
  <si>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522-101-1239-0006</t>
  </si>
  <si>
    <t>Тумба библиотечная для периодики, размеры 1000х520х965 мм, ЛДСП 16 мм. Столешница крепиться к тумбе, в тумбе 5 выдвижных ящиков</t>
  </si>
  <si>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</si>
  <si>
    <t>522-101-1240</t>
  </si>
  <si>
    <t>Шкаф для читательских формуляров</t>
  </si>
  <si>
    <t>522-101-1240-0001</t>
  </si>
  <si>
    <t>Шкаф для формуляров 1048х450х1150 мм (на 8 ящиков)</t>
  </si>
  <si>
    <t>Шкаф с 8 ящиками под формуляры. Шкаф выполнен из ЛДСП 16 мм.
Размеры: 1048х450х1150мм</t>
  </si>
  <si>
    <t>522-101-1240-0002</t>
  </si>
  <si>
    <t>Шкаф-стеллаж для картотечных карт, размер 849х376х1835мм, ЛДСП 16мм</t>
  </si>
  <si>
    <t>Шкаф-стеллаж для картотечных карт, 4 двери и 4 выдвижные полки, ЛДСП 16 мм размер 849х376х1835мм</t>
  </si>
  <si>
    <t>522-101-1240-0003</t>
  </si>
  <si>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</si>
  <si>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</si>
  <si>
    <t>522-101-1241</t>
  </si>
  <si>
    <t>Шкаф-картотека</t>
  </si>
  <si>
    <t>522-101-1241-0001</t>
  </si>
  <si>
    <t>Шкаф-картотека на 48 ячеек, ЛДСП 16 мм, размеры 1170х440х1230мм</t>
  </si>
  <si>
    <t>522-101-1241-0002</t>
  </si>
  <si>
    <t>Шкаф-картотека на 48 ячеек, ЛДСП 16мм, размеры 1170х440х1230мм, задняя стенка и нижняя часть выдвижных ящиков из ламинированного МДФ 5 мм</t>
  </si>
  <si>
    <t>522-101-1242</t>
  </si>
  <si>
    <t>Стеллаж библиотечный</t>
  </si>
  <si>
    <t>522-101-1242-0001</t>
  </si>
  <si>
    <t>Стеллаж библиотечный односторонний 920х250х2100 мм. Каркас из профильной трубы, полки из гнутого листа, краска полимерно-порошковая.</t>
  </si>
  <si>
    <t>522-101-1242-0002</t>
  </si>
  <si>
    <t>Стеллаж библиотечный выставочный</t>
  </si>
  <si>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</si>
  <si>
    <t>522-101-1242-0003</t>
  </si>
  <si>
    <t>Стеллаж библиотечный 1000х320х2250 мм. С открытыми полками для книг. ЛДСП 16мм.</t>
  </si>
  <si>
    <t>522-101-1242-0004</t>
  </si>
  <si>
    <t>Стеллаж библиотечный односторонний 800х380х2000 мм. Каркас изготовлен из стального профиля. Полки ЛДСП 16 мм.</t>
  </si>
  <si>
    <t>522-101-1242-0005</t>
  </si>
  <si>
    <t>Стеллаж библиотечный двухсторонний 800х600х2000 мм. Каркас изготовлен из стального профиля. Полки ЛДСП 16 мм.</t>
  </si>
  <si>
    <t>Стеллаж библиотечный двухсторонний  800х600х2000 мм. Каркас изготовлен из стального профиля. Полки ЛДСП 16 мм.</t>
  </si>
  <si>
    <t>522-101-1242-0006</t>
  </si>
  <si>
    <t>Стеллаж деревянный односторонний 800х380х2000 мм. Каркас изготовлен из ЛДСП, толщиной 16 мм</t>
  </si>
  <si>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</si>
  <si>
    <t>522-101-1242-0007</t>
  </si>
  <si>
    <t>Модуль библиотечный (стеллаж), материал ЛДСП типа EGGER, размер 1000х1000х2800мм</t>
  </si>
  <si>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</si>
  <si>
    <t>522-101-1242-0008</t>
  </si>
  <si>
    <t>Модуль интерактивный библиотечный (стеллаж), материал ЛДСП типа EGGER, размер 2500х2500х2000 мм</t>
  </si>
  <si>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</si>
  <si>
    <t>522-101-1242-0009</t>
  </si>
  <si>
    <t>Стеллаж двухсторонний 1200х500х1800мм. Каркас изготовлен из стального профиля. Полки ЛДСП 16 мм</t>
  </si>
  <si>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</si>
  <si>
    <t>522-101-1242-0010</t>
  </si>
  <si>
    <t>Стеллаж двухсторонний 1500х500х1800мм. Каркас изготовлен из стального профиля. Полки ЛДСП 16 мм</t>
  </si>
  <si>
    <t>522-101-1242-0011</t>
  </si>
  <si>
    <t>Стеллаж библиотечный односторонний 800х380х2000мм. Каркас изготовлен из стального профиля. Полки из МДФ 16мм</t>
  </si>
  <si>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</si>
  <si>
    <t>522-101-1242-0012</t>
  </si>
  <si>
    <t>Стеллаж библиотечный двусторонний 800х600х2000мм. Каркас изготовлен из стального профиля. Полки из МДФ 16мм</t>
  </si>
  <si>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</si>
  <si>
    <t>522-101-1242-0013</t>
  </si>
  <si>
    <t>Стеллаж библиотечный демонстрационный 1000х320х2250 мм. С 6 открытыми наклонными полками для книг. ЛДСП 16мм, задняя стенка из МДФ 5мм</t>
  </si>
  <si>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</si>
  <si>
    <t>522-101-1242-0014</t>
  </si>
  <si>
    <t>Стелаж книжный двухсторонний 1000х450х2000мм. Каркас выполнен из профильной трубы. Полки из ЛДСП 16 мм</t>
  </si>
  <si>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</si>
  <si>
    <t>522-101-1242-0018</t>
  </si>
  <si>
    <t>Стеллаж двусторонний, 3 полки, размер не
менее 800х600х1100 мм</t>
  </si>
  <si>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</si>
  <si>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522-101-1242-0019</t>
  </si>
  <si>
    <t>Стеллаж двусторонний, 5 полки, размер не
менее 800х600х1830 мм</t>
  </si>
  <si>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</si>
  <si>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522-101-1242-0020</t>
  </si>
  <si>
    <t>Стеллаж выставочный, 5 скошенных полок,
размер не менее 800х120х1800 мм</t>
  </si>
  <si>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</si>
  <si>
    <t>522-101-1242-0021</t>
  </si>
  <si>
    <t>Стеллаж с наклонными полками, размер 1200х450х2380 мм. Каркас из профильной трубы, полки из ЛДСП толщиной не менее 16 мм</t>
  </si>
  <si>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</si>
  <si>
    <t>522-101-1242-0022</t>
  </si>
  <si>
    <t>Стеллаж библиотечный двусторонний, каркас из профильной трубы, 3 полки из ЛДСП толщиной не менее 16 мм, размер не менее 800х600х1120 мм</t>
  </si>
  <si>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</si>
  <si>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522-101-1242-0023</t>
  </si>
  <si>
    <t>Стеллаж библиотечный двусторонний, каркас из профильной трубы, 5 полок из ЛДСП толщиной не менее 16 мм, размер не менее 800х600х1840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</si>
  <si>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</si>
  <si>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522-101-1242-0024</t>
  </si>
  <si>
    <t>Стеллаж библиотечный односторонний, каркас из профильной трубы, 5 полок из ЛДСП толщиной не менее 16 мм, размер не менее 800х350х1840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</si>
  <si>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</si>
  <si>
    <t>522-101-1242-0025</t>
  </si>
  <si>
    <t>Стеллаж полукруглый библиотечный, размер
1970х985х1450 мм</t>
  </si>
  <si>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</si>
  <si>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522-101-1242-0026</t>
  </si>
  <si>
    <t>Стеллаж полукруглый библиотечный, размер
2980х1490х1200 мм</t>
  </si>
  <si>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</si>
  <si>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522-101-1242-0027</t>
  </si>
  <si>
    <t>Стеллаж с 8 открытыми ячейками, в 4 из которых установлены квадратные короба из ЛДСП 16 мм, размер 1445х350х755 мм</t>
  </si>
  <si>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</si>
  <si>
    <t>522-101-1242-0028</t>
  </si>
  <si>
    <t>Стеллаж модульный полукруглый с мягким
элементом, размер 1490х1490х1200 мм</t>
  </si>
  <si>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</si>
  <si>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522-101-1242-0029</t>
  </si>
  <si>
    <t>Стеллаж односторонний модульный для хранения с мягким элементом, размер 1100х940х1820 мм</t>
  </si>
  <si>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</si>
  <si>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522-101-1242-0030</t>
  </si>
  <si>
    <t>Стеллаж  двухсторонний модульный с мягким элементом, размер 1100х520х1820 мм</t>
  </si>
  <si>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</si>
  <si>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522-101-1242-0031</t>
  </si>
  <si>
    <t>Стеллаж для литературы, материал ЛДСП 32 мм, наклонные г-образные полки из оргстекла толщиной не менее 4 мм, кромка из ПВХ не менее 2 мм, размеры 520х350х1500 мм</t>
  </si>
  <si>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</si>
  <si>
    <t>522-101-1242-0032</t>
  </si>
  <si>
    <t>Стеллаж для документов, шесть ниш, три из которых не закрыты задней стенкой, размеры 800х420х1230 мм</t>
  </si>
  <si>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</si>
  <si>
    <t>522-101-1242-0033</t>
  </si>
  <si>
    <t>Система модульная настенная 6 секций, размеры 1130х250х1300 мм, ЛДСП 16 мм, кромка ПВХ. Шесть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</si>
  <si>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</si>
  <si>
    <t>522-101-1242-0034</t>
  </si>
  <si>
    <t>Система модульная настенная 8 секций, размеры 1670х250х1310 мм, ЛДСП 16 мм, кромка ПВХ. Восемь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</si>
  <si>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</si>
  <si>
    <t>522-101-1242-0035</t>
  </si>
  <si>
    <t>Система модульная настенная Лесенка 3 секции, размеры 1018х266х768 мм, ЛДСП 16 мм, кромка ПВХ.</t>
  </si>
  <si>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</si>
  <si>
    <t>522-101-1243</t>
  </si>
  <si>
    <t>Трибуна лекторская</t>
  </si>
  <si>
    <t>522-101-1243-0001</t>
  </si>
  <si>
    <t>Трибуна 600х500х1200мм. ЛДСП 16мм</t>
  </si>
  <si>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</si>
  <si>
    <t>522-101-1243-0002</t>
  </si>
  <si>
    <t>Трибуна 700х490х1240 мм. ЛДСП 16мм</t>
  </si>
  <si>
    <t>522-101-1243-0003</t>
  </si>
  <si>
    <t>Спич-трибуна 600х500х1195 мм</t>
  </si>
  <si>
    <t>Материал: ЛДСП, толщиной 16 мм.   Кромки деталей облицованы полимерным кромочным материалам (ПВХ), толщиной 1,5 мм. Фурнитура: конфирматы, стяжка типа BLUM</t>
  </si>
  <si>
    <t>522-101-1243-0004</t>
  </si>
  <si>
    <t>Трибуна 640х470х1125мм. ЛДСП 16мм, 2 полки</t>
  </si>
  <si>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</si>
  <si>
    <t>522-101-1243-0005</t>
  </si>
  <si>
    <t>Спич-трибуна 550х500х1200мм. ЛДСП 16мм</t>
  </si>
  <si>
    <t>Спич-трибуна выполнена из ЛДСП 16мм, торцы обработаны кромкой ПВХ толщиной 2мм.</t>
  </si>
  <si>
    <t>522-101-1245</t>
  </si>
  <si>
    <t>Доска классная</t>
  </si>
  <si>
    <t>522-101-1245-0001</t>
  </si>
  <si>
    <t>Доска классная настенная магнитно-меловая. Размер 1500х1000мм.</t>
  </si>
  <si>
    <t>522-101-1245-0002</t>
  </si>
  <si>
    <t>Доска классная настенная магнитно-меловая. Размер 1700х1000мм.</t>
  </si>
  <si>
    <t>522-101-1245-0003</t>
  </si>
  <si>
    <t>Доска магнитно-маркерная и
магнитно-меловая, размер 1500х1000мм</t>
  </si>
  <si>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</si>
  <si>
    <t>522-101-1247</t>
  </si>
  <si>
    <t>Доска магнитная/пробковая</t>
  </si>
  <si>
    <t>522-101-1247-0001</t>
  </si>
  <si>
    <t>Доска магнитно-маркерная/пробковая Comix BM4560L, 560х410 мм, White</t>
  </si>
  <si>
    <t>522-101-1247-0002</t>
  </si>
  <si>
    <t>Доска магнитно-маркерная/пробковая Comix BM4560V, 560х410 мм, White</t>
  </si>
  <si>
    <t>522-101-1248</t>
  </si>
  <si>
    <t>Доска настенная аудиторная</t>
  </si>
  <si>
    <t>522-101-1248-0001</t>
  </si>
  <si>
    <t>Доска настенная аудиторная трехстворчатая
размерами 1000x3000 мм, мел+маркер</t>
  </si>
  <si>
    <t>Доска настенная аудиторная трехстворчатая размерами 1000x3000 мм, мел+маркер</t>
  </si>
  <si>
    <t>522-101-1249</t>
  </si>
  <si>
    <t>Доска магнитно-маркерная на треноге.
Размер 900х1000мм.</t>
  </si>
  <si>
    <t>Доска магнитно-маркерная на треноге. Размер 900х1000мм.</t>
  </si>
  <si>
    <t>522-101-1251</t>
  </si>
  <si>
    <t>Шкаф металлический</t>
  </si>
  <si>
    <t>522-101-1251-0001</t>
  </si>
  <si>
    <t>Шкаф металлический, взломостойкий, размеры 900х440х355мм</t>
  </si>
  <si>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</si>
  <si>
    <t>522-101-1251-0002</t>
  </si>
  <si>
    <t>Шкаф металлический, размер 800х500х1830мм, 2 распашные двери, ригельный замок</t>
  </si>
  <si>
    <t>Шкаф металлический, размер 800х500х1830мм, 2 распашные двери, ригельный замок, 3 полки, цвет серый</t>
  </si>
  <si>
    <t>522-101-1251-0003</t>
  </si>
  <si>
    <t>Шкаф с 6 ящиками для хранения документов, материал изготовления листовой металл толщиной не менее 0,5 мм, размеры 570х600х1335 мм</t>
  </si>
  <si>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</si>
  <si>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522-101-1252</t>
  </si>
  <si>
    <t>Вешалка гардеробная</t>
  </si>
  <si>
    <t>522-101-1252-0001</t>
  </si>
  <si>
    <t>Вешалка гардеробная двухсторонняя на 40 крючков</t>
  </si>
  <si>
    <t>Размеры не менее длина 1800мм, высота 1770мм. Металлический каркас.</t>
  </si>
  <si>
    <t>522-101-1252-0002</t>
  </si>
  <si>
    <t>Вешалка гардеробная на 18/24/32 крючка</t>
  </si>
  <si>
    <t>Вешалка гардеробная напольная, металлический каркас, ЛДСП 16 мм, 18/24/32 крючка, размеры не менее 1184х862х1600мм.</t>
  </si>
  <si>
    <t>522-101-1252-0003</t>
  </si>
  <si>
    <t>Скамья гардеробная со спинкой и встроенной вешалкой с крючками</t>
  </si>
  <si>
    <t>Цвет синий. Обивка искусственная кожа. Материал ЛДСП. Материал каркаса металл. Размер (ДхШхВ): 1500 x 360 x 1690мм.</t>
  </si>
  <si>
    <t>522-101-1252-0004</t>
  </si>
  <si>
    <t>Вешалка гардеробная металлическая, 6 крючков</t>
  </si>
  <si>
    <t>Цвет белый. Материал металл. Количество крючков: 6. Ширина 500мм, высота 1750мм.</t>
  </si>
  <si>
    <t>522-101-1253</t>
  </si>
  <si>
    <t>Стол двухтумбовый</t>
  </si>
  <si>
    <t>522-101-1253-0001</t>
  </si>
  <si>
    <t>Стол двухтумбовый с 2 направляющими выдвижными ящиками и тумбой с дверью. Размер 1500х700х750 мм. ЛДСП 18мм</t>
  </si>
  <si>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</si>
  <si>
    <t>522-101-1253-0002</t>
  </si>
  <si>
    <t>Стол двухтумбовый с 4 направляющими выдвижными ящиками и тумбой с дверью. Размер 1500х600х750 мм</t>
  </si>
  <si>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</si>
  <si>
    <t>522-101-1253-0003</t>
  </si>
  <si>
    <t>Стол двухтумбовый с 4 направляющими выдвижными ящиками и тумбой с дверью. Размер 1800х800х750 мм. ЛДСП 16мм</t>
  </si>
  <si>
    <t>522-101-1254</t>
  </si>
  <si>
    <t>Комплект мебели для руководителя</t>
  </si>
  <si>
    <t>522-101-1254-0001</t>
  </si>
  <si>
    <t>Комплект мебели для руководителя. Стол руководителя 2150х1600х750мм, стеллаж 2450х400х2100мм</t>
  </si>
  <si>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</si>
  <si>
    <t>522-101-1255</t>
  </si>
  <si>
    <t>522-101-1255-0001</t>
  </si>
  <si>
    <t>Кровать односпальная, материал ЛДСП 18мм, размер 900х2000мм</t>
  </si>
  <si>
    <t>Кровать односпальная без матраса. Изголовье твердое. Основание в комплекте. Материал ЛДСП 18 мм. Размер кровати: 900х2000 мм.</t>
  </si>
  <si>
    <t>522-101-1256</t>
  </si>
  <si>
    <t>522-101-1256-0001</t>
  </si>
  <si>
    <t>Кровать двухъярусная металлическая с лестницей, размер 2000х900х1800мм</t>
  </si>
  <si>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</si>
  <si>
    <t>522-101-1257</t>
  </si>
  <si>
    <t>Картотека металлическая</t>
  </si>
  <si>
    <t>522-101-1257-0001</t>
  </si>
  <si>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</si>
  <si>
    <t>522-101-1258</t>
  </si>
  <si>
    <t>Кресло мягкое</t>
  </si>
  <si>
    <t>522-101-1258-0001</t>
  </si>
  <si>
    <t>Кресло офисное мягкое, без боковин, размеры: не менее 550х790х815мм</t>
  </si>
  <si>
    <t>Каркас деревянный, опоры дерево, материал обивки: ткань или экокожа.
Габаритные размеры: не менее 550х790х815мм</t>
  </si>
  <si>
    <t>522-101-1258-0002</t>
  </si>
  <si>
    <t>Кресло офисное мягкое, размеры: 900х700х750мм</t>
  </si>
  <si>
    <t>Каркас деревянный, опоры массив дерева, материал обивки: ткань или экокожа. Габаритные размеры: 900х700х750мм</t>
  </si>
  <si>
    <t>522-101-1258-0003</t>
  </si>
  <si>
    <t>Кресло офисное мягкое, размеры: 900х800х750мм</t>
  </si>
  <si>
    <t>Каркас деревянный, опоры металл, материал обивки: ткань или экокожа.
Габаритные размеры: 900х800х750мм</t>
  </si>
  <si>
    <t>522-101-1258-0004</t>
  </si>
  <si>
    <t>Кресло офисное мягкое, размеры: 750х650х800мм</t>
  </si>
  <si>
    <t>Каркас деревянный, опоры пластик, материал обивки: ткань или экокожа.
Габаритные размеры:   750х650х800мм</t>
  </si>
  <si>
    <t>522-101-1258-0005</t>
  </si>
  <si>
    <t>Кресло модульное. Материал ткань. Размер 920х650мм</t>
  </si>
  <si>
    <t>522-101-1259</t>
  </si>
  <si>
    <t>Диван модульный</t>
  </si>
  <si>
    <t>522-101-1259-0001</t>
  </si>
  <si>
    <t>Диван офисный 3-х секционный, без боковин, размеры: 2830х830х1150мм</t>
  </si>
  <si>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</si>
  <si>
    <t>522-101-1259-0002</t>
  </si>
  <si>
    <t>Диван офисный 4-х секционный, размеры: 3500х2500х780мм</t>
  </si>
  <si>
    <t>Не трансформируемый, каркас деревянный . Опоры металл, материал обивки: ткань или экокожа. Габаритные размеры: 3500х2500х780мм</t>
  </si>
  <si>
    <t>522-101-1259-0003</t>
  </si>
  <si>
    <t>Диван офисный 3-х секционный,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</si>
  <si>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</si>
  <si>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522-101-1260</t>
  </si>
  <si>
    <t>Диван 2-х местный</t>
  </si>
  <si>
    <t>522-101-1260-0001</t>
  </si>
  <si>
    <t>Диван 2-х местный офисный без боковин,
размеры: 1100х700х1000мм</t>
  </si>
  <si>
    <t>Не трансформируемый, каркас деревянный, опоры пластик, материал обивки: ткань или экокожа. Габаритные размеры: 1100х700х1000мм</t>
  </si>
  <si>
    <t>522-101-1260-0002</t>
  </si>
  <si>
    <t>Диван 2-х местный офисный без боковин,
размеры: 600х950х1150мм</t>
  </si>
  <si>
    <t>Не трансформируемый, каркас деревянный, опоры пластик, материал обивки: ткань или экокожа. Габаритные размеры:  600х950х1150мм</t>
  </si>
  <si>
    <t>522-101-1260-0003</t>
  </si>
  <si>
    <t>Диван 2-х местный офисный без боковин,
подушки спинки, размеры: 1400х900х750мм</t>
  </si>
  <si>
    <t>Не трансформируемый, каркас деревянный, опоры металл, подушки спинки, материал обивки: ткань или экокожа. Габаритные размеры: 1400х900х750мм</t>
  </si>
  <si>
    <t>522-101-1260-0004</t>
  </si>
  <si>
    <t>Диван 2-х местный офисный без боковин,
размеры: 1400х900х750мм</t>
  </si>
  <si>
    <t>Не трансформируемый, каркас деревянный, опоры металл, материал обивки: ткань или экокожа. Габаритные размеры: 1400х900х750мм</t>
  </si>
  <si>
    <t>522-101-1260-0005</t>
  </si>
  <si>
    <t>Диван 2-х местный офисный, размеры:
1560х950х850мм</t>
  </si>
  <si>
    <t>Не трансформируемый. Каркас деревянный.  Опоры металл. Материал обивки: ткань или экокожа. Габаритные размеры:             1560х950х850</t>
  </si>
  <si>
    <t>522-101-1260-0006</t>
  </si>
  <si>
    <t>Диван 2-х местный офисный, размеры:
1600х700х750мм</t>
  </si>
  <si>
    <t>Не трансформируемый. Каркас деревянный, опоры металл, материал обивки: ткань или экокожа. Габаритные размеры:         1600х700х750мм</t>
  </si>
  <si>
    <t>522-101-1260-0007</t>
  </si>
  <si>
    <t>Диван 2-х местный офисный без боковин,
размеры: 1700х660х450мм</t>
  </si>
  <si>
    <t>Не трансформируемый. Каркас деревянный, опоры пластик, материал обивки: ткань или экокожа. Габаритные размеры: 1700х660х450мм</t>
  </si>
  <si>
    <t>522-101-1260-0008</t>
  </si>
  <si>
    <t>Диван 2-х местный офисный, высота спинки с трех сторон 1400мм, габаритные размеры: 1600х750х1400мм</t>
  </si>
  <si>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</si>
  <si>
    <t>522-101-1260-0009</t>
  </si>
  <si>
    <t>Диван офисный, зонированный, высота спинки 1230мм, габаритные размеры: 1090х1850х1230мм</t>
  </si>
  <si>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</si>
  <si>
    <t>522-101-1261</t>
  </si>
  <si>
    <t>Диван 3-х местный</t>
  </si>
  <si>
    <t>522-101-1261-0001</t>
  </si>
  <si>
    <t>Диван 3-х местный офисный, размеры: 1800х850х700мм</t>
  </si>
  <si>
    <t>Не трансформируемый. Каркас деревянный, опоры металл, материал обивки: ткань или экокожа. Габаритные размеры: 1800х850х700мм</t>
  </si>
  <si>
    <t>522-101-1261-0002</t>
  </si>
  <si>
    <t>Диван 3-х местный офисный, размеры: 2000х900х900мм</t>
  </si>
  <si>
    <t>Не трансформируемый. Каркас деревянный, опоры металл, материал обивки: ткань или экокожа. Габаритные размеры: 2000х900х900мм</t>
  </si>
  <si>
    <t>522-101-1261-0003</t>
  </si>
  <si>
    <t>Диван 3-х местный офисный, размеры: 1800х700х750мм</t>
  </si>
  <si>
    <t>Не трансформируемый. Каркас деревянный, опоры металл, материал обивки: ткань или экокожа. Габаритные размеры: 1800х700х750мм</t>
  </si>
  <si>
    <t>522-101-1261-0004</t>
  </si>
  <si>
    <t>Диван 3-х местный офисный, размеры: 2100х850х700мм</t>
  </si>
  <si>
    <t>Не трансформируемый. Каркас деревянный, опоры металл, материал обивки: ткань или экокожа. Габаритные размеры: 2100х850х700мм</t>
  </si>
  <si>
    <t>522-101-1261-0005</t>
  </si>
  <si>
    <t>Диван 3-х местный офисный, опоры пластик, размеры: 2200х950х840мм</t>
  </si>
  <si>
    <t>Не трансформируемый. Каркас деревянный, опоры пластик, материал обивки: ткань или экокожа. Габаритные размеры: 2200х950х840мм</t>
  </si>
  <si>
    <t>522-101-1261-0006</t>
  </si>
  <si>
    <t>Диван 3-х местный офисный, опоры металл, размеры: 2200х950х840мм</t>
  </si>
  <si>
    <t>Не трансформируемый. Каркас деревянный, опоры металл, материал обивки: ткань или экокожа. Габаритные размеры: 2200х950х840мм</t>
  </si>
  <si>
    <t>522-101-1261-0007</t>
  </si>
  <si>
    <t>Диван 3-х местный офисный, размеры: 2170х950х850мм</t>
  </si>
  <si>
    <t>Механизм трансформации "Книжка". Каркас деревянный, опоры металл, материал обивки: ткань или экокожа. Габаритные размеры: 2170х950х850мм</t>
  </si>
  <si>
    <t>522-101-1261-0008</t>
  </si>
  <si>
    <t>Диван 3-х местный офисный, размеры: 2000х800х750мм</t>
  </si>
  <si>
    <t>Не трансформируемый. Каркас деревянный, опоры металл, материал обивки: ткань или экокожа. Габаритные размеры: 2000х800х750мм</t>
  </si>
  <si>
    <t>522-101-1261-0009</t>
  </si>
  <si>
    <t>Диван 3-х местный офисный, размеры: 1800х650х800мм</t>
  </si>
  <si>
    <t>Не трансформируемый. Каркас деревянный, опоры пластик, материал обивки: ткань или экокожа. Габаритные размеры: 1800х650х800мм</t>
  </si>
  <si>
    <t>522-101-1261-0010</t>
  </si>
  <si>
    <t>Диван 3-х местный офисный,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</si>
  <si>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</si>
  <si>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522-101-1261-0011</t>
  </si>
  <si>
    <t>Диван 3-х местный, размеры: 2200х530х780мм</t>
  </si>
  <si>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</si>
  <si>
    <t>522-101-1261-0012</t>
  </si>
  <si>
    <t>Диван 3-х местный. Сиденье и спинка из полиуретана, ПВХ/кожи, ПВХ. Черные ножки из нержавеющей стали. Размер: 1900х750х790мм</t>
  </si>
  <si>
    <t>Пена высокой плотности 40#. Каркас из дерева. Стальная параллельная внутренняя пружина. Черный полиуретан A70-40.</t>
  </si>
  <si>
    <t>522-101-1261-0013</t>
  </si>
  <si>
    <t>Диван 3-х местный. Сиденье и спинка из полиуретана, ПВХ/кожи, ПВХ. Черные ножки из нержавеющей стали. Размер: 1930х760х720мм</t>
  </si>
  <si>
    <t>Пена высокой плотности 40#. Каркас из дерева. Стальная параллельная внутренняя пружина.  Оранжевый полиуретан A70-28.</t>
  </si>
  <si>
    <t>522-101-1261-0014</t>
  </si>
  <si>
    <t>Диван 3-х местный. Сиденье и спинка из полиуретана, ПВХ/кожи, ПВХ. Каркас из металла. Размер: 1800х750х700мм</t>
  </si>
  <si>
    <t>Пена высокой плотности. Цвет: Жёлтый, синий</t>
  </si>
  <si>
    <t>522-101-1262</t>
  </si>
  <si>
    <t>Пуф</t>
  </si>
  <si>
    <t>522-101-1262-0001</t>
  </si>
  <si>
    <t>Пуф 500*400мм</t>
  </si>
  <si>
    <t>Пуф 500*400мм. Подходит для зоны рекреации и офиса, учебного заведения. Материал по согласованию</t>
  </si>
  <si>
    <t>522-101-1262-0002</t>
  </si>
  <si>
    <t>Пуф мягкий квадратный, размеры: 450х450х450мм</t>
  </si>
  <si>
    <t>Пуф мягкий квадратный. Каркас деревянный, опоры пластик, материал обивки: ткань или  экокожа. Габаритные размеры:450х450х450мм</t>
  </si>
  <si>
    <t>522-101-1262-0003</t>
  </si>
  <si>
    <t>Пуф мягкий круглый, размеры: диаметр 450мм, высота 450мм</t>
  </si>
  <si>
    <t>Пуф мягкий круглый. Каркас деревянный, опоры пластик, материал обивки: ткань или экокожа. Габаритные размеры: диаметр 450мм, высота 450мм</t>
  </si>
  <si>
    <t>522-101-1262-0004</t>
  </si>
  <si>
    <t>Пуф мягкий в форме камня, размеры: диаметр 520мм, высота 450мм</t>
  </si>
  <si>
    <t>Пуф мягкий в форме камня. Каркас деревянный, опоры пластик, материал обивки: ткань или экокожа. Габаритные размеры: диаметр 520мм, высота 450мм</t>
  </si>
  <si>
    <t>522-101-1262-0005</t>
  </si>
  <si>
    <t>Пуф мягкий прямоугольный, размеры: 1500х450х450мм</t>
  </si>
  <si>
    <t>Пуф мягкий прямоугольный. Каркас деревянный, опора пластик, материал обивки: ткань или экокожа. Габаритные размеры: 1500х450х450мм</t>
  </si>
  <si>
    <t>522-101-1262-0006</t>
  </si>
  <si>
    <t>Пуф мягкий прямоугольный,  размеры: 1000х400х450мм</t>
  </si>
  <si>
    <t>Пуф мягкий прямоугольный. Каркас деревянный, опора пластик, материал обивки: ткань или экокожа. Габаритные размеры: 1000х400х450мм</t>
  </si>
  <si>
    <t>522-101-1262-0007</t>
  </si>
  <si>
    <t>Пуф мягкий прямоугольный,  размеры: 1200х400х450мм</t>
  </si>
  <si>
    <t>Пуф мягкий прямоугольный. Каркас деревянный, опора пластик, материал обивки: ткань или экокожа. Габаритные размеры: 1200х400х450мм</t>
  </si>
  <si>
    <t>522-101-1262-0008</t>
  </si>
  <si>
    <t>Пуф мягкий в виде фигуры молекулы, размеры: радиус 750мм, высота 450мм</t>
  </si>
  <si>
    <t>Пуф мягкий в виде фигуры молекулы. Каркас деревянный, опора пластик, материал обивки: ткань или экокожа. Габаритные размеры: радиус 750мм, высота 450мм</t>
  </si>
  <si>
    <t>522-101-1262-0009</t>
  </si>
  <si>
    <t>Пуф мягкий со спинкой, размеры: 550х500х400мм</t>
  </si>
  <si>
    <t>Пуф мягкий со спинкой. Каркас деревянный, опора пластик, материал обивки: ткань или экокожа. Габаритные размеры: 550х500х400мм</t>
  </si>
  <si>
    <t>522-101-1262-0010</t>
  </si>
  <si>
    <t>Пуф мягкий со спинкой, размеры: 720х720х650мм</t>
  </si>
  <si>
    <t>Пуф мягкий со спинкой. Каркас деревянный, опора пластик, материал обивки: ткань или экокожа. Габаритные размеры: 720х720х650мм</t>
  </si>
  <si>
    <t>522-101-1262-0011</t>
  </si>
  <si>
    <t>Пуф мягкий со спинкой,  размеры: 600х700х880мм</t>
  </si>
  <si>
    <t>Пуф мягкий со спинкой. Каркас деревянный, опора металл, материал обивки: ткань или экокожа. Габаритные размеры: 600х700х880мм</t>
  </si>
  <si>
    <t>522-101-1262-0012</t>
  </si>
  <si>
    <t>Пуф мягкий со спинкой, размеры: 530х500х750мм</t>
  </si>
  <si>
    <t>Пуф мягкий со спинкой. Каркас деревянный, опора металл, материал обивки: ткань или экокожа. Габаритные размеры: 530х500х750мм</t>
  </si>
  <si>
    <t>522-101-1262-0013</t>
  </si>
  <si>
    <t>Набор пуфов мягкий (4 шт.), размеры общего набора: 1000х1300х450мм</t>
  </si>
  <si>
    <t>Набор состоит из 4 пуфов мягких. Каркас деревянный, опора пластик, материал обивки: ткань или экокожа. Габаритные размеры общего набора: 1000х1300х450мм</t>
  </si>
  <si>
    <t>522-101-1262-0014</t>
  </si>
  <si>
    <t>Набор пуфов мягкий (не менее 8 шт.), размеры общего набора: не менее 610х700х450мм</t>
  </si>
  <si>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</si>
  <si>
    <t>522-101-1262-0015</t>
  </si>
  <si>
    <t>Набор пуфов со спинкой мягкий (3 шт.), размеры общего набора:  1650х500х750мм</t>
  </si>
  <si>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</si>
  <si>
    <t>522-101-1262-0016</t>
  </si>
  <si>
    <t>Набор пуфов со спинкой мягкий (3 шт.), размеры общего набора: 1800х700х880мм</t>
  </si>
  <si>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</si>
  <si>
    <t>522-101-1262-0017</t>
  </si>
  <si>
    <t>Набор пуфов со спинкой мягкий (5 шт.), размеры общего набора: 1500х1300х810мм</t>
  </si>
  <si>
    <t>Набор состоит из 5 пуфов мягких. Каркас деревянный, опора металл, материал обивки: ткань или экокожа. Габаритные размеры общего набора: 1500х1300х810мм</t>
  </si>
  <si>
    <t>522-101-1262-0018</t>
  </si>
  <si>
    <t>Пуф модульный. Размер 497х623х400мм</t>
  </si>
  <si>
    <t>Выполнен из ппу самой высотокой плотности, плотной ткани, которая не принимает форму тела, возвращается в исходную форму.</t>
  </si>
  <si>
    <t>522-101-1263</t>
  </si>
  <si>
    <t>Кресло для актового, медиа и конференц залов</t>
  </si>
  <si>
    <t>522-101-1263-0001</t>
  </si>
  <si>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</si>
  <si>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</si>
  <si>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522-101-1263-0002</t>
  </si>
  <si>
    <t>Кресло типа Мега.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</si>
  <si>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</si>
  <si>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522-101-1263-0003</t>
  </si>
  <si>
    <t>Кресло типа Премьер. Основа металлокаркас, наполнитель ППУ, подлокотники из цельного бруса, материал бук.</t>
  </si>
  <si>
    <t>Размеры: ширина 520 мм, высота 860 мм, глубина в слож. 440 мм, глубина в разлож. 600 мм</t>
  </si>
  <si>
    <t>522-101-1263-0004</t>
  </si>
  <si>
    <t>Кресло типа Соло. Основа металлокаркас, наполнитель эластичный поролон холодного вспеивания, подлокотники из цельного бруса, материал бук.</t>
  </si>
  <si>
    <t>Размеры: межцентровое расстояние - 580 мм, высота 960 мм, глубина 700 мм</t>
  </si>
  <si>
    <t>522-101-1263-0005</t>
  </si>
  <si>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</si>
  <si>
    <t>Размеры: высота — 900 мм, ширина — 520 мм, глубина в сложенном состоянии — 225 мм, глубина в разложенном состоянии — 655 мм</t>
  </si>
  <si>
    <t>522-101-1263-0006</t>
  </si>
  <si>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</si>
  <si>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</si>
  <si>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522-101-1263-0007</t>
  </si>
  <si>
    <t>Кресло типа Каскад КД-126.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</si>
  <si>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</si>
  <si>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522-101-1263-0008</t>
  </si>
  <si>
    <t>Кресло типа Каскад КД-124. Основа металлокаркас, наполнитель ППУ, подлокотники из цельного бруса, материал бук.</t>
  </si>
  <si>
    <t>522-101-1263-0009</t>
  </si>
  <si>
    <t>Кресло типа Каскад КД-113. Основа металлокаркас, наполнитель эластичный поролон холодного вспеивания, подлокотники из цельного бруса, материал бук.</t>
  </si>
  <si>
    <t>522-101-1263-0010</t>
  </si>
  <si>
    <t>Кресло театральное, мягкие элементы спинки и сидения обтянуты мебельной тканью, подлокотники МДФ, опоры металл, с откидывающимся сидением</t>
  </si>
  <si>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</si>
  <si>
    <t>522-101-1263-0011</t>
  </si>
  <si>
    <t>Кресло театральное, обивочный материал велюр, накладки на подлокотники из цельного массива дерева, опоры металл, с откидывающимся сидением</t>
  </si>
  <si>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</si>
  <si>
    <t>522-101-1263-0012</t>
  </si>
  <si>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</si>
  <si>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</si>
  <si>
    <t>522-101-1263-0013</t>
  </si>
  <si>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</si>
  <si>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</si>
  <si>
    <t>522-101-1263-0014</t>
  </si>
  <si>
    <t>Кресло театральное, каркас металлический цветной, подлокотники с деревянной накладкой, обивка - гобелен. Размер: 480х420х670мм</t>
  </si>
  <si>
    <t>Кресло театральное, каркас металлический цветной, подлокотники с деревянной накладкой, обивка - гобелен. Размер: 480х420х670мм. Высота
от пола до сиденья 460мм.</t>
  </si>
  <si>
    <t>522-101-1263-0015</t>
  </si>
  <si>
    <t>Кресло театральное, каркас металлический цветной, подлокотники с деревянной накладкой, обивка - гобелен</t>
  </si>
  <si>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</si>
  <si>
    <t>522-101-1263-0017</t>
  </si>
  <si>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</si>
  <si>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</si>
  <si>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522-101-1263-0018</t>
  </si>
  <si>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</si>
  <si>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</si>
  <si>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522-101-1263-0019</t>
  </si>
  <si>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</si>
  <si>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</si>
  <si>
    <t>522-101-1263-0020</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</si>
  <si>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</si>
  <si>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</si>
  <si>
    <t>522-101-1263-0021</t>
  </si>
  <si>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</si>
  <si>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</si>
  <si>
    <t>522-101-1263-0022</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</si>
  <si>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</si>
  <si>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</si>
  <si>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522-101-1263-0023</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</si>
  <si>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</si>
  <si>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</si>
  <si>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522-101-1263-0024</t>
  </si>
  <si>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</si>
  <si>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</si>
  <si>
    <t>522-101-1263-0025</t>
  </si>
  <si>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</si>
  <si>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</si>
  <si>
    <t>522-101-1263-0026</t>
  </si>
  <si>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</si>
  <si>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</si>
  <si>
    <t>522-101-1263-0027</t>
  </si>
  <si>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</si>
  <si>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</si>
  <si>
    <t>522-101-1263-0028</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</si>
  <si>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</si>
  <si>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</si>
  <si>
    <t>522-101-1263-0029</t>
  </si>
  <si>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</si>
  <si>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</si>
  <si>
    <t>522-101-1263-0030</t>
  </si>
  <si>
    <t>Кресло VIP для актового зала. Каркас из массива древесины, основание из алюминия, обивка из микрофибровой кожи, устойчивой к износу</t>
  </si>
  <si>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</si>
  <si>
    <t>522-101-1263-0031</t>
  </si>
  <si>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</si>
  <si>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</si>
  <si>
    <t>522-101-1263-0032</t>
  </si>
  <si>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</si>
  <si>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</si>
  <si>
    <t>522-101-1263-0033</t>
  </si>
  <si>
    <t>Кресло для актового зала, опора каркаса изготавливается из стальных квадратных труб, поворотный механизм, обивка из ткани, размеры 600х600х990 мм</t>
  </si>
  <si>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</si>
  <si>
    <t>522-101-1264</t>
  </si>
  <si>
    <t>Кресло для спортивного зала</t>
  </si>
  <si>
    <t>522-101-1264-0001</t>
  </si>
  <si>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</si>
  <si>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</si>
  <si>
    <t>522-101-1264-0002</t>
  </si>
  <si>
    <t>Кресло типа Каскад КД-15. Материал пластик, основание металлический каркас, сиденье откидывается</t>
  </si>
  <si>
    <t>Размеры: высота 915мм, глубина в разложенном состоянии – 550 мм, глубина в сложенном состоянии – 230 мм, межцентровое расстояние кресел от 470 до 520 мм</t>
  </si>
  <si>
    <t>522-101-1264-0003</t>
  </si>
  <si>
    <t>Кресло типа Каскад КД-05. Материал пластик, основание металлический каркас, пружинный механизм возврата сиденья в сложенное положение</t>
  </si>
  <si>
    <t>522-101-1264-0004</t>
  </si>
  <si>
    <t>Кресло типа Каскад КД-02. Материал пластик, основание металлический каркас, сиденье с механизмом возврата гравитационным</t>
  </si>
  <si>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</si>
  <si>
    <t>522-101-1264-0005</t>
  </si>
  <si>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</si>
  <si>
    <t>Размеры: ширина 520мм, высота 840 мм, глубина в сложенном 250мм, в разложенном 680 мм</t>
  </si>
  <si>
    <t>522-101-1264-0006</t>
  </si>
  <si>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</si>
  <si>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</si>
  <si>
    <t>522-101-1264-0007</t>
  </si>
  <si>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</si>
  <si>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</si>
  <si>
    <t>522-101-1264-0008</t>
  </si>
  <si>
    <t>Кресло пластиковое складное, размер 550х480х840мм, металлокаркас с полимерно-порошковым покрытием</t>
  </si>
  <si>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</si>
  <si>
    <t>522-101-1264-0009</t>
  </si>
  <si>
    <t>Скамья зрительская для спортивных сооружений на 5 мест (пластиковые сиденья). Размеры: длина - 2500 мм, высота сидения - 450 мм, со спинкой - 725 мм; глубина - 423 мм</t>
  </si>
  <si>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</si>
  <si>
    <t>522-101-1264-0010</t>
  </si>
  <si>
    <t>Скамья зрительская для спортивных сооружений на 3 места (пластиковые сиденья). Размеры: длина - 1425 мм, высота сидения - 450 мм, со спинкой - 725 мм; глубина - 423 мм</t>
  </si>
  <si>
    <t>522-101-1265</t>
  </si>
  <si>
    <t>Стол журнальный</t>
  </si>
  <si>
    <t>522-101-1265-0001</t>
  </si>
  <si>
    <t>Столик круглой формы, столешница  из ЛДСП 16мм, ножки металл, размеры: диаметр 500мм, высота 750мм</t>
  </si>
  <si>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</si>
  <si>
    <t>522-101-1265-0002</t>
  </si>
  <si>
    <t>Стол журнальный прямоугольной формы, столешница из ЛДСП 32мм, каркас из ЛДСП 16мм, размер 1000х700х500мм</t>
  </si>
  <si>
    <t>Ширина - 1000мм, глубина - 700мм, высота - 500мм. Столешница из ЛДСП 32мм, каркас выполнен из ЛДСП 16мм. Торцы облицованы  кромкой ПВХ толщиной 2мм.</t>
  </si>
  <si>
    <t>522-101-1265-0003</t>
  </si>
  <si>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</si>
  <si>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</si>
  <si>
    <t>522-101-1266</t>
  </si>
  <si>
    <t>Тумба лабораторная</t>
  </si>
  <si>
    <t>522-101-1266-0001</t>
  </si>
  <si>
    <t>Тумба лабораторная 500х600х780мм</t>
  </si>
  <si>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</si>
  <si>
    <t>522-101-1266-0002</t>
  </si>
  <si>
    <t>Тумба лабораторная с раковиной, смесителем и сушкой. Размер 500х500х850 мм</t>
  </si>
  <si>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</si>
  <si>
    <t>522-101-1266-0004</t>
  </si>
  <si>
    <t>Тумба лабораторная на колесах с одной дверцей, ЛДСП 16 мм, размеры 500х400х650 мм</t>
  </si>
  <si>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</si>
  <si>
    <t>522-101-1266-0005</t>
  </si>
  <si>
    <t>Тумба лабораторная на колесах с выдвижными ящиками, ЛДСП 16 мм, размеры 500х440х600 мм</t>
  </si>
  <si>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</si>
  <si>
    <t>522-101-1267</t>
  </si>
  <si>
    <t>Шкаф металлический односекционный</t>
  </si>
  <si>
    <t>522-101-1267-0001</t>
  </si>
  <si>
    <t>типа GUARD с одной ячейкой, размеры 300х500х1830 мм, индивидуальный замок "Вертушка"</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</si>
  <si>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</si>
  <si>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522-101-1267-0002</t>
  </si>
  <si>
    <t>типа GUARD с одной ячейкой, размеры 300х400х1800 мм, индивидуальный замок "Вертушка"</t>
  </si>
  <si>
    <t>522-101-1267-0003</t>
  </si>
  <si>
    <t>типа GUARD с одной ячейкой, размеры 300х500х1860 мм, индивидуальный замок "Вертушка"</t>
  </si>
  <si>
    <t>522-101-1267-0004</t>
  </si>
  <si>
    <t>типа GUARD с одной ячейкой, размеры 325х500х1800 мм, индивидуальный замок "Вертушка"</t>
  </si>
  <si>
    <t>522-101-1267-0005</t>
  </si>
  <si>
    <t>типа GUARD с одной ячейкой, размеры 400х500х1830 мм, индивидуальный замок "Вертушка"</t>
  </si>
  <si>
    <t>522-101-1267-0006</t>
  </si>
  <si>
    <t>типа GUARD с одной ячейкой, размеры 400х500х1860 мм, индивидуальный замок "Вертушка"</t>
  </si>
  <si>
    <t>522-101-1267-0007</t>
  </si>
  <si>
    <t>типа GUARD с одной ячейкой, размеры 460х380х1830 мм, индивидуальный замок "Вертушка"</t>
  </si>
  <si>
    <t>522-101-1267-0008</t>
  </si>
  <si>
    <t>типа GUARD с одной ячейкой, размеры 500х550х2000 мм, индивидуальный замок "Вертушка"</t>
  </si>
  <si>
    <t>522-101-1267-0009</t>
  </si>
  <si>
    <t>типа GUARD с одной ячейкой, размеры 300х500х1830 мм, индивидуальный замок "Практик"</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</si>
  <si>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</si>
  <si>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522-101-1267-0010</t>
  </si>
  <si>
    <t>типа GUARD с одной ячейкой, размеры 300х400х1800 мм, индивидуальный замок "Практик"</t>
  </si>
  <si>
    <t>522-101-1267-0011</t>
  </si>
  <si>
    <t>типа GUARD с одной ячейкой, размеры 300х500х1860 мм, индивидуальный замок "Практик"</t>
  </si>
  <si>
    <t>522-101-1267-0012</t>
  </si>
  <si>
    <t>типа GUARD с одной ячейкой, размеры 325х500х1800 мм, индивидуальный замок "Практик"</t>
  </si>
  <si>
    <t>522-101-1267-0013</t>
  </si>
  <si>
    <t>типа GUARD с одной ячейкой, размеры 400х500х1830 мм, индивидуальный замок "Практик"</t>
  </si>
  <si>
    <t>522-101-1267-0014</t>
  </si>
  <si>
    <t>типа GUARD с одной ячейкой, размеры 400х500х1860 мм, индивидуальный замок "Практик"</t>
  </si>
  <si>
    <t>522-101-1267-0015</t>
  </si>
  <si>
    <t>типа GUARD с одной ячейкой, размеры 460х380х1830 мм, индивидуальный замок "Практик"</t>
  </si>
  <si>
    <t>522-101-1267-0016</t>
  </si>
  <si>
    <t>типа GUARD с одной ячейкой, размеры 500х550х2000 мм, индивидуальный замок "Практик"</t>
  </si>
  <si>
    <t>522-101-1267-0017</t>
  </si>
  <si>
    <t>типа GUARD с одной ячейкой, размеры 300х500х1830 мм, индивидуальный электронный замок, браслет</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</si>
  <si>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</si>
  <si>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522-101-1267-0018</t>
  </si>
  <si>
    <t>типа GUARD с одной ячейкой, размеры 300х400х1800 мм, индивидуальный электронный замок, браслет</t>
  </si>
  <si>
    <t>522-101-1267-0019</t>
  </si>
  <si>
    <t>типа GUARD с одной ячейкой, размеры 300х500х1860 мм, индивидуальный электронный замок, браслет</t>
  </si>
  <si>
    <t>522-101-1267-0020</t>
  </si>
  <si>
    <t>типа GUARD с одной ячейкой, размеры 325х500х1800 мм, индивидуальный электронный замок, браслет</t>
  </si>
  <si>
    <t>522-101-1267-0021</t>
  </si>
  <si>
    <t>типа GUARD с одной ячейкой, размеры 400х500х1830 мм, индивидуальный электронный замок, браслет</t>
  </si>
  <si>
    <t>522-101-1267-0022</t>
  </si>
  <si>
    <t>типа GUARD с одной ячейкой, размеры 400х500х1860 мм, индивидуальный электронный замок, браслет</t>
  </si>
  <si>
    <t>522-101-1267-0023</t>
  </si>
  <si>
    <t>типа GUARD с одной ячейкой, размеры 460х380х1830 мм, индивидуальный электронный замок, браслет</t>
  </si>
  <si>
    <t>522-101-1267-0024</t>
  </si>
  <si>
    <t>типа GUARD с одной ячейкой, размеры 500х550х2000 мм, индивидуальный электронный замок, браслет</t>
  </si>
  <si>
    <t>522-101-1267-0025</t>
  </si>
  <si>
    <t>типа GUARD с двумя ячейками, размеры 300х500х1830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</si>
  <si>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</si>
  <si>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522-101-1267-0026</t>
  </si>
  <si>
    <t>типа GUARD с двумя ячейками, размеры 400х500х1830 мм, индивидуальный замок "Вертушка"</t>
  </si>
  <si>
    <t>522-101-1267-0027</t>
  </si>
  <si>
    <t>типа GUARD с двумя ячейками, размеры 400х500х2300 мм, индивидуальный замок "Вертушка"</t>
  </si>
  <si>
    <t>522-101-1267-0028</t>
  </si>
  <si>
    <t>типа GUARD с двумя ячейками, размеры 300х500х1830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</si>
  <si>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</si>
  <si>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522-101-1267-0029</t>
  </si>
  <si>
    <t>типа GUARD с двумя ячейками, размеры 400х500х1830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</si>
  <si>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</si>
  <si>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522-101-1267-0030</t>
  </si>
  <si>
    <t>типа GUARD с двумя ячейками, размеры 400х500х2300 мм, индивидуальный электронный замок, браслет</t>
  </si>
  <si>
    <t>522-101-1267-0031</t>
  </si>
  <si>
    <t>типа GUARD с двумя ячейками, размеры 300х500х1830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</si>
  <si>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</si>
  <si>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522-101-1267-0032</t>
  </si>
  <si>
    <t>типа GUARD с двумя ячейками, размеры 400х500х1830 мм, индивидуальный замок "Практик"</t>
  </si>
  <si>
    <t>522-101-1267-0033</t>
  </si>
  <si>
    <t>типа GUARD с двумя ячейками, размеры 400х500х2300 мм, индивидуальный замок "Практик"</t>
  </si>
  <si>
    <t>522-101-1267-0034</t>
  </si>
  <si>
    <t>типа GUARD с четырьмя ячейками, размеры 300х500х1830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</si>
  <si>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</si>
  <si>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522-101-1267-0035</t>
  </si>
  <si>
    <t>типа GUARD с четырьмя ячейками, размеры 250х300х1500 мм, индивидуальный замок "Вертушка"</t>
  </si>
  <si>
    <t>522-101-1267-0036</t>
  </si>
  <si>
    <t>типа GUARD с четырьмя ячейками, размеры 250х300х1600 мм, индивидуальный замок "Вертушка"</t>
  </si>
  <si>
    <t>522-101-1267-0037</t>
  </si>
  <si>
    <t>типа GUARD с четырьмя ячейками, размеры 300х300х1500 мм, индивидуальный замок "Вертушка"</t>
  </si>
  <si>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</si>
  <si>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522-101-1267-0038</t>
  </si>
  <si>
    <t>типа GUARD с четырьмя ячейками, размеры 300х500х1830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</si>
  <si>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</si>
  <si>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522-101-1267-0039</t>
  </si>
  <si>
    <t>типа GUARD с четырьмя ячейками, размеры 250х300х1500 мм, индивидуальный замок "Практик"</t>
  </si>
  <si>
    <t>522-101-1267-0040</t>
  </si>
  <si>
    <t>типа GUARD с четырьмя ячейками, размеры 250х300х1600 мм, индивидуальный замок "Практик"</t>
  </si>
  <si>
    <t>522-101-1267-0041</t>
  </si>
  <si>
    <t>типа GUARD с четырьмя ячейками, размеры 300х500х1830 мм, индивидуальный электронный замок, браслет</t>
  </si>
  <si>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</si>
  <si>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522-101-1267-0042</t>
  </si>
  <si>
    <t>типа GUARD с четырьмя ячейками, размеры 250х300х1500 мм, индивидуальный электронный замок, браслет</t>
  </si>
  <si>
    <t>522-101-1267-0043</t>
  </si>
  <si>
    <t>типа GUARD с четырьмя ячейками, размеры 250х300х1600 мм, индивидуальный электронный замок, браслет</t>
  </si>
  <si>
    <t>522-101-1268</t>
  </si>
  <si>
    <t>Шкаф металлический двухсекционный</t>
  </si>
  <si>
    <t>522-101-1268-0001</t>
  </si>
  <si>
    <t>типа GUARD с двумя ячейками, размеры 575х500х1830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</si>
  <si>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</si>
  <si>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522-101-1268-0002</t>
  </si>
  <si>
    <t>типа GUARD с двумя ячейками, размеры 418х500х1830 мм, индивидуальный замок "Вертушка"</t>
  </si>
  <si>
    <t>522-101-1268-0003</t>
  </si>
  <si>
    <t>типа GUARD с двумя ячейками, размеры 575х500х1500 мм, индивидуальный замок "Вертушка"</t>
  </si>
  <si>
    <t>522-101-1268-0004</t>
  </si>
  <si>
    <t>типа GUARD с двумя ячейками, размеры 600х500х1500 мм, индивидуальный замок "Вертушка"</t>
  </si>
  <si>
    <t>522-101-1268-0005</t>
  </si>
  <si>
    <t>типа GUARD с двумя ячейками, размеры 600х500х1760 мм, индивидуальный замок "Вертушка"</t>
  </si>
  <si>
    <t>522-101-1268-0006</t>
  </si>
  <si>
    <t>типа GUARD с двумя ячейками, размеры 600х500х1830 мм, индивидуальный замок "Вертушка"</t>
  </si>
  <si>
    <t>522-101-1268-0007</t>
  </si>
  <si>
    <t>типа GUARD с двумя ячейками, размеры 800х500х1830 мм, индивидуальный замок "Вертушка"</t>
  </si>
  <si>
    <t>522-101-1268-0008</t>
  </si>
  <si>
    <t>типа GUARD с двумя ячейками, размеры 800х500х1860 мм, индивидуальный замок "Вертушка"</t>
  </si>
  <si>
    <t>522-101-1268-0009</t>
  </si>
  <si>
    <t>типа GUARD с двумя ячейками, размеры 575х500х1830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</si>
  <si>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</si>
  <si>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522-101-1268-0010</t>
  </si>
  <si>
    <t>типа GUARD с двумя ячейками, размеры 418х500х1830 мм, индивидуальный замок "Практик"</t>
  </si>
  <si>
    <t>522-101-1268-0011</t>
  </si>
  <si>
    <t>типа GUARD с двумя ячейками, размеры 575х500х1500 мм, индивидуальный замок "Практик"</t>
  </si>
  <si>
    <t>522-101-1268-0012</t>
  </si>
  <si>
    <t>типа GUARD с двумя ячейками, размеры 600х500х1500 мм, индивидуальный замок "Практик"</t>
  </si>
  <si>
    <t>522-101-1268-0013</t>
  </si>
  <si>
    <t>типа GUARD с двумя ячейками, размеры 600х500х1760 мм, индивидуальный замок "Практик"</t>
  </si>
  <si>
    <t>522-101-1268-0014</t>
  </si>
  <si>
    <t>типа GUARD с двумя ячейками, размеры 600х500х1830 мм, индивидуальный замок "Практик"</t>
  </si>
  <si>
    <t>522-101-1268-0015</t>
  </si>
  <si>
    <t>типа GUARD с двумя ячейками, размеры 800х500х1830 мм, индивидуальный замок "Практик"</t>
  </si>
  <si>
    <t>522-101-1268-0017</t>
  </si>
  <si>
    <t>типа GUARD с двумя ячейками, размеры 575х500х1830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</si>
  <si>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</si>
  <si>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522-101-1268-0018</t>
  </si>
  <si>
    <t>типа GUARD с двумя ячейками, размеры 418х500х1830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</si>
  <si>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</si>
  <si>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522-101-1268-0019</t>
  </si>
  <si>
    <t>типа GUARD с двумя ячейками, размеры 575х500х1500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</si>
  <si>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</si>
  <si>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522-101-1268-0020</t>
  </si>
  <si>
    <t>типа GUARD с двумя ячейками, размеры 600х500х1500 мм, индивидуальный электронный замок, браслет</t>
  </si>
  <si>
    <t>522-101-1268-0021</t>
  </si>
  <si>
    <t>типа GUARD с двумя ячейками, размеры 600х500х1760 мм, индивидуальный электронный замок, браслет</t>
  </si>
  <si>
    <t>522-101-1268-0022</t>
  </si>
  <si>
    <t>типа GUARD с двумя ячейками, размеры 600х500х1830 мм, индивидуальный электронный замок, браслет</t>
  </si>
  <si>
    <t>522-101-1268-0023</t>
  </si>
  <si>
    <t>типа GUARD с двумя ячейками, размеры 800х500х1830 мм, индивидуальный электронный замок, браслет</t>
  </si>
  <si>
    <t>522-101-1268-0024</t>
  </si>
  <si>
    <t>типа GUARD с двумя ячейками, размеры 800х500х1860 мм, индивидуальный электронный замок, браслет</t>
  </si>
  <si>
    <t>522-101-1268-0025</t>
  </si>
  <si>
    <t>типа GUARD с четырьмя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</si>
  <si>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</si>
  <si>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522-101-1268-0026</t>
  </si>
  <si>
    <t>типа GUARD с четырьмя ячейками, размеры 575х600х1830 мм, индивидуальный замок "Вертушка"</t>
  </si>
  <si>
    <t>522-101-1268-0027</t>
  </si>
  <si>
    <t>типа GUARD с четырьмя ячейками, размеры 600х500х1800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</si>
  <si>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</si>
  <si>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522-101-1268-0028</t>
  </si>
  <si>
    <t>типа GUARD с четырьмя ячейками, размеры 600х500х1830 мм, индивидуальный замок "Вертушка"</t>
  </si>
  <si>
    <t>522-101-1268-0029</t>
  </si>
  <si>
    <t>типа GUARD с четырьмя ячейками, размеры 600х500х1850 мм, индивидуальный замок "Вертушка"</t>
  </si>
  <si>
    <t>522-101-1268-0030</t>
  </si>
  <si>
    <t>типа GUARD с четырьмя ячейками, размеры 760х400х1880 мм, индивидуальный замок "Вертушка"</t>
  </si>
  <si>
    <t>522-101-1268-0031</t>
  </si>
  <si>
    <t>типа GUARD с четырьмя ячейками, размеры 800х400х1880 мм, индивидуальный замок "Вертушка"</t>
  </si>
  <si>
    <t>522-101-1268-0032</t>
  </si>
  <si>
    <t>типа GUARD с четырьмя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</si>
  <si>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</si>
  <si>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522-101-1268-0033</t>
  </si>
  <si>
    <t>типа GUARD с четырьмя ячейками, размеры 575х600х1830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</si>
  <si>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</si>
  <si>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522-101-1268-0034</t>
  </si>
  <si>
    <t>типа GUARD с четырьмя ячейками, размеры 600х500х1800 мм, индивидуальный замок "Практик"</t>
  </si>
  <si>
    <t>522-101-1268-0035</t>
  </si>
  <si>
    <t>типа GUARD с четырьмя ячейками, размеры 600х500х1830 мм, индивидуальный замок "Практик"</t>
  </si>
  <si>
    <t>522-101-1268-0036</t>
  </si>
  <si>
    <t>типа GUARD с четырьмя ячейками, размеры 600х500х1850 мм, индивидуальный замок "Практик"</t>
  </si>
  <si>
    <t>522-101-1268-0037</t>
  </si>
  <si>
    <t>типа GUARD с четырьмя ячейками, размеры 760х400х1880 мм, индивидуальный замок "Практик"</t>
  </si>
  <si>
    <t>522-101-1268-0038</t>
  </si>
  <si>
    <t>типа GUARD с четырьмя ячейками, размеры 800х400х1880 мм, индивидуальный замок "Практик"</t>
  </si>
  <si>
    <t>522-101-1268-0039</t>
  </si>
  <si>
    <t>типа GUARD с четырьмя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</si>
  <si>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</si>
  <si>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522-101-1268-0040</t>
  </si>
  <si>
    <t>типа GUARD с четырьмя ячейками, размеры 575х600х1830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</si>
  <si>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</si>
  <si>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522-101-1268-0041</t>
  </si>
  <si>
    <t>типа GUARD с четырьмя ячейками, размеры 600х500х1800 мм, индивидуальный электронный замок, браслет</t>
  </si>
  <si>
    <t>522-101-1268-0042</t>
  </si>
  <si>
    <t>типа GUARD с четырьмя ячейками, размеры 600х500х1830 мм, индивидуальный электронный замок, браслет</t>
  </si>
  <si>
    <t>522-101-1268-0043</t>
  </si>
  <si>
    <t>типа GUARD с четырьмя ячейками, размеры 600х500х1850 мм, индивидуальный электронный замок, браслет</t>
  </si>
  <si>
    <t>522-101-1268-0044</t>
  </si>
  <si>
    <t>типа GUARD с четырьмя ячейками, размеры 760х400х1880 мм, индивидуальный электронный замок, браслет</t>
  </si>
  <si>
    <t>522-101-1268-0045</t>
  </si>
  <si>
    <t>типа GUARD с четырьмя ячейками, размеры 800х400х1880 мм, индивидуальный электронный замок, браслет</t>
  </si>
  <si>
    <t>522-101-1268-0046</t>
  </si>
  <si>
    <t>типа GUARD с четырьмя закрытыми ячейками и четырьми открытыми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</si>
  <si>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</si>
  <si>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522-101-1268-0047</t>
  </si>
  <si>
    <t>типа GUARD с четырьмя закрытыми ячейками и четырьми открытыми ячейками, размеры 575х400х1860 мм, индивидуальный замок "Вертушка"</t>
  </si>
  <si>
    <t>522-101-1268-0048</t>
  </si>
  <si>
    <t>типа GUARD с четырьмя закрытыми ячейками и четырьми открытыми ячейками, размеры 575х500х1860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</si>
  <si>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</si>
  <si>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522-101-1268-0049</t>
  </si>
  <si>
    <t>типа GUARD с четырьмя закрытыми ячейками и четырьми открытыми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</si>
  <si>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</si>
  <si>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522-101-1268-0050</t>
  </si>
  <si>
    <t>типа GUARD с четырьмя закрытыми ячейками и четырьми открытыми ячейками, размеры 575х400х1860 мм, индивидуальный замок "Практик"</t>
  </si>
  <si>
    <t>522-101-1268-0051</t>
  </si>
  <si>
    <t>типа GUARD с четырьмя закрытыми ячейками и четырьми открытыми ячейками, размеры 575х500х1860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</si>
  <si>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</si>
  <si>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522-101-1268-0052</t>
  </si>
  <si>
    <t>типа GUARD с четырьмя закрытыми ячейками и четырьми открытыми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</si>
  <si>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</si>
  <si>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522-101-1268-0053</t>
  </si>
  <si>
    <t>типа GUARD с четырьмя закрытыми ячейками и четырьми открытыми ячейками, размеры 575х400х1860 мм, индивидуальный электронный замок, браслет</t>
  </si>
  <si>
    <t>522-101-1268-0054</t>
  </si>
  <si>
    <t>типа GUARD с четырьмя закрытыми ячейками и четырьми открытыми ячейками, размеры 575х500х1860 мм, индивидуальный электронный замок, браслет</t>
  </si>
  <si>
    <t>522-101-1268-0055</t>
  </si>
  <si>
    <t>типа GUARD с четырьмя ячейками с полкой, размеры 575х500х1830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</si>
  <si>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</si>
  <si>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522-101-1268-0056</t>
  </si>
  <si>
    <t>типа GUARD с четырьмя ячейками с полкой, размеры 575х400х1860 мм, индивидуальный замок "Вертушка"</t>
  </si>
  <si>
    <t>522-101-1268-0057</t>
  </si>
  <si>
    <t>типа GUARD с восемью ячейками, размеры 575х500х1830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</si>
  <si>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</si>
  <si>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522-101-1268-0058</t>
  </si>
  <si>
    <t>типа GUARD с восемью ячейками, размеры 575х500х1830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</si>
  <si>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</si>
  <si>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t>
  </si>
  <si>
    <t>Шкаф металлический трехсекционный</t>
  </si>
  <si>
    <t>522-101-1269-0001</t>
  </si>
  <si>
    <t>типа GUARD с тремя ячейками, размеры 850х500х1830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</si>
  <si>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</si>
  <si>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522-101-1269-0002</t>
  </si>
  <si>
    <t>типа GUARD с тремя ячейками, размеры 850х500х1500 мм, индивидуальный замок "Вертушка"</t>
  </si>
  <si>
    <t>522-101-1269-0003</t>
  </si>
  <si>
    <t>типа GUARD с тремя ячейками, размеры 900х500х1830 мм, индивидуальный замок "Вертушка"</t>
  </si>
  <si>
    <t>522-101-1269-0004</t>
  </si>
  <si>
    <t>типа GUARD с тремя ячейками, размеры 850х500х1830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</si>
  <si>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</si>
  <si>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522-101-1269-0005</t>
  </si>
  <si>
    <t>типа GUARD с тремя ячейками, размеры 850х500х1500 мм, индивидуальный замок "Практик"</t>
  </si>
  <si>
    <t>522-101-1269-0006</t>
  </si>
  <si>
    <t>типа GUARD с тремя ячейками, размеры 900х500х1830 мм, индивидуальный замок "Практик"</t>
  </si>
  <si>
    <t>522-101-1269-0007</t>
  </si>
  <si>
    <t>типа GUARD с тремя ячейками, размеры 850х500х1830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</si>
  <si>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</si>
  <si>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522-101-1269-0008</t>
  </si>
  <si>
    <t>типа GUARD с тремя ячейками, размеры 850х500х1500 мм, индивидуальный электронный замок, браслет</t>
  </si>
  <si>
    <t>522-101-1269-0009</t>
  </si>
  <si>
    <t>типа GUARD с тремя ячейками, размеры 900х500х1830 мм, индивидуальный электронный замок, браслет</t>
  </si>
  <si>
    <t>522-101-1269-0010</t>
  </si>
  <si>
    <t>типа GUARD с шестью ячейками, размеры 850х500х1830 мм, индивидуальный замок "Практик"</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</si>
  <si>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</si>
  <si>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522-101-1269-0011</t>
  </si>
  <si>
    <t>типа GUARD с шестью ячейками, размеры 850х500х1830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</si>
  <si>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</si>
  <si>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522-101-1269-0012</t>
  </si>
  <si>
    <t>типа GUARD с девятью ячейками, размеры 850х500х1830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</si>
  <si>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</si>
  <si>
    <t>522-101-1269-0013</t>
  </si>
  <si>
    <t>типа GUARD с девятью ячейками, размеры 850х500х1830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</si>
  <si>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</si>
  <si>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522-101-1269-0014</t>
  </si>
  <si>
    <t>типа GUARD с двенадцатью ячейками, размеры 850х500х1830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</si>
  <si>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</si>
  <si>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522-101-1269-0015</t>
  </si>
  <si>
    <t>типа GUARD с двенадцатью ячейками, размеры 850х500х1830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</si>
  <si>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</si>
  <si>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t>
  </si>
  <si>
    <t>Шкаф металлический четырехсекционный</t>
  </si>
  <si>
    <t>522-101-1270-0001</t>
  </si>
  <si>
    <t>типа GUARD с четырьмя ячейками, размеры 1150х500х1830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</si>
  <si>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</si>
  <si>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522-101-1270-0002</t>
  </si>
  <si>
    <t>типа GUARD с четырьмя ячейками, размеры 1150х500х1500 мм, индивидуальный замок "Вертушка"</t>
  </si>
  <si>
    <t>522-101-1270-0003</t>
  </si>
  <si>
    <t>типа GUARD с четырьмя ячейками, размеры 1150х500х1700 мм, индивидуальный замок "Вертушка"</t>
  </si>
  <si>
    <t>522-101-1270-0004</t>
  </si>
  <si>
    <t>типа GUARD с четырьмя ячейками, размеры 1250х500х1230 мм, индивидуальный замок "Вертушка"</t>
  </si>
  <si>
    <t>522-101-1270-0005</t>
  </si>
  <si>
    <t>типа GUARD с четырьмя ячейками, размеры 1150х500х1830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</si>
  <si>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</si>
  <si>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522-101-1270-0006</t>
  </si>
  <si>
    <t>типа GUARD с четырьмя ячейками, размеры 1150х500х1500 мм, индивидуальный замок "Практик"</t>
  </si>
  <si>
    <t>522-101-1270-0007</t>
  </si>
  <si>
    <t>типа GUARD с четырьмя ячейками, размеры 1150х500х1700 мм, индивидуальный замок "Практик"</t>
  </si>
  <si>
    <t>522-101-1270-0008</t>
  </si>
  <si>
    <t>типа GUARD с четырьмя ячейками, размеры 1250х500х1230 мм, индивидуальный замок "Практик"</t>
  </si>
  <si>
    <t>522-101-1270-0009</t>
  </si>
  <si>
    <t>типа GUARD с четырьмя ячейками, размеры 1150х500х1830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</si>
  <si>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</si>
  <si>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522-101-1270-0010</t>
  </si>
  <si>
    <t>типа GUARD с четырьмя ячейками, размеры 1150х500х1500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</si>
  <si>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</si>
  <si>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522-101-1270-0011</t>
  </si>
  <si>
    <t>типа GUARD с четырьмя ячейками, размеры 1150х500х1700 мм, индивидуальный электронный замок, браслет</t>
  </si>
  <si>
    <t>522-101-1270-0012</t>
  </si>
  <si>
    <t>типа GUARD с четырьмя ячейками, размеры 1250х500х1230 мм, индивидуальный электронный замок, браслет</t>
  </si>
  <si>
    <t>522-101-1271</t>
  </si>
  <si>
    <t>Шкаф металлический пятисекционный</t>
  </si>
  <si>
    <t>522-101-1271-0001</t>
  </si>
  <si>
    <t>типа GUARD с двадцатью пятью ячейками, размеры 1250х350х1280 мм, индивидуальный замок "Практик"</t>
  </si>
  <si>
    <t>522-101-1271-0002</t>
  </si>
  <si>
    <t>типа GUARD с тридцатью ячейками, размеры 1780х400х2280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</si>
  <si>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</si>
  <si>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522-101-1271-0003</t>
  </si>
  <si>
    <t>типа GUARD с тридцатью открытыми
ячейками, размеры 1780х400х2280 мм</t>
  </si>
  <si>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</si>
  <si>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522-101-1300</t>
  </si>
  <si>
    <t>Прочее оборудование</t>
  </si>
  <si>
    <t>522-101-1302</t>
  </si>
  <si>
    <t>Сейф несгораемый</t>
  </si>
  <si>
    <t>522-101-1302-0001</t>
  </si>
  <si>
    <t>Шкаф металлический ВМ 1260KL</t>
  </si>
  <si>
    <t>522-101-1304</t>
  </si>
  <si>
    <t>Утюг</t>
  </si>
  <si>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</si>
  <si>
    <t>522-101-1305</t>
  </si>
  <si>
    <t>Тележка для перевозки грузов</t>
  </si>
  <si>
    <t>522-101-1305-0001</t>
  </si>
  <si>
    <t>Тележка бытовая без дополнительных планок</t>
  </si>
  <si>
    <t>522-101-1305-0002</t>
  </si>
  <si>
    <t>Тележка бытовая с дополнительными планками</t>
  </si>
  <si>
    <t>522-101-1305-0003</t>
  </si>
  <si>
    <t>Тележка грузовая</t>
  </si>
  <si>
    <t>522-101-1305-0004</t>
  </si>
  <si>
    <t>Тележка грузовая М без сумки</t>
  </si>
  <si>
    <t>522-101-1305-0005</t>
  </si>
  <si>
    <t>Тележка грузовая М с сумкой</t>
  </si>
  <si>
    <t>522-101-1305-0006</t>
  </si>
  <si>
    <t>Тележка багажная грузоподъемностью до 200 кг</t>
  </si>
  <si>
    <t>522-101-1305-0007</t>
  </si>
  <si>
    <t>Тележка багажная грузоподъемностью до 200 кг с удлинённой пластиной</t>
  </si>
  <si>
    <t>522-101-1305-0008</t>
  </si>
  <si>
    <t>Тележка почтовая грузоподъемностью до 200 кг</t>
  </si>
  <si>
    <t>522-101-1305-0009</t>
  </si>
  <si>
    <t>Тележка почтовая грузоподъемностью до 200 кг с удлинённой пластиной и лопатой</t>
  </si>
  <si>
    <t>522-101-1305-0010</t>
  </si>
  <si>
    <t>Тележка садовая с пластиковым корытом</t>
  </si>
  <si>
    <t>522-101-1305-0011</t>
  </si>
  <si>
    <t>Тележка садовая с металлическим корытом</t>
  </si>
  <si>
    <t>522-101-1306</t>
  </si>
  <si>
    <t>Дозатор жидкого мыла</t>
  </si>
  <si>
    <t>Пластиковый с глазком, объем не менее 1000 мл, размеры длина 115мм, глубина 110мм, высота 245мм</t>
  </si>
  <si>
    <t>522-101-1308</t>
  </si>
  <si>
    <t>Электросушитель для рук</t>
  </si>
  <si>
    <t>522-101-1308-0001</t>
  </si>
  <si>
    <t>Электросушитель для рук типа ALMACOM HD-798-ABS-G. Материал: ABS Пластик, мощность: 2 300Вт, скорость вращения двиг.: 23 000 об/мин</t>
  </si>
  <si>
    <t>522-101-1308-0002</t>
  </si>
  <si>
    <t>Электросушитель для рук типа CJ-103. Материал: пластик, мощность: 2 000Вт</t>
  </si>
  <si>
    <t>522-101-1309</t>
  </si>
  <si>
    <t>Фен настенный</t>
  </si>
  <si>
    <t>522-101-1309-0001</t>
  </si>
  <si>
    <t>Фен настенный для сушки волос типа ALMACOM HFD-1200A. Мощность:
1200Вт, скорость воздух: 12м/с, скорость вращения двигателя: 170 000 об/мин</t>
  </si>
  <si>
    <t>522-101-1309-0002</t>
  </si>
  <si>
    <t>Фен настенный для сушки волос стационарный PH-01. Материал: пластик, мощность: 1100Вт, 220В/50Гц, скорость воздушного потока: 13м/с</t>
  </si>
  <si>
    <t>522-101-1310</t>
  </si>
  <si>
    <t>Диспенсер для туалетной бумаги</t>
  </si>
  <si>
    <t>522-101-1310-0001</t>
  </si>
  <si>
    <t>Диспенсер для туалетной бумаги в рулонах типа Jumbo. Материал: пластик, ручная подача, открывается с помощью ключа</t>
  </si>
  <si>
    <t>522-101-1311</t>
  </si>
  <si>
    <t>Диспенсер для бумажных полотенец</t>
  </si>
  <si>
    <t>522-101-1311-0001</t>
  </si>
  <si>
    <t>Диспенсер для бумажных полотенец типа Vialli. Материал: пластик, Z-укладка, открывается ключом, небольшое окошко для контроля заполнения</t>
  </si>
  <si>
    <t>522-101-1311-0002</t>
  </si>
  <si>
    <t>Диспенсер для бумажных полотенец типа Dolly. Материал: пластик, настенный держатель рулонных полотенец с откидной крышкой</t>
  </si>
  <si>
    <t>Группа 522-102. Оборудование и мебель для столовой</t>
  </si>
  <si>
    <t>522-102-0100</t>
  </si>
  <si>
    <t>Мебель для столовой</t>
  </si>
  <si>
    <t>522-102-0101</t>
  </si>
  <si>
    <t>Комплект обеденной мебели</t>
  </si>
  <si>
    <t>522-102-0101-0001</t>
  </si>
  <si>
    <t>Стол обеденный на 8 мест, с сиденьями (складной механизм) 2550х1530х760 мм.</t>
  </si>
  <si>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</si>
  <si>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522-102-0101-0002</t>
  </si>
  <si>
    <t>Стол обеденный с 4-мя стульями, размер не менее 1500х600х700мм</t>
  </si>
  <si>
    <t>Стол обеденный с 4-мя стульями, размер не менее 1500х600х700мм.
Основание металлокаркас.</t>
  </si>
  <si>
    <t>522-102-0101-0003</t>
  </si>
  <si>
    <t>Стол обеденный на 6 мест, с сиденьями. Размер не менее 1530х1530х760мм</t>
  </si>
  <si>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</si>
  <si>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522-102-0101-0004</t>
  </si>
  <si>
    <t>Стул обеденный штабелируемый, сиденье выполнено из полипропилена</t>
  </si>
  <si>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</si>
  <si>
    <t>522-102-0101-0005</t>
  </si>
  <si>
    <t>Стол обеденный на 12 мест, с сиденьями (складной механизм). Размер не менее 3050х1530х760мм</t>
  </si>
  <si>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</si>
  <si>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522-102-0101-0006</t>
  </si>
  <si>
    <t>Стол 8-и местный 2400х750х750мм со стульями в комплекте</t>
  </si>
  <si>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</si>
  <si>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522-102-0101-0007</t>
  </si>
  <si>
    <t>Стол 6-и местный 1800х750х750мм со стульями в комплекте</t>
  </si>
  <si>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</si>
  <si>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522-102-0101-0008</t>
  </si>
  <si>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</si>
  <si>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</si>
  <si>
    <t>522-102-0101-0009</t>
  </si>
  <si>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</si>
  <si>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</si>
  <si>
    <t>522-102-0101-0010</t>
  </si>
  <si>
    <t>Стол обеденный на 4 места, размер 1200х800х750мм. Столешница из высокопрочного HPL пластика, толщиной 11,5мм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</si>
  <si>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</si>
  <si>
    <t>522-102-0101-0011</t>
  </si>
  <si>
    <t>Стол обеденный 1500х600х700мм. Столешница из ДСП 16 мм, облицована пластиковым покрытием, металлический каркас</t>
  </si>
  <si>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</si>
  <si>
    <t>522-102-0101-0012</t>
  </si>
  <si>
    <t>Стол обеденный на 4 места, размер 1200х800х800мм. Столешница из ДСП 18мм, облицованная пластиком, металлический каркас</t>
  </si>
  <si>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</si>
  <si>
    <t>522-102-0101-0013</t>
  </si>
  <si>
    <t>Скамья обеденная 3-х местная 1500х250х400 мм. Каркас металлический, сиденье ЛДСП 16 мм</t>
  </si>
  <si>
    <t>Скамья обеденная 3-х местная 1500х250х400 мм. Каркас металлический, сиденье ЛДСП 16 мм, кромка ПВХ</t>
  </si>
  <si>
    <t>522-102-0101-0014</t>
  </si>
  <si>
    <t>Стол обеденный 800х800х750мм, прямой каркас металлический цветной, столешница из ЛДСП 16мм</t>
  </si>
  <si>
    <t>522-102-0101-0015</t>
  </si>
  <si>
    <t>Стол обеденный 800х800х770мм,
L-образный каркас металлический цветной, столешница из ЛДСП 16мм</t>
  </si>
  <si>
    <t>Стол обеденный 800х800х770мм, L-образный каркас металлический цветной, столешница из ЛДСП 16мм</t>
  </si>
  <si>
    <t>522-102-0101-0016</t>
  </si>
  <si>
    <t>Стол обеденный 1200х800х770мм, каркас металлический цветной, столешница из ЛДСП 16мм</t>
  </si>
  <si>
    <t>522-102-0101-0017</t>
  </si>
  <si>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</si>
  <si>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</si>
  <si>
    <t>522-102-0101-0018</t>
  </si>
  <si>
    <t>Стол обеденный на 6 мест, с сиденьями. Размер 1530х1530х760 мм. Столешница из ламинированного МДФ 18мм, сиденье из полипропилена, металлокаркас</t>
  </si>
  <si>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</si>
  <si>
    <t>522-102-0101-0021</t>
  </si>
  <si>
    <t>Стол обеденный, размер 1200х800х740 мм, столешница из HPL 22 мм, 4 опоры из трубы конической формы</t>
  </si>
  <si>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</si>
  <si>
    <t>522-102-0101-0022</t>
  </si>
  <si>
    <t>Стол обеденный на 4 человека. Столешница ЛДСП покрытая HPL пластиком, толщина 22 мм, каркас металлический труба 60х30 мм, размеры 1200х700х750 мм</t>
  </si>
  <si>
    <t>Столешница ЛДСП покрытая HPL пластиком, толщина 22мм, цвет белый, металл: труба 60х30 мм, цвет антрацит RAL7016</t>
  </si>
  <si>
    <t>522-102-0101-0023</t>
  </si>
  <si>
    <t>Стол обеденный на 6 человек. Столешница ЛДСП покрытая HPL пластиком, толщина 22 мм, каркас металлический труба 60х30 мм, размеры 1800х700х750 мм</t>
  </si>
  <si>
    <t>Столешница ЛДСП покрытая HPL пластиком, толщина 22мм, цвет белый, металл: труба 60х30 мм, цвет антрацит  RAL7016</t>
  </si>
  <si>
    <t>522-102-0101-0024</t>
  </si>
  <si>
    <t>Стол обеденный на 4 человека. Столешница ЛДСП покрытая HPL пластиком, толщина 22 мм, каркас металлический труба 60х15 мм, размеры 1200х700х750 мм</t>
  </si>
  <si>
    <t>Столешница ЛДСП покрытая HPL пластиком, толщина 22мм, металл: труба 60х15 мм, цвет белый  RAL9016</t>
  </si>
  <si>
    <t>522-102-0101-0025</t>
  </si>
  <si>
    <t>Стол обеденный на 6 человек. Столешница ЛДСП покрытая HPL пластиком, толщина 22 мм, каркас металлический труба 60х15 мм, размеры 1800х700х750 мм</t>
  </si>
  <si>
    <t>522-102-0101-0026</t>
  </si>
  <si>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</si>
  <si>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</si>
  <si>
    <t>522-102-0101-0027</t>
  </si>
  <si>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</si>
  <si>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</si>
  <si>
    <t>522-102-0102</t>
  </si>
  <si>
    <t>Стул для столовой</t>
  </si>
  <si>
    <t>522-102-0102-0001</t>
  </si>
  <si>
    <t>Стул барный. Сидение выполнено из полипропилена. Изогнутая спинка сидения. Металлический каркас. Размер: 460х480х1150мм</t>
  </si>
  <si>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</si>
  <si>
    <t>522-102-0102-0002</t>
  </si>
  <si>
    <t>Стул типа Фаиза. Каркас металлический цветной. Обивка эко-кожа. Размер: 380х380х890мм</t>
  </si>
  <si>
    <t>Каркас металлический цветной. Обивка эко-кожа. Размер: 380х380х890мм</t>
  </si>
  <si>
    <t>522-102-0102-0003</t>
  </si>
  <si>
    <t>Стул типа Алия Плюс. Каркас металлический цветной. Обивка эко-кожа. Размер: 380х380х910мм</t>
  </si>
  <si>
    <t>Каркас металлический цветной. Обивка эко-кожа. Размер: 380х380х910мм</t>
  </si>
  <si>
    <t>522-102-0102-0004</t>
  </si>
  <si>
    <t>Стул типа Мод.150. Каркас металлический цветной (вальцованная труба). Обивка
эко-кожа. Размер: 445х385х980мм</t>
  </si>
  <si>
    <t>Каркас металлический цветной (вальцованная труба). Обивка эко-кожа.
Размер: 445х385х980мм</t>
  </si>
  <si>
    <t>Группа 522-103. Оборудование пищеблока</t>
  </si>
  <si>
    <t>522-103-0100</t>
  </si>
  <si>
    <t>Нейтральное оборудование</t>
  </si>
  <si>
    <t>522-103-0101</t>
  </si>
  <si>
    <t>Стеллаж производственный СТП-П-16/4
(1600х400х1800)</t>
  </si>
  <si>
    <t>522-103-0102</t>
  </si>
  <si>
    <t>Стеллаж производственный, размеры не
менее 1500х500х1800мм</t>
  </si>
  <si>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</si>
  <si>
    <t>522-103-0103</t>
  </si>
  <si>
    <t>Стеллаж производственный СТП-П-12/6
(1200х600х1800)</t>
  </si>
  <si>
    <t>522-103-0104</t>
  </si>
  <si>
    <t>Стеллаж производственный СТП-П-12/4
(1200х400х1800)</t>
  </si>
  <si>
    <t>522-103-0105</t>
  </si>
  <si>
    <t>Стеллаж производственный СТП-П-10/6
(1000х600х1800)</t>
  </si>
  <si>
    <t>522-103-0106</t>
  </si>
  <si>
    <t>Стеллаж производственный</t>
  </si>
  <si>
    <t>522-103-0106-0001</t>
  </si>
  <si>
    <t>Стеллаж производственный СТП-П-9/5 (900х500х1800)</t>
  </si>
  <si>
    <t>522-103-0106-0002</t>
  </si>
  <si>
    <t>Стеллаж производственный 900х500х1805 мм, из нержавеющей стали, ножки труба 40Х40, 4 полки,  СТН-900/500(Л)</t>
  </si>
  <si>
    <t>522-103-0106-0003</t>
  </si>
  <si>
    <t>Стеллаж производственный 1000х500х1805 мм, из нержавеющей стали, ножки труба 40Х40 4 полки СТН-1000/500(Л)</t>
  </si>
  <si>
    <t>522-103-0106-0004</t>
  </si>
  <si>
    <t>Стеллаж производственный 1200х500х1805 мм, из нержавеющей стали, ножки труба 40Х40, 4 полки СТН-1200/500(Л)</t>
  </si>
  <si>
    <t>522-103-0106-0005</t>
  </si>
  <si>
    <t>Стеллаж производственный 1400х500х1805 мм, из нержавеющей стали, ножки труба 40Х40, 4 полки  СТН-1400/500(Л)</t>
  </si>
  <si>
    <t>522-103-0106-0006</t>
  </si>
  <si>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</si>
  <si>
    <t>522-103-0106-0007</t>
  </si>
  <si>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</si>
  <si>
    <t>522-103-0106-0008</t>
  </si>
  <si>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</si>
  <si>
    <t>522-103-0106-0009</t>
  </si>
  <si>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</si>
  <si>
    <t>522-103-0106-0010</t>
  </si>
  <si>
    <t>Стеллаж производственный CE-IR100X40. Нержавеющая сталь. Размер: 1000x400x1530мм</t>
  </si>
  <si>
    <t>522-103-0106-0011</t>
  </si>
  <si>
    <t>Стеллаж производственный CE-IR120X40. Нержавеющая сталь. Размер: 1200x400x1530мм</t>
  </si>
  <si>
    <t>522-103-0106-0012</t>
  </si>
  <si>
    <t>Стеллаж производственный CE-IR140X40. Нержавеющая сталь. Размер: 1400x400x1530мм</t>
  </si>
  <si>
    <t>522-103-0106-0013</t>
  </si>
  <si>
    <t>Стеллаж производственный CE-IR160X40. Нержавеющая сталь. Размер: 1600x400x1530мм</t>
  </si>
  <si>
    <t>522-103-0106-0014</t>
  </si>
  <si>
    <t>Стеллаж производственный CE-IR100X50. Нержавеющая сталь. Размер: 1000x500x1530мм</t>
  </si>
  <si>
    <t>522-103-0106-0015</t>
  </si>
  <si>
    <t>Стеллаж производственный CE-IR120X50. Нержавеющая сталь. Размер: 1200x500x1530мм</t>
  </si>
  <si>
    <t>522-103-0106-0016</t>
  </si>
  <si>
    <t>Стеллаж производственный CE-IR140X50. Нержавеющая сталь. Размер: 1400x500x1530мм</t>
  </si>
  <si>
    <t>522-103-0106-0017</t>
  </si>
  <si>
    <t>Стеллаж производственный CE-IR160X50. Нержавеющая сталь. Размер: 1600x500x1530мм</t>
  </si>
  <si>
    <t>522-103-0106-0018</t>
  </si>
  <si>
    <t>Стеллаж для казана CE-IRK120X70. Нержавеющая сталь. Размер: 1200x700x1530мм</t>
  </si>
  <si>
    <t>522-103-0106-0019</t>
  </si>
  <si>
    <t>Стеллаж для казана CE-IRK140X70. Нержавеющая сталь. Размер: 1400x700x1530мм</t>
  </si>
  <si>
    <t>522-103-0106-0020</t>
  </si>
  <si>
    <t>Стеллаж для казана CE-IRK160X70. Нержавеющая сталь. Размер: 1600x700x1530мм</t>
  </si>
  <si>
    <t>522-103-0106-0021</t>
  </si>
  <si>
    <t>Стеллаж для казана CE-IRK180X70. Нержавеющая сталь. Размер: 1800x700x1530мм</t>
  </si>
  <si>
    <t>522-103-0106-0022</t>
  </si>
  <si>
    <t>Стеллаж производственный СТП-С-8/4, 4 полки из нержавеющей стали, стойки из оцинкованной стали. Размер 800х400х1800мм</t>
  </si>
  <si>
    <t>522-103-0106-0023</t>
  </si>
  <si>
    <t>Стеллаж производственный СТП-С-10/4, 4 полки из нержавеющей стали, стойки из оцинкованной стали. Размер 1000х400х1800мм</t>
  </si>
  <si>
    <t>522-103-0106-0024</t>
  </si>
  <si>
    <t>Стеллаж производственный СТП-С-12/4, 4 полки из нержавеющей стали, стойки из оцинкованной стали. Размер 1200х400х1800мм</t>
  </si>
  <si>
    <t>522-103-0106-0025</t>
  </si>
  <si>
    <t>Стеллаж производственный СТП-С-15/4, 4 полки из нержавеющей стали, стойки из оцинкованной стали. Размер 1500х400х1800мм</t>
  </si>
  <si>
    <t>522-103-0106-0026</t>
  </si>
  <si>
    <t>Стеллаж производственный СТП-С-18/4, 4 полки из нержавеющей стали, стойки из оцинкованной стали. Размер 1800х400х1800мм</t>
  </si>
  <si>
    <t>522-103-0106-0027</t>
  </si>
  <si>
    <t>Стеллаж производственный СТП-С-8/5, 4 полки из нержавеющей стали, стойки из оцинкованной стали. Размер 800х500х1800мм</t>
  </si>
  <si>
    <t>522-103-0106-0028</t>
  </si>
  <si>
    <t>Стеллаж производственный СТП-С-10/5, 4 полки из нержавеющей стали, стойки из оцинкованной стали. Размер 1000х500х1800мм</t>
  </si>
  <si>
    <t>522-103-0106-0029</t>
  </si>
  <si>
    <t>Стеллаж производственный СТП-С-12/5, 4 полки из нержавеющей стали, стойки из оцинкованной стали. Размер 1200х500х1800мм</t>
  </si>
  <si>
    <t>522-103-0106-0030</t>
  </si>
  <si>
    <t>Стеллаж производственный СТП-С-15/5, 4 полки из нержавеющей стали, стойки из оцинкованной стали. Размер 1500х500х1800мм</t>
  </si>
  <si>
    <t>522-103-0106-0031</t>
  </si>
  <si>
    <t>Стеллаж производственный СТП-С-18/5, 4 полки из нержавеющей стали, стойки из оцинкованной стали. Размер 1800х500х1800мм</t>
  </si>
  <si>
    <t>522-103-0106-0037</t>
  </si>
  <si>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</si>
  <si>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</si>
  <si>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522-103-0106-0038</t>
  </si>
  <si>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</si>
  <si>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</si>
  <si>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522-103-0106-0039</t>
  </si>
  <si>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</si>
  <si>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</si>
  <si>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522-103-0106-0040</t>
  </si>
  <si>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</si>
  <si>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</si>
  <si>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522-103-0106-0041</t>
  </si>
  <si>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</si>
  <si>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522-103-0106-0042</t>
  </si>
  <si>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</si>
  <si>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522-103-0106-0043</t>
  </si>
  <si>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</si>
  <si>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</si>
  <si>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522-103-0106-0044</t>
  </si>
  <si>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</si>
  <si>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522-103-0106-0045</t>
  </si>
  <si>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</si>
  <si>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522-103-0106-0046</t>
  </si>
  <si>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</si>
  <si>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522-103-0106-0047</t>
  </si>
  <si>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</si>
  <si>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</si>
  <si>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522-103-0106-0048</t>
  </si>
  <si>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</si>
  <si>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522-103-0106-0049</t>
  </si>
  <si>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</si>
  <si>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522-103-0106-0050</t>
  </si>
  <si>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</si>
  <si>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522-103-0106-0051</t>
  </si>
  <si>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</si>
  <si>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522-103-0106-0052</t>
  </si>
  <si>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</si>
  <si>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</si>
  <si>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522-103-0106-0053</t>
  </si>
  <si>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</si>
  <si>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</si>
  <si>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522-103-0106-0054</t>
  </si>
  <si>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</si>
  <si>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522-103-0106-0055</t>
  </si>
  <si>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</si>
  <si>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522-103-0106-0056</t>
  </si>
  <si>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</si>
  <si>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</si>
  <si>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522-103-0106-0057</t>
  </si>
  <si>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</si>
  <si>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</si>
  <si>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522-103-0106-0058</t>
  </si>
  <si>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</si>
  <si>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</si>
  <si>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522-103-0106-0059</t>
  </si>
  <si>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</si>
  <si>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</si>
  <si>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522-103-0107</t>
  </si>
  <si>
    <t>Стеллаж для тарелок</t>
  </si>
  <si>
    <t>522-103-0107-0001</t>
  </si>
  <si>
    <t>Стеллаж для тарелок СКТ-С-1200-02-Н (СКТ- 1/1200) (1200х300х1670)</t>
  </si>
  <si>
    <t>522-103-0107-0002</t>
  </si>
  <si>
    <t>Стеллаж для тарелок (на 192 тарелки) 1200х400х1805, разборный, из нержавеющей стали, ножки труба 40Х40, 4  полки
СКП4Т-1200/400(Л)</t>
  </si>
  <si>
    <t>522-103-0107-0003</t>
  </si>
  <si>
    <t>Стеллаж для сушки посуды, нержавеющая
сталь, размер 1000х500х1500мм</t>
  </si>
  <si>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</si>
  <si>
    <t>522-103-0107-0005</t>
  </si>
  <si>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</si>
  <si>
    <t>522-103-0107-0006</t>
  </si>
  <si>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</si>
  <si>
    <t>522-103-0107-0007</t>
  </si>
  <si>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</si>
  <si>
    <t>522-103-0107-0008</t>
  </si>
  <si>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</si>
  <si>
    <t>522-103-0107-0009</t>
  </si>
  <si>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</si>
  <si>
    <t>522-103-0107-0010</t>
  </si>
  <si>
    <t>Стеллаж металлический для посуды из нержавеющей стали СМН-1-03, размеры 1200х450х1700 мм, 4 полки: 1 поддон, 4 решетчатые полки. Толщина стойки и полок – 0,8 мм</t>
  </si>
  <si>
    <t>522-103-0107-0011</t>
  </si>
  <si>
    <t>Стеллаж металлический для посуды из нержавеющей стали СМН-1-06, 5 полок: 1
поддон, 2 решетчатые полки, 3 сплошные полки. Толщина стойки и полок – 0,8 мм</t>
  </si>
  <si>
    <t>522-103-0107-0012</t>
  </si>
  <si>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</si>
  <si>
    <t>522-103-0107-0013</t>
  </si>
  <si>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</si>
  <si>
    <t>522-103-0108</t>
  </si>
  <si>
    <t>Стол производственный СПБ-С-18/7-П (1800х700х850)</t>
  </si>
  <si>
    <t>522-103-0109</t>
  </si>
  <si>
    <t>Стол производственный СПБ-С-17/7-П (1700х700х850)</t>
  </si>
  <si>
    <t>522-103-0110</t>
  </si>
  <si>
    <t>Стол производственный СПБ-С-17/6-П (1700х600х850)</t>
  </si>
  <si>
    <t>522-103-0111</t>
  </si>
  <si>
    <t>Стол производственный пристенный с бортом. Размеры не менее 1500х700х850мм</t>
  </si>
  <si>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</si>
  <si>
    <t>522-103-0112</t>
  </si>
  <si>
    <t>Стол производственный СП-П-12/6 (1200х600х850)</t>
  </si>
  <si>
    <t>522-103-0113</t>
  </si>
  <si>
    <t>Стол производственный пристенный с бортом. Размеры не менее 1200х700х850мм</t>
  </si>
  <si>
    <t>522-103-0114</t>
  </si>
  <si>
    <t>Стол производственный СПБ-С-12/6-П (1200х600х850)</t>
  </si>
  <si>
    <t>522-103-0115</t>
  </si>
  <si>
    <t>Стол производственный СПБ-С-10/6-П (1000х600х850)</t>
  </si>
  <si>
    <t>522-103-0116</t>
  </si>
  <si>
    <t>Стол раздаточный СПМР 6-2 (704х635 мм) для чистой посуды, для туннельных машин МПТ</t>
  </si>
  <si>
    <t>522-103-0117</t>
  </si>
  <si>
    <t>Стол для сбора отходов</t>
  </si>
  <si>
    <t>522-103-0117-0001</t>
  </si>
  <si>
    <t>Стол для сбора отходов СПСО-С-6/6
(600х600х850)</t>
  </si>
  <si>
    <t>522-103-0117-0002</t>
  </si>
  <si>
    <t>Стол для сбора отходов из нержавеющей
стали 600х700х850 мм, СО-600/700(Л)/Б</t>
  </si>
  <si>
    <t>522-103-0117-0004</t>
  </si>
  <si>
    <t>Стол для сбора отходов ССОБ-6-7ТН, размеры 600х700х850 мм, столешница нержавеющая сталь 0,8 мм, усиленная листом ДСП 16 мм, отверстие для отходов
200 мм</t>
  </si>
  <si>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</si>
  <si>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522-103-0117-0005</t>
  </si>
  <si>
    <t>Стол для сбора отходов ССОБ-8-7ТН, размеры 800х700х850 мм, столешница нержавеющая сталь 0,8 мм, усиленная листом ДСП 16 мм, отверстие для отходов 200 мм</t>
  </si>
  <si>
    <t>522-103-0117-0006</t>
  </si>
  <si>
    <t>Стол для сбора отходов ССОБ-11-7ТН, размеры 1100х700х850 мм, столешница нержавеющая сталь 0,8 мм, усиленная листом ДСП 16 мм, отверстие для отходов
200 мм</t>
  </si>
  <si>
    <t>522-103-0117-0007</t>
  </si>
  <si>
    <t>Стол для сбора отходов ССОБ-14-7ТН, размеры 1400х700х850 мм, столешница нержавеющая сталь 0,8 мм, усиленная листом ДСП 16 мм, отверстие для отходов 200 мм</t>
  </si>
  <si>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</si>
  <si>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522-103-0117-0008</t>
  </si>
  <si>
    <t>Стол для сбора отходов ССОБ-6-7УОЦ, размеры 600х700х850 мм, столешница нержавеющая сталь 0,8 мм, усиленная
листом ДСП 16 мм, отверстие для отходов 220 мм</t>
  </si>
  <si>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</si>
  <si>
    <t>522-103-0118</t>
  </si>
  <si>
    <t>Стол для овощей, размеры не менее 1200х800х870мм</t>
  </si>
  <si>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</si>
  <si>
    <t>522-103-0119</t>
  </si>
  <si>
    <t>Подставка межплитная, размеры не менее 400x850x860мм</t>
  </si>
  <si>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</si>
  <si>
    <t>522-103-0120</t>
  </si>
  <si>
    <t>Подставка</t>
  </si>
  <si>
    <t>522-103-0120-0001</t>
  </si>
  <si>
    <t>Подставка под пароконвектомат ПК-10М (10 уровней GN-1/1, вся нерж.)</t>
  </si>
  <si>
    <t>522-103-0120-0002</t>
  </si>
  <si>
    <t>Подставка под пароконвектомат из нержавеющей стали 730х730х650 мм, ПП-1</t>
  </si>
  <si>
    <t>522-103-0120-0003</t>
  </si>
  <si>
    <t>Подставка под хлеборезку из нержавеющей стали 700х800х650 мм, ПХ-1</t>
  </si>
  <si>
    <t>522-103-0120-0004</t>
  </si>
  <si>
    <t>Подставка межплитная разборная из нержавеющей стали 400х900х850 мм, ВМП-400/900 (Л)</t>
  </si>
  <si>
    <t>522-103-0120-0005</t>
  </si>
  <si>
    <t>Подставка под кипятильник, размеры не менее 450х350х600 мм, нержавеющая сталь</t>
  </si>
  <si>
    <t>522-103-0120-0006</t>
  </si>
  <si>
    <t>Подставка ПФПМ-6-1 для фронтальных посудомоечных машин МПК-500. Размер 600х600мм, нерж. сталь</t>
  </si>
  <si>
    <t>522-103-0120-0009</t>
  </si>
  <si>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</si>
  <si>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</si>
  <si>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522-103-0120-0010</t>
  </si>
  <si>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</si>
  <si>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</si>
  <si>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522-103-0120-0011</t>
  </si>
  <si>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</si>
  <si>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</si>
  <si>
    <t>522-103-0120-0012</t>
  </si>
  <si>
    <t>Подставка под проточный кипятильник ПК-3,5-3,5-6ТН, размеры 350х350х850 мм, нержавеющая сталь</t>
  </si>
  <si>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</si>
  <si>
    <t>522-103-0120-0013</t>
  </si>
  <si>
    <t>Подставка под проточный кипятильник ПК-4,5-3,5-6ТН, размеры 450х350х600 мм, нержавеющая сталь</t>
  </si>
  <si>
    <t>522-103-0120-0014</t>
  </si>
  <si>
    <t>Подставка под хлеборезку ПХ-7-8-6,5ТН, размеры 700х800х650 мм, нержавеющая сталь</t>
  </si>
  <si>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</si>
  <si>
    <t>522-103-0120-0015</t>
  </si>
  <si>
    <t>Подставка под пароконвектомат ПП-1-00, размеры 840х700х650 мм. Ножки регулируемые по высоте</t>
  </si>
  <si>
    <t>522-103-0121</t>
  </si>
  <si>
    <t>Подтоварник кухонный ПК-6-2 (1000x600x300 мм) каркас окрашенный</t>
  </si>
  <si>
    <t>522-103-0122</t>
  </si>
  <si>
    <t>Полка настенная из нержавеющей стали ПН-П-15/3 (1500х300х220)</t>
  </si>
  <si>
    <t>522-103-0123</t>
  </si>
  <si>
    <t>Полка</t>
  </si>
  <si>
    <t>522-103-0123-0001</t>
  </si>
  <si>
    <t>Полка настенная из нержавеющей стали ПН-П-12/3 (1200х300х220)</t>
  </si>
  <si>
    <t>522-103-0123-0002</t>
  </si>
  <si>
    <t>Полка настенная из нержавеющей стали 1500х300х300 мм,1 ярус, ПН-1-1500/300</t>
  </si>
  <si>
    <t>522-103-0123-0003</t>
  </si>
  <si>
    <t>Полка настенная из нержавеющей стали, размеры не менее 1200х300х300 мм</t>
  </si>
  <si>
    <t>Полка настенная из нержавеющей стали, размеры не менее 1200х300х300 мм, 1 ярус</t>
  </si>
  <si>
    <t>522-103-0123-0004</t>
  </si>
  <si>
    <t>Полка настенная 1800х300х300мм из нержавеющей стали 0,8 мм, 1 ярус, усиленны ребром жесткости, ПН-1-1800/300</t>
  </si>
  <si>
    <t>522-103-0123-0015</t>
  </si>
  <si>
    <t>Полка настенная ПН-10-3-4, размеры 1000х300х400 мм, 1 ярус, полностью из нержавеющей стали 0,8 мм, усиленны ребром жесткости</t>
  </si>
  <si>
    <t>522-103-0123-0016</t>
  </si>
  <si>
    <t>Полка настенная ПН-11-3-3, размеры 1100х300х300 мм, 1 ярус, полностью из нержавеющей стали 0,8 мм, усиленны ребром жесткости</t>
  </si>
  <si>
    <t>522-103-0123-0017</t>
  </si>
  <si>
    <t>Полка настенная ПН-12-3-3, размеры 1200х300х300 мм, 1 ярус, полностью из нержавеющей стали 0,8 мм, усиленны ребром жесткости</t>
  </si>
  <si>
    <t>522-103-0123-0018</t>
  </si>
  <si>
    <t>Полка настенная ПН-13-3-3, размеры 1300х300х300 мм, 1 ярус, полностью из нержавеющей стали 0,8 мм, усиленны ребром жесткости</t>
  </si>
  <si>
    <t>522-103-0123-0019</t>
  </si>
  <si>
    <t>Полка настенная ПН-15-3-3, размеры 1500х300х300 мм, 1 ярус, полностью из нержавеющей стали 0,8 мм, усиленны ребром жесткости</t>
  </si>
  <si>
    <t>522-103-0123-0020</t>
  </si>
  <si>
    <t>Полка настольная ПНС-2-12-3-6ТН, размеры 1200х300х600 мм, 2 яруса, полки из нержавеющей стали 0,8 мм, каркас из нержавеющей трубы 25х25 мм</t>
  </si>
  <si>
    <t>522-103-0123-0021</t>
  </si>
  <si>
    <t>Полка настольная ПНС-2-15-3-6ТН, размеры 1500х300х600 мм, 2 яруса, полки из нержавеющей стали 0,8 мм, каркас из нержавеющей трубы 25х25 мм</t>
  </si>
  <si>
    <t>522-103-0124</t>
  </si>
  <si>
    <t>Тележка сервировочная, размеры не менее 800х500х930мм</t>
  </si>
  <si>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</si>
  <si>
    <t>522-103-0125</t>
  </si>
  <si>
    <t>Тележка-шпилька для гастроемкостей ТШГ-14-1/1 (565х395х1519)</t>
  </si>
  <si>
    <t>522-103-0126</t>
  </si>
  <si>
    <t>Тележка-шпилька для противней</t>
  </si>
  <si>
    <t>522-103-0126-0001</t>
  </si>
  <si>
    <t>Тележка-шпилька для противней (600х400) СП-15 (450х625х1750)</t>
  </si>
  <si>
    <t>522-103-0126-0002</t>
  </si>
  <si>
    <t>Тележка шпилька для противней 15 уровней, 670х410х1800 мм, из нержавеющей стали ШК-15/64</t>
  </si>
  <si>
    <t>522-103-0127</t>
  </si>
  <si>
    <t>522-103-0127-0001</t>
  </si>
  <si>
    <t>Тележка грузовая ТГ-6-1 (1000х600 мм), вся нерж.</t>
  </si>
  <si>
    <t>522-103-0127-0002</t>
  </si>
  <si>
    <t>Тележка грузовая из нержавеющей стали 800х600х850 мм, ТГ-800/600</t>
  </si>
  <si>
    <t>522-103-0127-0004</t>
  </si>
  <si>
    <t>Тележка грузовая АТП-8-6-8,5, размеры 800х600х850 мм, полностью из нержавеющей стали, 4 самоориентирующихся колеса, 2 из них с тормозом</t>
  </si>
  <si>
    <t>522-103-0127-0005</t>
  </si>
  <si>
    <t>Тележка грузовая АТП-10-6-8,5, размеры 1000х600х850 мм, полностью из нержавеющей стали, 4 самоориентирующихся колеса, 2 из них с тормозом</t>
  </si>
  <si>
    <t>522-103-0127-0006</t>
  </si>
  <si>
    <t>Тележка грузовая АТП-12,6-6-9,35, размеры 1260х600х935 мм, полностью из нержавеющей стали, 4 самоориентирующихся колеса, 2 из них с тормозом</t>
  </si>
  <si>
    <t>522-103-0128</t>
  </si>
  <si>
    <t>Шпилька КШ-С-1.12-350.600-02 (415х600х1575)</t>
  </si>
  <si>
    <t>522-103-0129</t>
  </si>
  <si>
    <t>Ванна 3-х секц. ВМП-6-3-5 РЧ (500х500x300)</t>
  </si>
  <si>
    <t>522-103-0130</t>
  </si>
  <si>
    <t>Зонт вытяжной пристенный ЗВП-900/1800 (1800х900х450)</t>
  </si>
  <si>
    <t>522-103-0131</t>
  </si>
  <si>
    <t>Шкаф для хлеба</t>
  </si>
  <si>
    <t>522-103-0131-0001</t>
  </si>
  <si>
    <t>Шкаф для хлеба ШХ-810/480/1800
(810х480х1800)</t>
  </si>
  <si>
    <t>522-103-0131-0002</t>
  </si>
  <si>
    <t>Шкаф для хлеба из нержавеющей стали 800х500х1800 мм, две распашные двери, 5 полок, ШХ</t>
  </si>
  <si>
    <t>522-103-0131-0004</t>
  </si>
  <si>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</si>
  <si>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</si>
  <si>
    <t>522-103-0131-0005</t>
  </si>
  <si>
    <t>Шкаф для хлеба ШХ-8-5-18, размеры 800х500х1800 мм, 2 (две) распашные двери, 5 (пять) полок. Нержавеющая сталь</t>
  </si>
  <si>
    <t>522-103-0131-0006</t>
  </si>
  <si>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</si>
  <si>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</si>
  <si>
    <t>522-103-0132</t>
  </si>
  <si>
    <t>Рукомойник</t>
  </si>
  <si>
    <t>522-103-0132-0001</t>
  </si>
  <si>
    <t>Рукомойник Cryspi РН Э 1 (400х300х250)</t>
  </si>
  <si>
    <t>522-103-0132-0002</t>
  </si>
  <si>
    <t>Рукомойник из нержавеющей стали 400х400х150 мм, со смесителем и сифоном, РН</t>
  </si>
  <si>
    <t>522-103-0133</t>
  </si>
  <si>
    <t>Зонт вытяжной пристенный ЗВПШ CRYSPI Chef ЗВП 15/12 (1500х1200х350)</t>
  </si>
  <si>
    <t>522-103-0134</t>
  </si>
  <si>
    <t>Зонт вытяжной пристенный</t>
  </si>
  <si>
    <t>522-103-0134-0001</t>
  </si>
  <si>
    <t>Зонт вытяжной пристенный ЗВПШ CRYSPI Chef ЗВП 20/12 (2000х1200х350)</t>
  </si>
  <si>
    <t>522-103-0134-0002</t>
  </si>
  <si>
    <t>Зонт вытяжной пристенный из жаропрочной нержавеющей стали 1300х900х350 мм,  с жироуловителями, краном для слива конденсата, крепежными элементами,
ЗВП-900/1300</t>
  </si>
  <si>
    <t>522-103-0134-0003</t>
  </si>
  <si>
    <t>Зонт вытяжной пристенный из жаропрочной нержавеющей стали 1800х900х350 мм, с жироуловителями, краном для слива конденсата, крепежными элементами,
ЗВП-900/1800</t>
  </si>
  <si>
    <t>522-103-0134-0004</t>
  </si>
  <si>
    <t>Зонт вытяжной пристенный из жаропрочной нержавеющей стали 2200х1300х350 мм,  с жироуловителями, краном для слива конденсата, крепежными элементами,
ЗВП-1300/2200</t>
  </si>
  <si>
    <t>522-103-0134-0005</t>
  </si>
  <si>
    <t>Зонт вытяжной пристенный из жаропрочной нержавеющей стали 2700х1100х350 мм, с жироуловителями, краном для слива конденсата, крепежными элементами,
ЗВП-1100/2700</t>
  </si>
  <si>
    <t>522-103-0134-0006</t>
  </si>
  <si>
    <t>Зонт вытяжной пристенный из жаропрочной нержавеющей стали 3200х1300х350 мм, с жироуловителями, краном для слива конденсата, крепежными элементами,
ЗВП-1300/3200</t>
  </si>
  <si>
    <t>522-103-0134-0007</t>
  </si>
  <si>
    <t>Зонт вытяжной пристенный кубический 1500х1200х400мм, приточно вытяжной, полностью из нержавеющей стали 0,8 мм, жироуловители в комплекте,
ЗВПК-1500/1200</t>
  </si>
  <si>
    <t>522-103-0134-0008</t>
  </si>
  <si>
    <t>Зонт вытяжной пристенный кубический 2000х1200х400мм, приточно вытяжной, полностью из нержавеющей стали 0,8 мм, жироуловители в комплекте,
ЗВПК-2000/1200</t>
  </si>
  <si>
    <t>522-103-0134-0009</t>
  </si>
  <si>
    <t>Зонт вытяжной пристенный конусный 1000х1000х350мм, полностью из нержавеющей стали 0,8 мм, жироуловители в комплекте, ЗВП-1000/1000</t>
  </si>
  <si>
    <t>522-103-0134-0010</t>
  </si>
  <si>
    <t>Зонт вытяжной пристенный конусный 1100х1100х350мм, полностью из нержавеющей стали 0,8 мм, жироуловители в комплекте, ЗВП-1100/1100</t>
  </si>
  <si>
    <t>522-103-0134-0017</t>
  </si>
  <si>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</si>
  <si>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</si>
  <si>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522-103-0134-0018</t>
  </si>
  <si>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</si>
  <si>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</si>
  <si>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522-103-0134-0019</t>
  </si>
  <si>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</si>
  <si>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</si>
  <si>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522-103-0134-0020</t>
  </si>
  <si>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</si>
  <si>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</si>
  <si>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522-103-0134-0021</t>
  </si>
  <si>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</si>
  <si>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</si>
  <si>
    <t>522-103-0134-0022</t>
  </si>
  <si>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</si>
  <si>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</si>
  <si>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522-103-0134-0023</t>
  </si>
  <si>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</si>
  <si>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</si>
  <si>
    <t>522-103-0134-0024</t>
  </si>
  <si>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</si>
  <si>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522-103-0134-0025</t>
  </si>
  <si>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</si>
  <si>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</si>
  <si>
    <t>522-103-0134-0026</t>
  </si>
  <si>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</si>
  <si>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</si>
  <si>
    <t>522-103-0134-0027</t>
  </si>
  <si>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</si>
  <si>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522-103-0134-0028</t>
  </si>
  <si>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</si>
  <si>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t>522-103-0134-0029</t>
  </si>
  <si>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</si>
  <si>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522-103-0134-0030</t>
  </si>
  <si>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</si>
  <si>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</si>
  <si>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522-103-0134-0031</t>
  </si>
  <si>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</si>
  <si>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522-103-0134-0032</t>
  </si>
  <si>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</si>
  <si>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</si>
  <si>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522-103-0134-0033</t>
  </si>
  <si>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</si>
  <si>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522-103-0134-0034</t>
  </si>
  <si>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</si>
  <si>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</si>
  <si>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522-103-0134-0035</t>
  </si>
  <si>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</si>
  <si>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</si>
  <si>
    <t>522-103-0134-0036</t>
  </si>
  <si>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</si>
  <si>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522-103-0134-0037</t>
  </si>
  <si>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</si>
  <si>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522-103-0134-0038</t>
  </si>
  <si>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</si>
  <si>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</si>
  <si>
    <t>522-103-0134-0039</t>
  </si>
  <si>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</si>
  <si>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</si>
  <si>
    <t>522-103-0134-0040</t>
  </si>
  <si>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</si>
  <si>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</si>
  <si>
    <t>522-103-0135</t>
  </si>
  <si>
    <t>Зонт вытяжной островной из жаропрочной нержавеющей стали</t>
  </si>
  <si>
    <t>522-103-0135-0001</t>
  </si>
  <si>
    <t>Зонт вытяжной островной из жаропрочной нержавеющей стали 1600х2200х350, ЗВЦШ</t>
  </si>
  <si>
    <t>522-103-0135-0002</t>
  </si>
  <si>
    <t>Зонт вытяжной островной из жаропрочной нержавеющей стали 6000х2000х350 мм, с жироуловителями, краном для слива конденсата, крепежными элементами, ЗВО-2000/6000</t>
  </si>
  <si>
    <t>522-103-0135-0003</t>
  </si>
  <si>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</si>
  <si>
    <t>522-103-0135-0004</t>
  </si>
  <si>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</si>
  <si>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t>522-103-0135-0005</t>
  </si>
  <si>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</si>
  <si>
    <t>522-103-0135-0006</t>
  </si>
  <si>
    <t>Зонт вытяжной островной кубический 2500х2200х400мм, приточно вытяжной, полностью из нержавеющей стали 0,8 мм, жироуловители в комплекте,
ЗВОК-2500/2200</t>
  </si>
  <si>
    <t>522-103-0135-0009</t>
  </si>
  <si>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</si>
  <si>
    <t>522-103-0135-0010</t>
  </si>
  <si>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</si>
  <si>
    <t>522-103-0135-0011</t>
  </si>
  <si>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</si>
  <si>
    <t>522-103-0135-0012</t>
  </si>
  <si>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</si>
  <si>
    <t>522-103-0135-0013</t>
  </si>
  <si>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</si>
  <si>
    <t>522-103-0136</t>
  </si>
  <si>
    <t>Зонт вентиляционный пристенный ЗВП-1300/2200 Н (1300х2200х400)</t>
  </si>
  <si>
    <t>522-103-0137</t>
  </si>
  <si>
    <t>Зонт вентиляционный ЗВЭ-900-2-П</t>
  </si>
  <si>
    <t>522-103-0138</t>
  </si>
  <si>
    <t>Ванна моечная ВМС-С-1/500 (600х600х850)</t>
  </si>
  <si>
    <t>522-103-0139</t>
  </si>
  <si>
    <t>Ванна моечная ВМС-С-2/500 (1200х600х850)</t>
  </si>
  <si>
    <t>522-103-0140</t>
  </si>
  <si>
    <t>Ванна моечная ВМС-С-2/600 (1400х700х850)</t>
  </si>
  <si>
    <t>522-103-0141</t>
  </si>
  <si>
    <t>Ванна моечная ВМС-П-3/500 (1800х600х850)</t>
  </si>
  <si>
    <t>522-103-0142</t>
  </si>
  <si>
    <t>Ванна моечная ВМЦ-П2-1/500 Н (700х700х850)</t>
  </si>
  <si>
    <t>522-103-0143</t>
  </si>
  <si>
    <t>Ванна котломоечная ВКС-С-1/500/1100 (1200х600х850)</t>
  </si>
  <si>
    <t>522-103-0144</t>
  </si>
  <si>
    <t>Колода разрубочная</t>
  </si>
  <si>
    <t>522-103-0144-0001</t>
  </si>
  <si>
    <t>Колода разрубочная, размеры не менее
500х500х150мм</t>
  </si>
  <si>
    <t>Материал столешницы дерево/полипропилен. Каркас выполнен из оцинкованной стали.</t>
  </si>
  <si>
    <t>522-103-0144-0002</t>
  </si>
  <si>
    <t>Колода разрубочная 500х500х700 мм рубочная поверхность полипропилен 500х500х80 мм, КР-500</t>
  </si>
  <si>
    <t>522-103-0144-0008</t>
  </si>
  <si>
    <t>Колода для рубки мяса КРМ-5-5ТН, размеры 500х500х850 мм, каркас из трубы нержавеющей стали 40х40 мм, колода из полипропилена толщиной не менее 40 мм</t>
  </si>
  <si>
    <t>522-103-0144-0009</t>
  </si>
  <si>
    <t>Колода для рубки мяса КРМ-7-5ТН, размеры 700х500х850 мм, каркас из трубы нержавеющей стали 40х40 мм, колода из полипропилена толщиной не менее 40 мм.</t>
  </si>
  <si>
    <t>522-103-0144-0010</t>
  </si>
  <si>
    <t>Вешало для мясных туш ВМ-12,5-8-18ТН, размеры 1250х800х1800 мм, нержавеющая сталь, 1 поддон, 5 крючков для мяса</t>
  </si>
  <si>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</si>
  <si>
    <t>522-103-0144-0011</t>
  </si>
  <si>
    <t>Вешало для мясных туш ВМ-15-8-18ТН, размеры 1500х800х1800 мм, нержавеющая сталь, 1 поддон, 5 крючков для мяса</t>
  </si>
  <si>
    <t>522-103-0145</t>
  </si>
  <si>
    <t>Тележка сервировочная Атеси
ТС-Л-2-800.500.850-02 (ТС-2) 2 полки (800х500х850)</t>
  </si>
  <si>
    <t>522-103-0146</t>
  </si>
  <si>
    <t>Тележка-шпилька для подносов</t>
  </si>
  <si>
    <t>522-103-0146-0001</t>
  </si>
  <si>
    <t>Тележка-шпилька для подносов, 12 уровней 520х420х1800</t>
  </si>
  <si>
    <t>522-103-0146-0002</t>
  </si>
  <si>
    <t>Тележка-шпилька для подносов,15 уровней, 420х520х1800, из нержавеющей стали ТШП-15</t>
  </si>
  <si>
    <t>522-103-0146-0006</t>
  </si>
  <si>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</si>
  <si>
    <t>522-103-0146-0007</t>
  </si>
  <si>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</si>
  <si>
    <t>522-103-0147</t>
  </si>
  <si>
    <t>Тележка-шпилька для гастроемкостей</t>
  </si>
  <si>
    <t>522-103-0147-0001</t>
  </si>
  <si>
    <t>Тележка-шпилька для гастроемкостей (GN 1/1,2/1) CГ-12 (575х680х1750)</t>
  </si>
  <si>
    <t>522-103-0147-0002</t>
  </si>
  <si>
    <t>Тележка шпилька для гастроемкостей 15 уровней, 1500х560х385мм, из нержавеющей стали ШГ-15-1/1</t>
  </si>
  <si>
    <t>522-103-0147-0003</t>
  </si>
  <si>
    <t>Тележка-шпилька для посудомоечных кассет 15 уровней, 520х520х1800 мм, из нержавеющей стали ТШК-15</t>
  </si>
  <si>
    <t>522-103-0148</t>
  </si>
  <si>
    <t>Ванна моечная ВМЦ-П2-1/400 Н (600х600х850)</t>
  </si>
  <si>
    <t>522-103-0149</t>
  </si>
  <si>
    <t>Ванна моечная ВМЦ-П2-2/400 Н (1200х600х850)</t>
  </si>
  <si>
    <t>522-103-0150</t>
  </si>
  <si>
    <t>Ванна моечная ВМЦ-П2-3/400 Н (1700х600х850)</t>
  </si>
  <si>
    <t>522-103-0151</t>
  </si>
  <si>
    <t>Ванна моечная ВМЦ-П2-2/500 Н (1200х700х850)</t>
  </si>
  <si>
    <t>522-103-0152</t>
  </si>
  <si>
    <t>Ванна моечная</t>
  </si>
  <si>
    <t>522-103-0152-0001</t>
  </si>
  <si>
    <t>Ванна моечная ВМЦ-П2-2/500 Н (1100х700х850)</t>
  </si>
  <si>
    <t>522-103-0152-0002</t>
  </si>
  <si>
    <t>Ванна моечная разборная из нержавеющей стали 600х600х850 мм,1 емкость цельнотянутая разм.400х400х250 мм, ВМЛ-1-600/600</t>
  </si>
  <si>
    <t>522-103-0152-0003</t>
  </si>
  <si>
    <t>Ванна моечная разборная из нержавеющей стали 600х700х850 мм,1 емкость цельнотянутая разм.500х500х300 мм, ВМЛ-1-600/700</t>
  </si>
  <si>
    <t>522-103-0152-0004</t>
  </si>
  <si>
    <t>Ванна моечная разборная из нержавеющей стали 1200х700х850 мм, 2 емкости цельнотянутые разм.500х500х300 мм, ВМЛ-2-1200/700</t>
  </si>
  <si>
    <t>522-103-0152-0005</t>
  </si>
  <si>
    <t>Ванна моечная разборная из нержавеющей стали 1600х600х850 мм, 3 емкости цельнотянутые разм.400х400х250 мм, ВМЛ-3-1600/600</t>
  </si>
  <si>
    <t>522-103-0152-0006</t>
  </si>
  <si>
    <t>Ванна моечная разборная из нержавеющей стали 1800х700х850 мм, 3 емкости цельнотянутые разм.500х500х300 мм, ВМЛ-3-1800/700</t>
  </si>
  <si>
    <t>522-103-0152-0007</t>
  </si>
  <si>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</si>
  <si>
    <t>522-103-0152-0008</t>
  </si>
  <si>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</si>
  <si>
    <t>522-103-0152-0009</t>
  </si>
  <si>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</si>
  <si>
    <t>522-103-0152-0010</t>
  </si>
  <si>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</si>
  <si>
    <t>522-103-0152-0011</t>
  </si>
  <si>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</si>
  <si>
    <t>522-103-0152-0012</t>
  </si>
  <si>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</si>
  <si>
    <t>522-103-0152-0013</t>
  </si>
  <si>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</si>
  <si>
    <t>522-103-0152-0014</t>
  </si>
  <si>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</si>
  <si>
    <t>522-103-0152-0015</t>
  </si>
  <si>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</si>
  <si>
    <t>522-103-0152-0016</t>
  </si>
  <si>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</si>
  <si>
    <t>522-103-0152-0017</t>
  </si>
  <si>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</si>
  <si>
    <t>522-103-0152-0018</t>
  </si>
  <si>
    <t>Стол с двумя мойками CE-TCE120X60. Нержавеющая сталь. Размер: 1200x600x850мм</t>
  </si>
  <si>
    <t>522-103-0152-0019</t>
  </si>
  <si>
    <t>Стол с двумя мойками CE-TCE140X60. Нержавеющая сталь. Размер: 1400x600x850мм</t>
  </si>
  <si>
    <t>522-103-0152-0020</t>
  </si>
  <si>
    <t>Стол с двумя мойками CE-TCE160X60. Нержавеющая сталь. Размер: 1600x600x850мм</t>
  </si>
  <si>
    <t>522-103-0152-0021</t>
  </si>
  <si>
    <t>Стол с двумя мойками CE-TCE180X60. Нержавеющая сталь. Размер: 1800x600x850мм</t>
  </si>
  <si>
    <t>522-103-0152-0022</t>
  </si>
  <si>
    <t>Стол с двумя мойками CE-TCE120X70. Нержавеющая сталь. Размер: 1200x700x850мм</t>
  </si>
  <si>
    <t>522-103-0152-0023</t>
  </si>
  <si>
    <t>Стол с двумя мойками CE-TCE140X70. Нержавеющая сталь. Размер: 1400x700x850мм</t>
  </si>
  <si>
    <t>522-103-0152-0024</t>
  </si>
  <si>
    <t>Стол с двумя мойками CE-TCE160X70. Нержавеющая сталь. Размер: 1600x700x850мм</t>
  </si>
  <si>
    <t>522-103-0152-0025</t>
  </si>
  <si>
    <t>Стол с двумя мойками CE-TCE180X70. Нержавеющая сталь. Размер: 1800x700x850мм</t>
  </si>
  <si>
    <t>522-103-0152-0026</t>
  </si>
  <si>
    <t>Ванна моечная односекционная ВМЛ-1. Мойка сварная из нержавеющей стали, каркас из оцинкованной стали. Размер 630х630х850мм</t>
  </si>
  <si>
    <t>522-103-0152-0027</t>
  </si>
  <si>
    <t>Ванна моечная двухсекционная ВМЛ-2. Мойка сварная из нержавеющей стали, каркас из оцинкованной стали. Размер 1200х600х850мм</t>
  </si>
  <si>
    <t>522-103-0152-0028</t>
  </si>
  <si>
    <t>Ванна моечная трёхсекционная ВМЛ-3. Мойка сварная из нержавеющей стали, каркас из оцинкованной стали. Размер 1800х600х850мм</t>
  </si>
  <si>
    <t>522-103-0152-0036</t>
  </si>
  <si>
    <t>Ванна моечная цельно-сварная
ВМС-1-4-4-2,5, размеры 600х600х850 мм. Каркас выполнен из уголка нержавеющей стали 40x40 мм, раковина из нержавеющей стали 400х400х250 мм</t>
  </si>
  <si>
    <t>522-103-0152-0037</t>
  </si>
  <si>
    <t>Ванна моечная цельно-сварная
ВМС-2-5-5-3, размеры 1200х600х850 мм. Каркас выполнен из уголка нержавеющей стали 40x40 мм, раковина из нержавеющей стали 500х500х300 мм</t>
  </si>
  <si>
    <t>522-103-0152-0038</t>
  </si>
  <si>
    <t>Ванна моечная цельно-сварная
ВМС-2-4-4-2,5, размеры 1200х600х850
(*250) мм. Каркас выполнен из уголка нержавеющей стали 40x40 мм, раковина из нержавеющей стали 400х400х250 мм</t>
  </si>
  <si>
    <t>522-103-0153</t>
  </si>
  <si>
    <t>Ванна котломоечная</t>
  </si>
  <si>
    <t>522-103-0153-0001</t>
  </si>
  <si>
    <t>Ванна котломоечная ВКС-С-1/600/800 (1200х700х850)</t>
  </si>
  <si>
    <t>522-103-0153-0002</t>
  </si>
  <si>
    <t>Ванна котломоечная из нержавеющей стали 1200х700х850 мм, 1 емкость сварная,
ВК-1-1200/700(С)</t>
  </si>
  <si>
    <t>522-103-0153-0003</t>
  </si>
  <si>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</si>
  <si>
    <t>522-103-0153-0004</t>
  </si>
  <si>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</si>
  <si>
    <t>522-103-0153-0005</t>
  </si>
  <si>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</si>
  <si>
    <t>522-103-0153-0006</t>
  </si>
  <si>
    <t>Стол подачи для мытья казана
CE-TKG80X80. Нержавеющая сталь. Размер: 800x800x630мм</t>
  </si>
  <si>
    <t>522-103-0153-0007</t>
  </si>
  <si>
    <t>Стол подачи для мытья казана
CE-TKG100X80. Нержавеющая сталь. Размер: 1000x800x630мм</t>
  </si>
  <si>
    <t>522-103-0153-0008</t>
  </si>
  <si>
    <t>Стол подачи для мытья казана
CE-TKG120X80. Нержавеющая сталь. Размер: 1200x800x630мм</t>
  </si>
  <si>
    <t>522-103-0153-0009</t>
  </si>
  <si>
    <t>Стол подачи для мытья казана
CE-TKG140X80. Нержавеющая сталь. Размер: 1400x800x630мм</t>
  </si>
  <si>
    <t>522-103-0153-0010</t>
  </si>
  <si>
    <t>Стол подачи для мытья казана
CE-TKG180X80. Нержавеющая сталь. Размер: 1800x800x630мм</t>
  </si>
  <si>
    <t>522-103-0153-0013</t>
  </si>
  <si>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</si>
  <si>
    <t>522-103-0153-0014</t>
  </si>
  <si>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</si>
  <si>
    <t>522-103-0154</t>
  </si>
  <si>
    <t>Зонт вентиляционный пристенный ASSUM ЗВП-7/18/4.5 (1800х700х450)</t>
  </si>
  <si>
    <t>522-103-0155</t>
  </si>
  <si>
    <t>Зонт вентиляционный пристенный 2000х900х450</t>
  </si>
  <si>
    <t>522-103-0156</t>
  </si>
  <si>
    <t>Зонт вентиляционный ЗВП-900/1300 Н</t>
  </si>
  <si>
    <t>522-103-0157</t>
  </si>
  <si>
    <t>Зонт вентиляционный пристенный ЗВП-1300/1200 Н</t>
  </si>
  <si>
    <t>522-103-0158</t>
  </si>
  <si>
    <t>Сплит-система среднетемпературная SM 222 S</t>
  </si>
  <si>
    <t>522-103-0159</t>
  </si>
  <si>
    <t>Моноблок потолочный МВ 109 SТ</t>
  </si>
  <si>
    <t>522-103-0160</t>
  </si>
  <si>
    <t>Стол производственный СПБ-П-15/7 (1500х700х850)</t>
  </si>
  <si>
    <t>522-103-0161</t>
  </si>
  <si>
    <t>Стол производственный СП-П-17/6 (1700х600х850)</t>
  </si>
  <si>
    <t>522-103-0162</t>
  </si>
  <si>
    <t>Стол производственный СПБ-П-17/6 (1700х600х850)</t>
  </si>
  <si>
    <t>522-103-0163</t>
  </si>
  <si>
    <t>Стол производственный СПБ-П-17/7 (1700х700х850)</t>
  </si>
  <si>
    <t>522-103-0164</t>
  </si>
  <si>
    <t>Стол производственный СПБ-П-18/7 (1800х700х850)</t>
  </si>
  <si>
    <t>522-103-0165</t>
  </si>
  <si>
    <t>Стол производственный</t>
  </si>
  <si>
    <t>522-103-0165-0001</t>
  </si>
  <si>
    <t>Стол производственный СПБ-П-10/6
(1000х600х850)</t>
  </si>
  <si>
    <t>522-103-0165-0002</t>
  </si>
  <si>
    <t>Стол производственный из нержавеющей стали 1000х600х850 мм, ножки труба 40х40, с  регулируемыми по высоте опорами
СП-1000/600(Л)Б</t>
  </si>
  <si>
    <t>522-103-0165-0003</t>
  </si>
  <si>
    <t>Стол производственный из нержавеющей стали 1200х700х850 мм, c подложкой ДСП 16мм, ножки труба 40х40, с  регулируемыми по высоте опорами СП-1200/700(Л)Б</t>
  </si>
  <si>
    <t>522-103-0165-0004</t>
  </si>
  <si>
    <t>Стол производственный из нержавеющей стали 1600х600х850 мм, c подложкой ДСП 16мм, ножки труба 40х40,с  регулируемыми по высоте опорами СП-1600/600(Л)Б</t>
  </si>
  <si>
    <t>522-103-0165-0005</t>
  </si>
  <si>
    <t>Стол производственный из нержавеющей стали 1700х600х850 мм, c подложкой ДСП 16мм, ножки труба 40х40,с  регулируемыми по высоте опорами СП-1700/600(Л)Б</t>
  </si>
  <si>
    <t>522-103-0165-0006</t>
  </si>
  <si>
    <t>Стол производственный из нержавеющей стали 1500х700х850 мм, c подложкой ДСП 16мм, ножки труба 40х40, с  регулируемыми по высоте опорами СП-1500/700(Л)Б</t>
  </si>
  <si>
    <t>522-103-0165-0007</t>
  </si>
  <si>
    <t>Стол производственный из нержавеющей стали 1800х600х850 мм, c подложкой ДСП 16мм, ножки труба 40х40, с  регулируемыми по высоте опорами СП-1800/600(Л)</t>
  </si>
  <si>
    <t>522-103-0165-0008</t>
  </si>
  <si>
    <t>Стол производственный  из нержавеющей стали 1700х700х850 мм, c подложкой ДСП 16мм, ножки труба 40х40, с  регулируемыми по высоте опорами СП-1700/700(Л)</t>
  </si>
  <si>
    <t>522-103-0165-0009</t>
  </si>
  <si>
    <t>Стол производственный из нержавеющей стали 1800х700х850 мм, c подложкой ДСП 16мм, ножки труба 40х40, с  регулируемыми по высоте опорами СП-1800/700(Л)</t>
  </si>
  <si>
    <t>522-103-0165-0010</t>
  </si>
  <si>
    <t>Стол производственный для обвалки мяса 1500х750х850 мм, столешница полипропилен толщиной 20 мм, ножки труба 40х40 СПППС-1500/700</t>
  </si>
  <si>
    <t>522-103-0165-0011</t>
  </si>
  <si>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</si>
  <si>
    <t>522-103-0165-0012</t>
  </si>
  <si>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</si>
  <si>
    <t>522-103-0165-0013</t>
  </si>
  <si>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</si>
  <si>
    <t>522-103-0165-0014</t>
  </si>
  <si>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</si>
  <si>
    <t>522-103-0165-0015</t>
  </si>
  <si>
    <t>Стол производственный рабочий
CE-TC080X60. Нержавеющая сталь. С бортиком без полки. Размер: 800x600x850мм</t>
  </si>
  <si>
    <t>522-103-0165-0016</t>
  </si>
  <si>
    <t>Стол производственный рабочий
CE-TC0100X60. Нержавеющая сталь. С бортиком без полки. Размер: 1000x600x850мм</t>
  </si>
  <si>
    <t>522-103-0165-0017</t>
  </si>
  <si>
    <t>Стол производственный рабочий
CE-TC0120X60. Нержавеющая сталь. С бортиком без полки. Размер: 1200x600x850мм</t>
  </si>
  <si>
    <t>522-103-0165-0018</t>
  </si>
  <si>
    <t>Стол производственный рабочий
CE-TC0140X60. Нержавеющая сталь. С бортиком без полки. Размер: 1400x600x850мм</t>
  </si>
  <si>
    <t>522-103-0165-0019</t>
  </si>
  <si>
    <t>Стол производственный рабочий
CE-TC0160X60. Нержавеющая сталь. С бортиком без полки. Размер: 1600x600x850мм</t>
  </si>
  <si>
    <t>522-103-0165-0020</t>
  </si>
  <si>
    <t>Стол производственный рабочий
CE-TC0180X60. Нержавеющая сталь. С бортиком без полки. Размер: 1800x600x850мм</t>
  </si>
  <si>
    <t>522-103-0165-0021</t>
  </si>
  <si>
    <t>Стол производственный рабочий
CE-TC060X70. Нержавеющая сталь. С бортиком без полки. Размер: 600x700x850мм</t>
  </si>
  <si>
    <t>522-103-0165-0022</t>
  </si>
  <si>
    <t>Стол производственный рабочий
CE-TC070X70. Нержавеющая сталь. С бортиком без полки. Размер: 700x700x850мм</t>
  </si>
  <si>
    <t>522-103-0165-0023</t>
  </si>
  <si>
    <t>Стол производственный рабочий
CE-TC080X70. Нержавеющая сталь. С бортиком без полки. Размер: 800x700x850мм</t>
  </si>
  <si>
    <t>522-103-0165-0024</t>
  </si>
  <si>
    <t>Стол производственный рабочий
CE-TC0100X70. Нержавеющая сталь. С бортиком без полки. Размер: 1000x700x850мм</t>
  </si>
  <si>
    <t>522-103-0165-0025</t>
  </si>
  <si>
    <t>Стол производственный рабочий
CE-TC0120X70. Нержавеющая сталь. С бортиком без полки. Размер: 1200x700x850мм</t>
  </si>
  <si>
    <t>522-103-0165-0026</t>
  </si>
  <si>
    <t>Стол производственный рабочий
CE-TC0140X70. Нержавеющая сталь. С бортиком без полки. Размер: 1400x700x850мм</t>
  </si>
  <si>
    <t>522-103-0165-0027</t>
  </si>
  <si>
    <t>Стол производственный рабочий
CE-TC0160X70. Нержавеющая сталь. С бортиком без полки. Размер: 1600x700x850мм</t>
  </si>
  <si>
    <t>522-103-0165-0028</t>
  </si>
  <si>
    <t>Стол производственный рабочий
CE-TC0180X70. Нержавеющая сталь. С бортиком без полки. Размер: 1800x700x850мм</t>
  </si>
  <si>
    <t>522-103-0165-0029</t>
  </si>
  <si>
    <t>Стол производственный рабочий
CE-TC1100X60. Нержавеющая сталь. С одной полкой и бортиком. Размер: 1000x600x850мм</t>
  </si>
  <si>
    <t>522-103-0165-0030</t>
  </si>
  <si>
    <t>Стол производственный рабочий
CE-TC1120X60. Нержавеющая сталь. С одной полкой и бортиком. Размер: 1200x600x850мм</t>
  </si>
  <si>
    <t>522-103-0165-0031</t>
  </si>
  <si>
    <t>Стол производственный рабочий
CE-TC1140X60. Нержавеющая сталь. С одной полкой и бортиком.
Размер:1400x600x850мм</t>
  </si>
  <si>
    <t>522-103-0165-0032</t>
  </si>
  <si>
    <t>"Стол производственный рабочий
CE-TC1160X60. Нержавеющая сталь. С одной полкой и бортиком. Размер: 1600x600x850мм"</t>
  </si>
  <si>
    <t>522-103-0165-0033</t>
  </si>
  <si>
    <t>Стол производственный рабочий
CE-TC1180X60. Нержавеющая сталь. С одной полкой и бортиком. Размер: 1800x600x850мм</t>
  </si>
  <si>
    <t>522-103-0165-0034</t>
  </si>
  <si>
    <t>Стол производственный рабочий
CE-TC1100X70. Нержавеющая сталь. С одной полкой и бортиком. Размер: 1000x700x850мм</t>
  </si>
  <si>
    <t>522-103-0165-0035</t>
  </si>
  <si>
    <t>Стол производственный рабочий
CE-TC1120X70. Нержавеющая сталь. С одной полкой и бортиком. Размер: 1200x700x850мм</t>
  </si>
  <si>
    <t>522-103-0165-0036</t>
  </si>
  <si>
    <t>Стол производственный рабочий
CE-TC1140X70. Нержавеющая сталь. С одной полкой и бортиком. Размер: 1400x700x850мм</t>
  </si>
  <si>
    <t>522-103-0165-0037</t>
  </si>
  <si>
    <t>Стол производственный рабочий
CE-TC1160X70. Нержавеющая сталь. С одной полкой и бортиком. Размер: 1600x700x850мм</t>
  </si>
  <si>
    <t>522-103-0165-0038</t>
  </si>
  <si>
    <t>Стол производственный рабочий
CE-TC1180X70. Нержавеющая сталь. С одной полкой и бортиком. Размер: 1800x700x850мм</t>
  </si>
  <si>
    <t>522-103-0165-0039</t>
  </si>
  <si>
    <t>Стол производственный рабочий
CE-TC2100X60. Нержавеющая сталь. С двумя полками и бортиком. Размер: 1000x600x850мм</t>
  </si>
  <si>
    <t>522-103-0165-0040</t>
  </si>
  <si>
    <t>Стол производственный рабочий
CE-TC2120X60. Нержавеющая сталь. С двумя полками и бортиком. Размер: 1200x600x850мм</t>
  </si>
  <si>
    <t>522-103-0165-0041</t>
  </si>
  <si>
    <t>Стол производственный рабочий
CE-TC2140X60. Нержавеющая сталь. С двумя полками и бортиком. Размер: 1400x600x850мм</t>
  </si>
  <si>
    <t>522-103-0165-0042</t>
  </si>
  <si>
    <t>Стол производственный рабочий
CE-TC2160X60. Нержавеющая сталь. С двумя полками и бортиком. Размер: 1600x600x850мм</t>
  </si>
  <si>
    <t>522-103-0165-0043</t>
  </si>
  <si>
    <t>Стол производственный рабочий
CE-TC2180X60. Нержавеющая сталь. С двумя полками и бортиком. Размер: 1800x600x850мм</t>
  </si>
  <si>
    <t>522-103-0165-0044</t>
  </si>
  <si>
    <t>Стол производственный рабочий
CE-TC2100X70. Нержавеющая сталь. С двумя полками и бортиком. Размер: 1000x700x850мм</t>
  </si>
  <si>
    <t>522-103-0165-0045</t>
  </si>
  <si>
    <t>Стол производственный рабочий
CE-TC2120X70. Нержавеющая сталь. С двумя полками и бортиком. Размер: 1200x700x850мм</t>
  </si>
  <si>
    <t>522-103-0165-0046</t>
  </si>
  <si>
    <t>Стол производственный рабочий
CE-TC2140X70. Нержавеющая сталь. С двумя полками и бортиком. Размер: 1400x700x850мм</t>
  </si>
  <si>
    <t>522-103-0165-0047</t>
  </si>
  <si>
    <t>Стол производственный рабочий
CE-TC2160X70. Нержавеющая сталь. С двумя полками и бортиком. Размер: 1600x700x850мм</t>
  </si>
  <si>
    <t>522-103-0165-0048</t>
  </si>
  <si>
    <t>Стол производственный рабочий
CE-TC2180X70. Нержавеющая сталь. С двумя полками и бортиком. Размер: 1800x700x850мм</t>
  </si>
  <si>
    <t>522-103-0165-0049</t>
  </si>
  <si>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</si>
  <si>
    <t>522-103-0165-0050</t>
  </si>
  <si>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</si>
  <si>
    <t>522-103-0165-0051</t>
  </si>
  <si>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</si>
  <si>
    <t>522-103-0165-0052</t>
  </si>
  <si>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</si>
  <si>
    <t>522-103-0165-0053</t>
  </si>
  <si>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</si>
  <si>
    <t>522-103-0165-0054</t>
  </si>
  <si>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</si>
  <si>
    <t>522-103-0165-0055</t>
  </si>
  <si>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</si>
  <si>
    <t>522-103-0165-0056</t>
  </si>
  <si>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</si>
  <si>
    <t>522-103-0166</t>
  </si>
  <si>
    <t>Стол специализированный кондитерский</t>
  </si>
  <si>
    <t>522-103-0166-0001</t>
  </si>
  <si>
    <t>Стол специализированный кондитерский
ССК-15/7 (1500х700х850)</t>
  </si>
  <si>
    <t>522-103-0166-0002</t>
  </si>
  <si>
    <t>Стол специализированный кондитерский 1500х700х850 мм, каркас из нержавеющей стали, материал столешницы дерево,
СОК-1500/700</t>
  </si>
  <si>
    <t>522-103-0166-0004</t>
  </si>
  <si>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</si>
  <si>
    <t>522-103-0167</t>
  </si>
  <si>
    <t>Подтоварник</t>
  </si>
  <si>
    <t>522-103-0167-0001</t>
  </si>
  <si>
    <t>Подтоварник, размеры не менее 1200х600х300мм</t>
  </si>
  <si>
    <t>Материал каркаса из нержавеющей стали.</t>
  </si>
  <si>
    <t>522-103-0167-0002</t>
  </si>
  <si>
    <t>Подтоварник из нержавеющей стали 1200х600х300 мм, с лагами усиления ПТ-1</t>
  </si>
  <si>
    <t>522-103-0167-0003</t>
  </si>
  <si>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</si>
  <si>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</si>
  <si>
    <t>522-103-0167-0004</t>
  </si>
  <si>
    <t>Подтоварник ПТ-10-6ТН, размеры 1000х600х300 мм, сплошная поверхность из нержавеющей стали</t>
  </si>
  <si>
    <t>Сплошная поверхность из нержавеющей стали с лагами усиления, каркас труба 40х40 мм нерж сталь, пластиковые регулируемые опоры</t>
  </si>
  <si>
    <t>522-103-0167-0005</t>
  </si>
  <si>
    <t>Подтоварник ПТ-12-6ТН, размеры 1200х600х300 мм, сплошная поверхность из нержавеющей стали</t>
  </si>
  <si>
    <t>522-103-0167-0006</t>
  </si>
  <si>
    <t>Подтоварник ПТ-12-6УН, размеры 1200х600х300 мм, сплошная поверхность из нержавеющей стали</t>
  </si>
  <si>
    <t>Сплошная поверхность из нержавеющей стали с лагами усиления. Ножки (гнутый уголок 40х40 мм) толщиной 1,5мм нерж сталь. Пластиковые регулируемые опоры.</t>
  </si>
  <si>
    <t>522-103-0168</t>
  </si>
  <si>
    <t>Гастроемкость из нержавеющей стали</t>
  </si>
  <si>
    <t>522-103-0168-0001</t>
  </si>
  <si>
    <t>Гастроемкость из нержавеющей стали
ZC01-12, размеры 530х325х65 мм</t>
  </si>
  <si>
    <t>522-103-0168-0002</t>
  </si>
  <si>
    <t>Гастроемкость из нержавеющей стали
ZC01-14, размеры 530х325х100 мм</t>
  </si>
  <si>
    <t>522-103-0168-0003</t>
  </si>
  <si>
    <t>Гастроемкость из нержавеющей стали
ZC01-16, размеры 530х325х150 мм</t>
  </si>
  <si>
    <t>522-103-0168-0004</t>
  </si>
  <si>
    <t>Гастроемкость из нержавеющей стали
ZC02-12, размеры 325х265×65 мм</t>
  </si>
  <si>
    <t>522-103-0168-0005</t>
  </si>
  <si>
    <t>Гастроемкость из нержавеющей стали
ZC02-14, размеры 325х265×100 мм</t>
  </si>
  <si>
    <t>522-103-0168-0006</t>
  </si>
  <si>
    <t>Гастроемкость из нержавеющей стали
ZC02-16, размеры 325х265×150 мм</t>
  </si>
  <si>
    <t>522-103-0168-0007</t>
  </si>
  <si>
    <t>Гастроемкость из нержавеющей стали
ZC03-12, размеры 325х176х65 мм</t>
  </si>
  <si>
    <t>522-103-0168-0008</t>
  </si>
  <si>
    <t>Гастроемкость из нержавеющей стали
ZC03-14, размеры 325х176х100 мм</t>
  </si>
  <si>
    <t>522-103-0168-0009</t>
  </si>
  <si>
    <t>Гастроемкость из нержавеющей стали
ZC03-16, размеры 325х176х150 мм</t>
  </si>
  <si>
    <t>522-103-0168-0010</t>
  </si>
  <si>
    <t>Гастроемкость из нержавеющей стали
ZC04-12, размеры 265х162х65 мм</t>
  </si>
  <si>
    <t>522-103-0168-0011</t>
  </si>
  <si>
    <t>Гастроемкость из нержавеющей стали
ZC04-14, размеры 265х162х100 мм</t>
  </si>
  <si>
    <t>522-103-0168-0012</t>
  </si>
  <si>
    <t>Гастроемкость из нержавеющей стали
ZC04-16, размеры 265х162х150 мм</t>
  </si>
  <si>
    <t>522-103-0168-0013</t>
  </si>
  <si>
    <t>Гастроемкость из нержавеющей стали
ZC06-12, размеры 176х164х65 мм</t>
  </si>
  <si>
    <t>522-103-0168-0014</t>
  </si>
  <si>
    <t>Гастроемкость из нержавеющей стали
ZC06-14, размеры 176х164х100 мм</t>
  </si>
  <si>
    <t>522-103-0168-0015</t>
  </si>
  <si>
    <t>Гастроемкость из нержавеющей стали
ZC06-16, размеры 176х164х150 мм</t>
  </si>
  <si>
    <t>522-103-0169</t>
  </si>
  <si>
    <t>Крышка для гастроемкостей из
нержавеющей стали</t>
  </si>
  <si>
    <t>522-103-0169-0001</t>
  </si>
  <si>
    <t>Крышка для гастроемкостей из нержавеющей стали 1/1LID, размеры 530х325х20 мм</t>
  </si>
  <si>
    <t>522-103-0169-0002</t>
  </si>
  <si>
    <t>Крышка для гастроемкостей из нержавеющей стали1/2LID, размеры 325х265х20 мм</t>
  </si>
  <si>
    <t>522-103-0169-0003</t>
  </si>
  <si>
    <t>Крышка для гастроемкостей из нержавеющей стали 1/3LID, размеры 325х176х20 мм</t>
  </si>
  <si>
    <t>522-103-0169-0004</t>
  </si>
  <si>
    <t>Крышка для гастроемкостей из нержавеющей стали 1/4LID, размеры 236х162х20 мм</t>
  </si>
  <si>
    <t>522-103-0169-0005</t>
  </si>
  <si>
    <t>Крышка для гастроемкостей из нержавеющей стали 1/6LID, размеры 176х164х20 мм</t>
  </si>
  <si>
    <t>522-103-0170</t>
  </si>
  <si>
    <t>Тележка выдвижная для пароконвектоматов</t>
  </si>
  <si>
    <t>522-103-0170-0001</t>
  </si>
  <si>
    <t>Тележка выдвижная для пароконвектоматов EKCR 20TC на 20 противней GN-1/1</t>
  </si>
  <si>
    <t>522-103-0171</t>
  </si>
  <si>
    <t>Стол производственный рабочий с ящиком, шкафом</t>
  </si>
  <si>
    <t>522-103-0171-0001</t>
  </si>
  <si>
    <t>Стол производственный рабочий
CE-TC3100X60. Нержавеющая сталь. С одним ящиком и бортиком. Размер: 1000x600x850мм</t>
  </si>
  <si>
    <t>522-103-0171-0002</t>
  </si>
  <si>
    <t>Стол производственный рабочий
CE-TC3120X60. Нержавеющая сталь. С одним ящиком и бортиком. Размер: 1200x600x850мм</t>
  </si>
  <si>
    <t>522-103-0171-0003</t>
  </si>
  <si>
    <t>Стол производственный рабочий
CE-TC3140X60. Нержавеющая сталь. С одним ящиком и бортиком. Размер: 1400x600x850мм</t>
  </si>
  <si>
    <t>522-103-0171-0004</t>
  </si>
  <si>
    <t>Стол производственный рабочий
CE-TC3160X60. Нержавеющая сталь. С одним ящиком и бортиком. Размер: 1600x600x850мм</t>
  </si>
  <si>
    <t>522-103-0171-0005</t>
  </si>
  <si>
    <t>Стол производственный рабочий
CE-TC3180X60. Нержавеющая сталь. С одним ящиком и бортиком. Размер: 1800x600x850мм</t>
  </si>
  <si>
    <t>522-103-0171-0006</t>
  </si>
  <si>
    <t>Стол производственный рабочий
CE-TC3100X70. Нержавеющая сталь. С одним ящиком и бортиком. Размер: 1000x700x850мм</t>
  </si>
  <si>
    <t>522-103-0171-0007</t>
  </si>
  <si>
    <t>Стол производственный рабочий
CE-TC3120X70. Нержавеющая сталь. С одним ящиком и бортиком. Размер: 1200x700x850мм</t>
  </si>
  <si>
    <t>522-103-0171-0008</t>
  </si>
  <si>
    <t>Стол производственный рабочий
CE-TC3140X70. Нержавеющая сталь. С одним ящиком и бортиком. Размер: 1400x700x850мм</t>
  </si>
  <si>
    <t>522-103-0171-0009</t>
  </si>
  <si>
    <t>Стол производственный рабочий
CE-TC3160X70. Нержавеющая сталь. С одним ящиком и бортиком. Размер: 1600x700x850мм</t>
  </si>
  <si>
    <t>522-103-0171-0010</t>
  </si>
  <si>
    <t>Стол производственный рабочий
CE-TC3180X70. Нержавеющая сталь. С одним ящиком и бортиком. Размер: 1800x700x850мм</t>
  </si>
  <si>
    <t>522-103-0171-0011</t>
  </si>
  <si>
    <t>Стол производственный рабочий
CE-TC4140X60. Нержавеющая сталь. С полкой, 3 ящиками и бортиком. Размер: 1400x600x850мм</t>
  </si>
  <si>
    <t>522-103-0171-0012</t>
  </si>
  <si>
    <t>Стол производственный рабочий
CE-TC4160X60. Нержавеющая сталь. С полкой, 3 ящиками и бортиком. Размер: 1600x600x850мм</t>
  </si>
  <si>
    <t>522-103-0171-0013</t>
  </si>
  <si>
    <t>Стол производственный рабочий
CE-TC4140X70. Нержавеющая сталь. С полкой, 3 ящиками и бортиком. Размер: 1400x700x850мм</t>
  </si>
  <si>
    <t>522-103-0171-0014</t>
  </si>
  <si>
    <t>Стол производственный рабочий
CE-TC4160X70. Нержавеющая сталь. С полкой, 3 ящиками и бортиком. Размер: 1600x700x850мм</t>
  </si>
  <si>
    <t>522-103-0171-0015</t>
  </si>
  <si>
    <t>Стол производственный рабочий с раздвижным шкафом CE-TCDS140X60. Нержавеющая сталь. С шкафом из двух полок, с раздвижными дверями и бортиком. Размер: 1400x600x850мм</t>
  </si>
  <si>
    <t>522-103-0171-0016</t>
  </si>
  <si>
    <t>Стол производственный рабочий с раздвижным шкафом CE-TCDS160X60. Нержавеющая сталь. С шкафом из двух полок, с раздвижными дверями и бортиком. Размер: 1600x600x850мм</t>
  </si>
  <si>
    <t>522-103-0171-0017</t>
  </si>
  <si>
    <t>Стол производственный рабочий с раздвижным шкафом CE-TCDS180X60. Нержавеющая сталь. С шкафом из двух полок, с раздвижными дверями и бортиком. Размер: 1800x600x850мм</t>
  </si>
  <si>
    <t>522-103-0171-0018</t>
  </si>
  <si>
    <t>Стол производственный рабочий с раздвижным шкафом CE-TCDS140X70. Нержавеющая сталь. С шкафом из двух полок, с раздвижными дверями и бортиком. Размер: 1400x700x850мм</t>
  </si>
  <si>
    <t>522-103-0171-0019</t>
  </si>
  <si>
    <t>Стол производственный рабочий с раздвижным шкафом CE-TCDS160X70. Нержавеющая сталь. С шкафом из двух полок, с раздвижными дверями и бортиком. Размер: 1600x700x850мм</t>
  </si>
  <si>
    <t>522-103-0171-0020</t>
  </si>
  <si>
    <t>Стол производственный рабочий с раздвижным шкафом CE-TCDS180X70. Нержавеющая сталь. С шкафом из двух полок,с раздвижными дверями и бортиком. Размер: 1800x700x850мм</t>
  </si>
  <si>
    <t>522-103-0171-0021</t>
  </si>
  <si>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</si>
  <si>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522-103-0171-0022</t>
  </si>
  <si>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</si>
  <si>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522-103-0171-0023</t>
  </si>
  <si>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</si>
  <si>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522-103-0171-0024</t>
  </si>
  <si>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</si>
  <si>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522-103-0171-0025</t>
  </si>
  <si>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</si>
  <si>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522-103-0174</t>
  </si>
  <si>
    <t>Стол разделочный</t>
  </si>
  <si>
    <t>522-103-0174-0009</t>
  </si>
  <si>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</si>
  <si>
    <t>522-103-0174-0010</t>
  </si>
  <si>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</si>
  <si>
    <t>522-103-0174-0011</t>
  </si>
  <si>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</si>
  <si>
    <t>522-103-0174-0012</t>
  </si>
  <si>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</si>
  <si>
    <t>522-103-0174-0013</t>
  </si>
  <si>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</si>
  <si>
    <t>522-103-0176</t>
  </si>
  <si>
    <t>Стол для кухонных работ</t>
  </si>
  <si>
    <t>522-103-0176-0013</t>
  </si>
  <si>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</si>
  <si>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</si>
  <si>
    <t>522-103-0177</t>
  </si>
  <si>
    <t>Ларь для овощей</t>
  </si>
  <si>
    <t>522-103-0177-0001</t>
  </si>
  <si>
    <t>Ларь для овощей ЛО 10-6-8,5, размеры 1000х600х850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</si>
  <si>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</si>
  <si>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522-103-0177-0002</t>
  </si>
  <si>
    <t>Ларь для овощей ЛО 12-6-8,5, размеры 1200х600х850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</si>
  <si>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</si>
  <si>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522-103-0178</t>
  </si>
  <si>
    <t>Стол производственный с бортом</t>
  </si>
  <si>
    <t>522-103-0178-0001</t>
  </si>
  <si>
    <t>Стол производственный с бортом
СПБ-6-6УН, борт не менее 40 мм, размеры 600х600х850 мм, столешница из нержавеющей стали 0,8 мм, усиленная ДСП 16 мм, без полки</t>
  </si>
  <si>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</si>
  <si>
    <t>522-103-0178-0002</t>
  </si>
  <si>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</si>
  <si>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</si>
  <si>
    <t>522-103-0178-0003</t>
  </si>
  <si>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</si>
  <si>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t>522-103-0178-0004</t>
  </si>
  <si>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</si>
  <si>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t>522-103-0178-0005</t>
  </si>
  <si>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</si>
  <si>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t>522-103-0178-0006</t>
  </si>
  <si>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</si>
  <si>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t>522-103-0178-0007</t>
  </si>
  <si>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</si>
  <si>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t>522-103-0178-0008</t>
  </si>
  <si>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</si>
  <si>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t>522-103-0178-0009</t>
  </si>
  <si>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</si>
  <si>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</si>
  <si>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522-103-0178-0010</t>
  </si>
  <si>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</si>
  <si>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t>522-103-0178-0011</t>
  </si>
  <si>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</si>
  <si>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t>522-103-0178-0012</t>
  </si>
  <si>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</si>
  <si>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t>522-103-0178-0013</t>
  </si>
  <si>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</si>
  <si>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t>522-103-0178-0014</t>
  </si>
  <si>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</si>
  <si>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t>522-103-0178-0015</t>
  </si>
  <si>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</si>
  <si>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t>522-103-0178-0016</t>
  </si>
  <si>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</si>
  <si>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t>522-103-0178-0017</t>
  </si>
  <si>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</si>
  <si>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t>522-103-0178-0018</t>
  </si>
  <si>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</si>
  <si>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t>522-103-0178-0019</t>
  </si>
  <si>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</si>
  <si>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t>522-103-0178-0020</t>
  </si>
  <si>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</si>
  <si>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t>522-103-0178-0021</t>
  </si>
  <si>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</si>
  <si>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t>522-103-0178-0022</t>
  </si>
  <si>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</si>
  <si>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t>522-103-0178-0023</t>
  </si>
  <si>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</si>
  <si>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t>522-103-0178-0024</t>
  </si>
  <si>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</si>
  <si>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t>522-103-0178-0025</t>
  </si>
  <si>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</si>
  <si>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t>522-103-0178-0026</t>
  </si>
  <si>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</si>
  <si>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</si>
  <si>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522-103-0178-0027</t>
  </si>
  <si>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</si>
  <si>
    <t>522-103-0178-0028</t>
  </si>
  <si>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</si>
  <si>
    <t>522-103-0178-0029</t>
  </si>
  <si>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</si>
  <si>
    <t>522-103-0178-0030</t>
  </si>
  <si>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</si>
  <si>
    <t>522-103-0178-0031</t>
  </si>
  <si>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</si>
  <si>
    <t>522-103-0178-0032</t>
  </si>
  <si>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</si>
  <si>
    <t>522-103-0179</t>
  </si>
  <si>
    <t>Стол производственный без борта</t>
  </si>
  <si>
    <t>522-103-0179-0001</t>
  </si>
  <si>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</si>
  <si>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</si>
  <si>
    <t>522-103-0179-0002</t>
  </si>
  <si>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</si>
  <si>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</si>
  <si>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522-103-0179-0003</t>
  </si>
  <si>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</si>
  <si>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</si>
  <si>
    <t>522-103-0179-0004</t>
  </si>
  <si>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</si>
  <si>
    <t>522-103-0179-0005</t>
  </si>
  <si>
    <t>Стол производственный СП-12-6ТН без борта, размеры 1200х600х850 мм, столешница и сплошная нижняя полка из нержавеющей стали 0,8 мм, усиленные ДСП 16 мм</t>
  </si>
  <si>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</si>
  <si>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522-103-0179-0006</t>
  </si>
  <si>
    <t>Стол производственный СП-18-6ТН без борта, размеры 1800х600х850 мм, столешница и сплошная нижняя полка из нержавеющей стали 0,8 мм, усиленные ДСП 16 мм</t>
  </si>
  <si>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</si>
  <si>
    <t>522-103-0179-0007</t>
  </si>
  <si>
    <t>Стол производственный СП-17-7ТН без борта, размеры 1700х700х850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</si>
  <si>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</si>
  <si>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522-103-0179-0008</t>
  </si>
  <si>
    <t>Стол производственный без борта
СП-18-7ТН, размеры 1800х700х850 мм, столешница и сплошная нижняя полка из нержавеющей стали 0,8 мм, усиленные ДСП 16 мм</t>
  </si>
  <si>
    <t>522-103-0179-0009</t>
  </si>
  <si>
    <t>Стол производственный без борта
СП-18-6УН, размеры 1800х600х850 мм, столешница и сплошная нижняя полка из нержавеющей стали 0,8 мм, усиленные ДСП 16 мм</t>
  </si>
  <si>
    <t>522-103-0179-0010</t>
  </si>
  <si>
    <t>Стол производственный без борта
СП-24-7УН, размеры 2400х700х850 мм, столешница и сплошная нижняя полка из нержавеющей стали 0,8 мм, усиленные ДСП 16 мм</t>
  </si>
  <si>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</si>
  <si>
    <t>522-103-0179-0011</t>
  </si>
  <si>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</si>
  <si>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t>522-103-0180</t>
  </si>
  <si>
    <t>Тележка сервировочная</t>
  </si>
  <si>
    <t>522-103-0180-0001</t>
  </si>
  <si>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</si>
  <si>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522-103-0180-0002</t>
  </si>
  <si>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</si>
  <si>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522-103-0200</t>
  </si>
  <si>
    <t>Тепловое оборудование</t>
  </si>
  <si>
    <t>522-103-0201</t>
  </si>
  <si>
    <t>Котел пищеварочный электрический КПЭМ-250/9Т, 18,1 кВт, 380 В</t>
  </si>
  <si>
    <t>522-103-0202</t>
  </si>
  <si>
    <t>Котел пищеварочный электрический КПЭМ-160/9Т, 18,1 кВт, 380 В</t>
  </si>
  <si>
    <t>522-103-0203</t>
  </si>
  <si>
    <t>Котел электрический пищеварочный круглый стационарный КПЭ-60 нерж. (900х625х625 мм, 60 л, 9 кВт, 380 В)</t>
  </si>
  <si>
    <t>522-103-0204</t>
  </si>
  <si>
    <t>Котел электрический пищеварочный круглый стац. КПЭ-100 нерж. (900х625х625 мм, 100 л, 380 В, 12 кВт)</t>
  </si>
  <si>
    <t>522-103-0205</t>
  </si>
  <si>
    <t>Котел пищеварочный</t>
  </si>
  <si>
    <t>522-103-0205-0001</t>
  </si>
  <si>
    <t>Котел пищеварочный КПЭМ-200/9Т, размеры 841x1018х1182 мм, объем 200 л, мощность 18,1 кВт, напряжение 380 В</t>
  </si>
  <si>
    <t>522-103-0205-0002</t>
  </si>
  <si>
    <t>Котел пищеварочный электрический GKB899HI100, размеры 800х900х920 мм, объем 100 л, мощность 18 кВт, напряжение 380 В</t>
  </si>
  <si>
    <t>522-103-0205-0003</t>
  </si>
  <si>
    <t>Котел пищеварочный электрический GKB899HI150, размеры 800х900х920 мм, объем 150 л, мощность 24 кВт, напряжение 380 В</t>
  </si>
  <si>
    <t>522-103-0205-0004</t>
  </si>
  <si>
    <t>Котел пищеварочный электрический КПЭМ-60/9Т (60 л,+100°С, сливной кран, пароводяная рубашка, цельнотянутый, 641x1015x1030мм, 9,1 кВт, 400В)</t>
  </si>
  <si>
    <t>522-103-0205-0005</t>
  </si>
  <si>
    <t>Котел пищеварочный электрический
КПЭМ-100/9Т (100 л, +100°С, сливной кран, пароводяная рубашка, цельнотянутый, 841x1015x1030 мм, 18,1 кВт, 400В)</t>
  </si>
  <si>
    <t>522-103-0206</t>
  </si>
  <si>
    <t>Пароконвектомат UNOX XEVC-1011-E1RM
(750x783x1010)</t>
  </si>
  <si>
    <t>522-103-0207</t>
  </si>
  <si>
    <t>Пароконвектомат PIRON PF7706 PLUS (6 GN1/1 или 600х400, 10,5 кВт, термощуп, 780x850x830 мм)</t>
  </si>
  <si>
    <t>522-103-0208</t>
  </si>
  <si>
    <t>Пароконвектомат</t>
  </si>
  <si>
    <t>522-103-0208-0001</t>
  </si>
  <si>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</si>
  <si>
    <t>522-103-0208-0002</t>
  </si>
  <si>
    <t>Пароконвектомат MKF 2011 BM/0/85 (бойлерный, 20 уровней GN 1/1, 4 вентилятора с реверсом) + 100 программ, с автоматической мойкой</t>
  </si>
  <si>
    <t>522-103-0208-0003</t>
  </si>
  <si>
    <t>Печь пароконвекционная MKF 1111 BM/0/85 (бойлерный, 11 уровней GN 1/1, 2 вентилятора с реверсом) + 100 программ, с автоматической мойкой</t>
  </si>
  <si>
    <t>522-103-0208-0004</t>
  </si>
  <si>
    <t>Печь конвекционная MKF 1064 BM/0/85 (бойлерный, 10 уровней, 3 вентилятора с реверсом) + 100 программ, с автоматической мойкой</t>
  </si>
  <si>
    <t>522-103-0208-0005</t>
  </si>
  <si>
    <t>Шкаф расстоечный MKL 1064 S (10 уровней, механическое управление)</t>
  </si>
  <si>
    <t>522-103-0208-0006</t>
  </si>
  <si>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</si>
  <si>
    <t>522-103-0208-0007</t>
  </si>
  <si>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</si>
  <si>
    <t>522-103-0208-0008</t>
  </si>
  <si>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</si>
  <si>
    <t>522-103-0209</t>
  </si>
  <si>
    <t>Сковорода электрическая ЭСК-80-0,27-40
(800x899x950 мм, 9 кВт, 380 В)</t>
  </si>
  <si>
    <t>522-103-0210</t>
  </si>
  <si>
    <t>Сковорода электрическая СЭЧ-0,25Н (1000х800х850 мм, 38 л, чугун. чаша, облиц. и крышка нерж.)</t>
  </si>
  <si>
    <t>522-103-0211</t>
  </si>
  <si>
    <t>Сковорода электрическая СЭП-0,25 (емкость 38 л, 985х850 (900)х820 (840) мм, 6 кВт, 380 В)</t>
  </si>
  <si>
    <t>522-103-0212</t>
  </si>
  <si>
    <t>Плита электрическая ЭП-6ЖШ
(1475x895x860 мм, 22,8 кВт, 380 В)</t>
  </si>
  <si>
    <t>522-103-0213</t>
  </si>
  <si>
    <t>Плита электрическая ЭП-4ЖШ
(1050x895x860 мм, 16,8 кВт, 380 В)</t>
  </si>
  <si>
    <t>522-103-0214</t>
  </si>
  <si>
    <t>522-103-0214-0001</t>
  </si>
  <si>
    <t>Плита электрическая четырехконфорочная TECNOINOX PCU70E7 616091, размеры
700x700x280 мм, мощность 10 кВт, напряжение 380 В</t>
  </si>
  <si>
    <t>522-103-0214-0002</t>
  </si>
  <si>
    <t>Плита электрическая четырехконфорочная EHB879H, размеры 800х900х920 мм, мощность 4 кВт, напряжение 380 В</t>
  </si>
  <si>
    <t>522-103-0214-0003</t>
  </si>
  <si>
    <t>Плита электрическая четырехконфорочная EHB899H, размеры 800х900х920 мм, мощность 20,8 кВт, напряжение 380 В</t>
  </si>
  <si>
    <t>522-103-0214-0004</t>
  </si>
  <si>
    <t>Плита электрическая шестиконфорочная EHB199H, размеры 1200х900х920 мм, мощность 28,8 кВт, напряжение 380 В</t>
  </si>
  <si>
    <t>522-103-0214-0005</t>
  </si>
  <si>
    <t>Плита электрическая двухконфорочная без жарочного шкафа ПЭП-0,34М (725*770*840(860) мм)</t>
  </si>
  <si>
    <t>522-103-0214-0006</t>
  </si>
  <si>
    <t>Плита электрическая двухконфорочная напольная без жарочного шкафа
ПЭП-0,24-01 (417 (627)*850*860 (880) мм)</t>
  </si>
  <si>
    <t>522-103-0214-0007</t>
  </si>
  <si>
    <t>Плита электрическая четырехконфорочная без жарочного шкафа ПЭП-0,48-01 (840(1050)*850*860(880) мм)</t>
  </si>
  <si>
    <t>522-103-0214-0008</t>
  </si>
  <si>
    <t>Плита электрическая шестиконфорочная без жарочного шкафа ПЭП-0,72-01 (1265(1475)*850*860(880) мм)</t>
  </si>
  <si>
    <t>522-103-0214-0009</t>
  </si>
  <si>
    <t>Плита электрическая четырехконфорочная с жарочным шкафом ПЭП-0,48-ДШ-01 (840(1050)*850(900)*860(880) мм)</t>
  </si>
  <si>
    <t>522-103-0214-0010</t>
  </si>
  <si>
    <t>Плита электрическая четырехконфорочная ЭП-4П, размеры 1050x850x860 мм, мощность 12 кВт, напряжение 380В</t>
  </si>
  <si>
    <t>522-103-0214-0011</t>
  </si>
  <si>
    <t>Плита электрическая шестиконфорочная ЭП-6П, размеры 1475x850x860 мм, мощность 18 кВт, напряжение 380В</t>
  </si>
  <si>
    <t>522-103-0214-0012</t>
  </si>
  <si>
    <t>Плита электрическая четырехконфорочная ПЭ49Ж, мощность 16,8 кВт, напряжение 380В</t>
  </si>
  <si>
    <t>522-103-0214-0013</t>
  </si>
  <si>
    <t>Плита электрическая четырехконфорочная ПЭ-49П, размеры 1050х900х860 мм, мощность 12кВт, напряжение 380В</t>
  </si>
  <si>
    <t>522-103-0215</t>
  </si>
  <si>
    <t>Мармит-супница HURAKAN HKN-FWP (350×330×370 мм, 10 л, 0,4 кВт, 220 В)</t>
  </si>
  <si>
    <t>522-103-0216</t>
  </si>
  <si>
    <t>Мармит-супница Airhot SB-6000 (335x335x370 мм, 9 л, 0,4 кВт, 220 В)</t>
  </si>
  <si>
    <t>522-103-0217</t>
  </si>
  <si>
    <t>Мармит электрический настольный GASTRORAG ZCK100S (622х360х235 мм, 1,6 кВт, 220 Вт)</t>
  </si>
  <si>
    <t>522-103-0218</t>
  </si>
  <si>
    <t>Мармит электрический настольный AIRHOT BM-11 без гастроемкости (600x338x243 мм, 1,2 кВт, 220 В)</t>
  </si>
  <si>
    <t>522-103-0219</t>
  </si>
  <si>
    <t>Печь микроволновая СВЧ HURAKAN HKN-WP900 (483x400x281 мм, 220 В, 1,4
кВт)</t>
  </si>
  <si>
    <t>522-103-0220</t>
  </si>
  <si>
    <t>Печь микроволновая СВЧ AIRHOT
WP900-25L M (483х424х281 мм, 0,9 кВт, 220
В, 6 уровней мощности, 25 л)</t>
  </si>
  <si>
    <t>522-103-0221</t>
  </si>
  <si>
    <t>Витрина тепловая HURAKAN HKN-WD2 (660x466x610, 220 В, 0,84 кВт)</t>
  </si>
  <si>
    <t>522-103-0222</t>
  </si>
  <si>
    <t>Витрина тепловая HURAKAN HKN-WD30B (970x430x620, 220 В, 1,2 кВт, 35 кг)</t>
  </si>
  <si>
    <t>522-103-0223</t>
  </si>
  <si>
    <t>Мармит для 1-х блюд</t>
  </si>
  <si>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</si>
  <si>
    <t>522-103-0224</t>
  </si>
  <si>
    <t>Мармит для 2-х блюд</t>
  </si>
  <si>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</si>
  <si>
    <t>522-103-0225</t>
  </si>
  <si>
    <t>Мармит 1-х и 2-х блюд ЭМК-70КМУ (1500х705/1030х1485), V=8 л</t>
  </si>
  <si>
    <t>522-103-0226</t>
  </si>
  <si>
    <t>Мармит 2-х блюд ПМЭС-70КМ-80 (1500х705/1030х1482)</t>
  </si>
  <si>
    <t>522-103-0227</t>
  </si>
  <si>
    <t>Мармит 2-х блюд ЭМК-70КМ-01 паровой (две полки, подсветка, с гастроемкостями, 1120 мм)</t>
  </si>
  <si>
    <t>522-103-0228</t>
  </si>
  <si>
    <t>Мармит 1-х блюд ПМЭС-70КМ (1120х705/1030х1240)</t>
  </si>
  <si>
    <t>522-103-0229</t>
  </si>
  <si>
    <t>Мармит</t>
  </si>
  <si>
    <t>522-103-0229-0001</t>
  </si>
  <si>
    <t>Мармит 2-х блюд ПМЭС-70КМ-60
(1120х705/1030х1482)</t>
  </si>
  <si>
    <t>522-103-0229-0002</t>
  </si>
  <si>
    <t>Мармит 2-х блюд паровой 1500х700(1000)х1500, 2 полки,
гастроемкости, подсветка, Мощность 2,5 кВт, ЭМК-70КМ-01</t>
  </si>
  <si>
    <t>522-103-0229-0003</t>
  </si>
  <si>
    <t>Мармит 1-х блюд, 1100х700(1000)х1220, одна полка, подсветка, Мощность 4 кВт, ПМЭС-70КМ</t>
  </si>
  <si>
    <t>522-103-0229-0004</t>
  </si>
  <si>
    <t>Мармит паровой HEB-909A, размеры 800х900х920 мм, мощность 6 кВт, напряжение 380 В</t>
  </si>
  <si>
    <t>522-103-0229-0005</t>
  </si>
  <si>
    <t>Мармит паровой настольный электрический HB-4V, размеры 700х600х280 мм, мощность 1,5 кВт, напряжение 220 В</t>
  </si>
  <si>
    <t>522-103-0229-0006</t>
  </si>
  <si>
    <t>Мармит паровой настольный электрический HB-6V, размеры 700х590х275 мм, мощность 1,5 кВт, напряжение 220 В</t>
  </si>
  <si>
    <t>522-103-0230</t>
  </si>
  <si>
    <t>Витрина тепловая</t>
  </si>
  <si>
    <t>522-103-0230-0001</t>
  </si>
  <si>
    <t>Витрина тепловая ПВТ-70КМ, размеры 1120х705/1030х1720 мм, мощность 1,37 кВт, напряжение 220 В</t>
  </si>
  <si>
    <t>522-103-0230-0002</t>
  </si>
  <si>
    <t>Витрина тепловая THVG90-SF, размеры 900х530х730 мм, мощность 1,3 кВт, напряжение 220 В</t>
  </si>
  <si>
    <t>522-103-0230-0003</t>
  </si>
  <si>
    <t>Витрина тепловая THVG120-SF, размеры 1200х530х730 мм, мощность 1,3 кВт, напряжение 220 В</t>
  </si>
  <si>
    <t>522-103-0231</t>
  </si>
  <si>
    <t>Сковорода</t>
  </si>
  <si>
    <t>522-103-0231-0001</t>
  </si>
  <si>
    <t>Сковорода электрическая ЭСК-90-0,47-70, размеры 840х1045х940 мм, мощность 12 кВт, напряжение 380 В</t>
  </si>
  <si>
    <t>522-103-0231-0002</t>
  </si>
  <si>
    <t>Сковорода электрическая ZH-TS80, размеры 800х900х920 мм, мощность 12 кВт, напряжение 380 В</t>
  </si>
  <si>
    <t>522-103-0231-0003</t>
  </si>
  <si>
    <t>Сковорода электрическая ЭСК-80-0,27-40-Ч, размеры 800х899х950 мм, мощность 9 кВт, напряжение 380 В</t>
  </si>
  <si>
    <t>522-103-0231-0004</t>
  </si>
  <si>
    <t>Сковорода электрическая ЭСК-90-0,27-40, размеры 840х1050х940 мм, мощность 9 кВт, напряжение 380 В</t>
  </si>
  <si>
    <t>522-103-0231-0005</t>
  </si>
  <si>
    <t>Cковорода электрическая ЭСК-90-0,67-120, размеры 1202х1045х940 мм, мощность 15 кВт, напряжение 380 В</t>
  </si>
  <si>
    <t>522-103-0231-0006</t>
  </si>
  <si>
    <t>Сковорода электрическая СЭП-0,45, размеры 1430х850(900)х820(840)мм, мощность 12кВт, напряжение 380В</t>
  </si>
  <si>
    <t>522-103-0232</t>
  </si>
  <si>
    <t>Пастоварка электрическая</t>
  </si>
  <si>
    <t>522-103-0232-0001</t>
  </si>
  <si>
    <t>Пастоварка электрическая HEN-915A, размеры 800х900х920 мм, мощность 18 кВт, напряжение 380 В</t>
  </si>
  <si>
    <t>522-103-0232-0002</t>
  </si>
  <si>
    <t>Пастоварка электрическая HEN-910A, размеры 800х900х920 мм, мощность 18 кВт, напряжение 380 В</t>
  </si>
  <si>
    <t>522-103-0233</t>
  </si>
  <si>
    <t>Гриль</t>
  </si>
  <si>
    <t>522-103-0233-0001</t>
  </si>
  <si>
    <t>Гриль лавовый электрический HEL-907A, размеры 800х900х920 мм, мощность 12 кВт, напряжение 380 В</t>
  </si>
  <si>
    <t>522-103-0234</t>
  </si>
  <si>
    <t>Поверхность жарочная</t>
  </si>
  <si>
    <t>522-103-0234-0001</t>
  </si>
  <si>
    <t>Поверхность жарочная комбинированная, электрическая HER-913A, размеры 800х900х920 мм, мощность 16,8 кВт, напряжение 380 В</t>
  </si>
  <si>
    <t>522-103-0235</t>
  </si>
  <si>
    <t>Фритюрница</t>
  </si>
  <si>
    <t>522-103-0235-0001</t>
  </si>
  <si>
    <t>Фритюрница электрическая EFB499P-22, размеры 400х900х920 мм, объем 28 л, мощность 12 кВт, напряжение 380 В</t>
  </si>
  <si>
    <t>522-103-0235-0002</t>
  </si>
  <si>
    <t>Фритюрница электрическая EFB899P-22+22, размеры 800х900х920 мм, объем 22 л, мощность 24 кВт, напряжение 380 В</t>
  </si>
  <si>
    <t>522-103-0235-0003</t>
  </si>
  <si>
    <t>Фритюрница индукционная настольная IFBZ8, размеры 288x478x410 мм, объем 8 л, мощность 3,5 кВт, напряжение 220 В</t>
  </si>
  <si>
    <t>522-103-0235-0004</t>
  </si>
  <si>
    <t>Фритюрница индукционная настольная IFBZ8+8, размеры 576x478x410 мм, объем 8 л, мощность 3,5 кВт, напряжение 220 В</t>
  </si>
  <si>
    <t>522-103-0236</t>
  </si>
  <si>
    <t>Тележка тепловая</t>
  </si>
  <si>
    <t>522-103-0236-0001</t>
  </si>
  <si>
    <t>Тележка тепловая электрическая HW-11-21, размеры 780х960х1790 мм, мощность 2,52 кВт, напряжение 220 В</t>
  </si>
  <si>
    <t>522-103-0236-0002</t>
  </si>
  <si>
    <t>Тележка тепловая электрическая HW-22-21, размеры 1580х960х1790 мм, мощность 2,52 кВт, напряжение 220 В</t>
  </si>
  <si>
    <t>522-103-0237</t>
  </si>
  <si>
    <t>Плита индукционная</t>
  </si>
  <si>
    <t>522-103-0237-0001</t>
  </si>
  <si>
    <t>Плита индукционная настольная встраиваемая K1H, размеры 360х420х105 мм, мощность 3,5 кВт, напряжение 220 В</t>
  </si>
  <si>
    <t>522-103-0237-0002</t>
  </si>
  <si>
    <t>Плита индукционная настольная K2x1, размеры 360х420х125 мм, мощность 3,5 кВт, напряжение 220 В</t>
  </si>
  <si>
    <t>522-103-0237-0003</t>
  </si>
  <si>
    <t>Плита индукционная настольная WOK BLK3, размеры 360х440х135 мм, мощность 3,5 кВт, напряжение 220 В</t>
  </si>
  <si>
    <t>522-103-0237-0004</t>
  </si>
  <si>
    <t>Плита индукционная настольная K2H, размеры 400х830х200 мм, мощность 3,5 кВт, напряжение 220 В</t>
  </si>
  <si>
    <t>522-103-0237-0005</t>
  </si>
  <si>
    <t>Плита индукционная настольная K4H, размеры 760х830х200 мм, мощность 3,5 кВт, напряжение 380 В</t>
  </si>
  <si>
    <t>522-103-0237-0006</t>
  </si>
  <si>
    <t>Плита индукционная настольная K6H, размеры 1100х830х200 мм, мощность 3,5 кВт, напряжение 380 В</t>
  </si>
  <si>
    <t>522-103-0237-0007</t>
  </si>
  <si>
    <t>Плита индукционная настольная IDS6, размеры 400х510х240 мм, мощность 5 кВт, напряжение 220 В</t>
  </si>
  <si>
    <t>522-103-0237-0008</t>
  </si>
  <si>
    <t>Плита индукционная настольная IDS7, размеры 320х393х119 мм, мощность 2,7 кВт, напряжение 220 В</t>
  </si>
  <si>
    <t>522-103-0238</t>
  </si>
  <si>
    <t>Поверхность тепловая</t>
  </si>
  <si>
    <t>522-103-0238-0001</t>
  </si>
  <si>
    <t>Поверхность тепловая WHPJ537, размеры 565x380x75 мм, мощность 0,26 кВт, напряжение 220 В, максимальная температура до 85°С</t>
  </si>
  <si>
    <t>522-103-0238-0002</t>
  </si>
  <si>
    <t>Поверхность тепловая WHPWJ756, размеры 730x585x625 мм, мощность 1,07 кВт, напряжение 220 В, максимальная температура до 85°С</t>
  </si>
  <si>
    <t>522-103-0239</t>
  </si>
  <si>
    <t>Супница</t>
  </si>
  <si>
    <t>522-103-0239-0001</t>
  </si>
  <si>
    <t>Супница 81010SE, размеры 300х300х445 мм, мощность 0,4 кВт, напряжение 220 В</t>
  </si>
  <si>
    <t>522-103-0239-0002</t>
  </si>
  <si>
    <t>Супница 83013SB, размеры 300х300х445 мм, мощность 0,4 кВт, напряжение 220 Вт</t>
  </si>
  <si>
    <t>522-103-0239-0003</t>
  </si>
  <si>
    <t>Супница SB-5700, размеры 300х300х445 мм, мощность 0,4 кВт, напряжение 220 В</t>
  </si>
  <si>
    <t>522-103-0239-0004</t>
  </si>
  <si>
    <t>Супница SB-6000, размеры 300х300х445 мм, мощность 0,4 кВт, напряжение 220 В</t>
  </si>
  <si>
    <t>522-103-0239-0005</t>
  </si>
  <si>
    <t>Супница SB-6000A, размеры 300х300х445 мм, мощность 0,4 кВт, напряжение 220 В</t>
  </si>
  <si>
    <t>522-103-0240</t>
  </si>
  <si>
    <t>Шкаф жарочный</t>
  </si>
  <si>
    <t>522-103-0240-0001</t>
  </si>
  <si>
    <t>Шкаф жарочный ШЖЭ-2 (2-х секционный, стандартная духовка, подставка, 840х900x1510 мм, лицев. нерж.; 380В; 9,6кВт)</t>
  </si>
  <si>
    <t>522-103-0240-0002</t>
  </si>
  <si>
    <t>Шкаф жарочный ШЖЭ-3 (3-х секционный, стандартная духовка, 840x900x1500 мм, лицев. нерж.; 380В; 14,4кВт)</t>
  </si>
  <si>
    <t>522-103-0240-0003</t>
  </si>
  <si>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</si>
  <si>
    <t>522-103-0240-0004</t>
  </si>
  <si>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</si>
  <si>
    <t>522-103-0300</t>
  </si>
  <si>
    <t>Холодильное оборудование</t>
  </si>
  <si>
    <t>522-103-0301</t>
  </si>
  <si>
    <t>Шкаф холодильный СМ114-S (V=1400 л, 0..+6°C, 1402х925х1996 мм, 0,55 кВт, 220 В)</t>
  </si>
  <si>
    <t>522-103-0302</t>
  </si>
  <si>
    <t>Шкаф холодильный CM107-S (V=700 л, 0..+6°C, 697х925х1996 мм, 0,35 кВт, 220 В)</t>
  </si>
  <si>
    <t>522-103-0303</t>
  </si>
  <si>
    <t>Шкаф среднетемпературный V= 500 л ARKTO R0,5-S (710х680х2200 мм, 0…+6 °C,
краш.)</t>
  </si>
  <si>
    <t>522-103-0304</t>
  </si>
  <si>
    <t>Шкаф среднетемпературный V= 700 л ARKTO R0, 7-G (710х880х2200 мм, 0…+6
°C, нерж.)</t>
  </si>
  <si>
    <t>522-103-0305</t>
  </si>
  <si>
    <t>Шкаф среднетемпературный V=1500 л АБАТ ШХс-1,4 (1485х820х2050 мм, 0...+5°С, краш.)</t>
  </si>
  <si>
    <t>522-103-0306</t>
  </si>
  <si>
    <t>Шкаф среднетемпературный V=664 л LIEBHERR GKv 6460 (747х750х2064 мм,
+1...+15°C, нерж., GN 2/1)</t>
  </si>
  <si>
    <t>522-103-0307</t>
  </si>
  <si>
    <t>Стол холодильный TM4GN-G (V=600 л,
-2..+10°C, 2060х705х850/910 мм, 4 двери)</t>
  </si>
  <si>
    <t>522-103-0308</t>
  </si>
  <si>
    <t>Стол холодильный POLAIR TM3GN-G (V=450 л, -2..+10°C, 1630х705х850/910, 3
двери)</t>
  </si>
  <si>
    <t>522-103-0309</t>
  </si>
  <si>
    <t>Стол холодильный TM2GN-G (V=320 л,
-2..+10°C, 1200х705х850/910 мм, 2 двери)</t>
  </si>
  <si>
    <t>522-103-0310</t>
  </si>
  <si>
    <t>Стол холодильный СШС-0,3 GN-1850 (1838х700х840 мм, 0,3 кВт, 220 В)</t>
  </si>
  <si>
    <t>522-103-0311</t>
  </si>
  <si>
    <t>Стол среднетемпературный V=150 л,
СХС-70 (- 2...+8С, 957x705x900 мм, 1 дверь, 150 л)</t>
  </si>
  <si>
    <t>522-103-0312</t>
  </si>
  <si>
    <t>Камера холодильная КХН-17,63 (V=17,63 м3, 2560x3760x2200 мм, толщина панели 80 мм)</t>
  </si>
  <si>
    <t>522-103-0313</t>
  </si>
  <si>
    <t>Камера холодильная</t>
  </si>
  <si>
    <t>522-103-0313-0001</t>
  </si>
  <si>
    <t>Камера холодильная КХН-2,94 (V=2,94 м3,
1360х1360х2200 мм, толщина панели 80 мм)</t>
  </si>
  <si>
    <t>522-103-0313-0002</t>
  </si>
  <si>
    <t>Камера холодильная среднетемпературная сборно-разборная 1960х1660х2200 мм, V=5,51 м3, в комплекте с холодильной
машиной с выносным пультом управления, CR-5,51 R</t>
  </si>
  <si>
    <t>522-103-0313-0003</t>
  </si>
  <si>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</si>
  <si>
    <t>522-103-0313-0004</t>
  </si>
  <si>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</si>
  <si>
    <t>522-103-0313-0005</t>
  </si>
  <si>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</si>
  <si>
    <t>522-103-0313-0006</t>
  </si>
  <si>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</si>
  <si>
    <t>522-103-0313-0007</t>
  </si>
  <si>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</si>
  <si>
    <t>522-103-0313-0008</t>
  </si>
  <si>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</si>
  <si>
    <t>522-103-0313-0009</t>
  </si>
  <si>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</si>
  <si>
    <t>522-103-0313-0010</t>
  </si>
  <si>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</si>
  <si>
    <t>522-103-0313-0011</t>
  </si>
  <si>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</si>
  <si>
    <t>522-103-0313-0012</t>
  </si>
  <si>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</si>
  <si>
    <t>522-103-0313-0013</t>
  </si>
  <si>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</si>
  <si>
    <t>522-103-0313-0014</t>
  </si>
  <si>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</si>
  <si>
    <t>522-103-0313-0015</t>
  </si>
  <si>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</si>
  <si>
    <t>522-103-0313-0016</t>
  </si>
  <si>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</si>
  <si>
    <t>522-103-0313-0017</t>
  </si>
  <si>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</si>
  <si>
    <t>522-103-0313-0018</t>
  </si>
  <si>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</si>
  <si>
    <t>522-103-0313-0019</t>
  </si>
  <si>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</si>
  <si>
    <t>522-103-0313-0020</t>
  </si>
  <si>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</si>
  <si>
    <t>522-103-0313-0021</t>
  </si>
  <si>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</si>
  <si>
    <t>522-103-0313-0022</t>
  </si>
  <si>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</si>
  <si>
    <t>522-103-0313-0023</t>
  </si>
  <si>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</si>
  <si>
    <t>522-103-0313-0024</t>
  </si>
  <si>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</si>
  <si>
    <t>522-103-0314</t>
  </si>
  <si>
    <t>Сплит-система среднетемпературная SM 222 P (V=10,5..22,5 м3, -5...+10С, 855х315х704 мм, 1,65 кВт, 380 В)</t>
  </si>
  <si>
    <t>522-103-0315</t>
  </si>
  <si>
    <t>Сплит-система среднетемпературная SM 109 P (V=3..7,5 м3, -5...+10С, 525х315х704 мм, 0,6 кВт, 220 В)</t>
  </si>
  <si>
    <t>522-103-0316</t>
  </si>
  <si>
    <t>Би блок ВВ1048 (холодопроизводительность 4,87 кВт, V=62 м3, 1408х455х555 мм, 3 кВт,
380 В)</t>
  </si>
  <si>
    <t>522-103-0317</t>
  </si>
  <si>
    <t>Комлект доработки уличных мм и слитов с ТЭНом (65 Вт)</t>
  </si>
  <si>
    <t>522-103-0318</t>
  </si>
  <si>
    <t>Шкаф холодильный среднетемпературный СB114-S, V=1400 л</t>
  </si>
  <si>
    <t>522-103-0319</t>
  </si>
  <si>
    <t>Витрина холодильная K70 VV 0,9-1 0102-0109 (ВХСв-0,9д Carboma Люкс)</t>
  </si>
  <si>
    <t>522-103-0320</t>
  </si>
  <si>
    <t>Витрина холодильная</t>
  </si>
  <si>
    <t>522-103-0320-0001</t>
  </si>
  <si>
    <t>Витрина холодильная Carboma K70 VV 1,3-1 STANDARD, размеры 1300х700х1280/1330
мм, мощность 0,333 кВт, напряжение 220 В</t>
  </si>
  <si>
    <t>522-103-0320-0002</t>
  </si>
  <si>
    <t>Витрина холодильная демонстрационная KTG107W, размеры 1000х740х1900 мм, мощность 0,825 кВт, напряжение 220 В</t>
  </si>
  <si>
    <t>522-103-0320-0003</t>
  </si>
  <si>
    <t>Витрина холодильная демонстрационная KTG127W, размеры 1200х740х1900 мм, мощность 0,925 кВт, напряжение 220 В</t>
  </si>
  <si>
    <t>522-103-0320-0004</t>
  </si>
  <si>
    <t>Витрина холодильная демонстрационная KTG157W, размеры 1500х740х1900 мм, мощность 1,255 кВт, напряжение 220 В</t>
  </si>
  <si>
    <t>522-103-0320-0005</t>
  </si>
  <si>
    <t>Витрина холодильная демонстрационная KTG187W, куб 1850 л, размеры 1800х740х1900 мм,  мощность 1,52 кВт, напряжение 220 В</t>
  </si>
  <si>
    <t>522-103-0320-0006</t>
  </si>
  <si>
    <t>Витрина холодильная демонстрационная WKRN220N, размеры 494x674x1742 мм, мощность 1,3 кВт, напряжение 220 В</t>
  </si>
  <si>
    <t>522-103-0320-0007</t>
  </si>
  <si>
    <t>Витрина холодильная демонстрационная настольная PVNR108E, размеры 470x470x870 мм, мощность 0,23 кВт, напряжение 220 В</t>
  </si>
  <si>
    <t>522-103-0320-0008</t>
  </si>
  <si>
    <t>Витрина холодильная демонстрационная настольная PVNR100R, размеры 480х480х1030 мм,  мощность 0,2 кВт, напряжение 220 В</t>
  </si>
  <si>
    <t>522-103-0320-0009</t>
  </si>
  <si>
    <t>Витрина холодильная кондитерская
XL-1200A, размеры 1200х700х1200 мм, мощность 0,35 кВт, напряжение 220 В</t>
  </si>
  <si>
    <t>522-103-0320-0010</t>
  </si>
  <si>
    <t>Витрина холодильная кондитерская
XL-1500A, размеры 1500х700х1200 мм, мощность 0,45 кВт, напряжение 220 В</t>
  </si>
  <si>
    <t>522-103-0320-0011</t>
  </si>
  <si>
    <t>Витрина холодильная кондитерская
XL-1800A, размеры 1800х700х1200 мм, мощность 0,55 кВт, напряжение 220 В</t>
  </si>
  <si>
    <t>522-103-0320-0012</t>
  </si>
  <si>
    <t>Витрина холодильная кондитерская XL-1200B, размеры 1200х680х1200 мм, мощность 0,35 кВт, напряжение 220 В</t>
  </si>
  <si>
    <t>522-103-0320-0013</t>
  </si>
  <si>
    <t>Витрина холодильная кондитерская XL-1500B, размеры 1500х680х1200 мм, мощность 0,45 кВт, напряжение 220 В</t>
  </si>
  <si>
    <t>522-103-0320-0014</t>
  </si>
  <si>
    <t>Витрина холодильная кондитерская XL-1800B, размеры 1800х680х1200 мм, мощность 0,55 кВт, напряжение 220 В</t>
  </si>
  <si>
    <t>522-103-0320-0015</t>
  </si>
  <si>
    <t>Витрина холодильная кондитерская
XT-1200A, размеры 1200х700х2000 мм, мощность 0,55 кВт, напряжение 220 В</t>
  </si>
  <si>
    <t>522-103-0320-0016</t>
  </si>
  <si>
    <t>Витрина холодильная кондитерская
XT-1500A, размеры 1500х700х2000 мм, мощность 0,65 кВт, напряжение 220 В</t>
  </si>
  <si>
    <t>522-103-0321</t>
  </si>
  <si>
    <t>Витрина морозильная ВПН 0,15-0,88 (Octava M 1500) (RAL 3002) (1480х955х1265)</t>
  </si>
  <si>
    <t>522-103-0322</t>
  </si>
  <si>
    <t>Витрина морозильная ВПН 0,42-0,85 (Gamma-2М 1200) (RAL 3002) (1218х1093х1300)</t>
  </si>
  <si>
    <t>522-103-0323</t>
  </si>
  <si>
    <t>Витрина морозильная ВПН 0,54-1,10 (Gamma-2М 1500) (RAL 3002) (1518х1093х1300)</t>
  </si>
  <si>
    <t>522-103-0324</t>
  </si>
  <si>
    <t>Стол холодильный TB3GN-G V=450 л (1630х705х850/910)</t>
  </si>
  <si>
    <t>522-103-0325</t>
  </si>
  <si>
    <t>Шкаф холодильный</t>
  </si>
  <si>
    <t>522-103-0325-0001</t>
  </si>
  <si>
    <t>Шкаф холодильный CB105-S, размеры 697х695х1996 мм, объем 500 л, мощность 0,55 кВт, напряжение 220 В</t>
  </si>
  <si>
    <t>522-103-0325-0002</t>
  </si>
  <si>
    <t>Шкаф холодильный среднетемпературный KG700ND, размеры 740x830x2010 мм, объем 700 л, мощность 0,305 кВт,
напряжение 220 В</t>
  </si>
  <si>
    <t>522-103-0325-0003</t>
  </si>
  <si>
    <t>Шкаф холодильный среднетемпературный KG700GND, размеры 740x830x2010 мм, объем 700 л, мощность 0,305 кВт,
напряжение 220 В</t>
  </si>
  <si>
    <t>522-103-0325-0004</t>
  </si>
  <si>
    <t>Шкаф холодильный низкотемпературный TG700ND, размеры 740x830x2010 мм, объем 700 л, мощность 0,65 кВт, напряжение 220 В</t>
  </si>
  <si>
    <t>522-103-0325-0005</t>
  </si>
  <si>
    <t>Шкаф холодильный низкотемпературный TG700GND, размеры 740x830x2010 мм, объем 700 л, мощность 0,65 кВт, напряжение 220 В</t>
  </si>
  <si>
    <t>522-103-0325-0006</t>
  </si>
  <si>
    <t>Шкаф холодильный среднетемпературный KG1400ND, размеры 1480x830x2010 мм, объем 1400 л, мощность 0,508 кВт,
напряжение 220 В</t>
  </si>
  <si>
    <t>522-103-0325-0007</t>
  </si>
  <si>
    <t>Шкаф холодильный среднетемпературный KG1400GND, размеры 1480x830x2010 мм, объем 1400 л, мощность 0,508 кВт,
напряжение 220 В</t>
  </si>
  <si>
    <t>522-103-0325-0008</t>
  </si>
  <si>
    <t>Шкаф холодильный низкотемпературный TG1400ND, размеры 1480x830x2010 мм, объем 1400 л, мощность 0,7 кВт, напряжение 220 В</t>
  </si>
  <si>
    <t>522-103-0325-0009</t>
  </si>
  <si>
    <t>Шкаф холодильный низкотемпературный TG1400GND, размеры 1480x830x2010 мм, объем 1400 л, мощность 0,7 кВт, напряжение 220 В</t>
  </si>
  <si>
    <t>522-103-0325-0010</t>
  </si>
  <si>
    <t>Шкаф холодильный WADE LC320, размеры 565х600х1829 мм, объем 320 л, напряжание 220 В, 2..+8°C</t>
  </si>
  <si>
    <t>522-103-0325-0011</t>
  </si>
  <si>
    <t>Шкаф холодильный крашеный среднетемпературный ШХ-0,7, размеры 740х850х2050мм, объем 700л, напряжение 230В, мощность 3,77кВт, -5+5°С</t>
  </si>
  <si>
    <t>522-103-0325-0012</t>
  </si>
  <si>
    <t>Шкаф холодильный крашеный среднетемпературный ШХ-1,4, размеры 1485х850х2050мм, объем 1500л, напряжение 220В, мощность 4,47кВт, -5+5°С</t>
  </si>
  <si>
    <t>522-103-0325-0013</t>
  </si>
  <si>
    <t>Шкаф холодильный  среднетемпературный ШХ-0,7-01, нержавеющая сталь, размеры 740х850х2050мм, объем 700л, напряжение 220В, мощность 3,77кВт, -5+5°С</t>
  </si>
  <si>
    <t>522-103-0325-0014</t>
  </si>
  <si>
    <t>Шкаф холодильный  среднетемпературный ШХ-1,4-01, нержавеющая сталь, размеры 1485х850х2050мм, объем 1500л, напряжение 220В, мощность 4,47кВт, -5+5°С</t>
  </si>
  <si>
    <t>522-103-0325-0015</t>
  </si>
  <si>
    <t>Шкаф холодильный крашеный низкотемпературный ШХн-0,7, размеры 740х850х2050мм, объем 700л, напряжение 220В, мощность 4,17кВт, -18°С</t>
  </si>
  <si>
    <t>522-103-0325-0016</t>
  </si>
  <si>
    <t>Шкаф холодильный крашенный низкотемпературный ШХн-1,4, размеры 1485х850х2050мм, объем 1500л, напряжение 220В, мощность 5,57кВт, -18°С</t>
  </si>
  <si>
    <t>522-103-0325-0017</t>
  </si>
  <si>
    <t>Шкаф холодильный низкотемпературный ШХн-0,7-01, нержавеющая сталь, размеры 740х850х2050мм, объем 700л, напряжение 220В, мощность 4,17кВт, -18°С</t>
  </si>
  <si>
    <t>522-103-0325-0018</t>
  </si>
  <si>
    <t>Шкаф холодильный низкотемпературный ШХн-1,4-01, нержавеющая сталь, размеры 1485х850х2050мм, объем 1500л, напряжение 220В, мощность 5,57кВт, -18°С</t>
  </si>
  <si>
    <t>522-103-0326</t>
  </si>
  <si>
    <t>Стол холодильный TM2GNpizza-G V=320 л (1200х705х850/1000)</t>
  </si>
  <si>
    <t>522-103-0327</t>
  </si>
  <si>
    <t>Стол холодильный TM3GNpizza-G (1630х705х850/1000)</t>
  </si>
  <si>
    <t>522-103-0328</t>
  </si>
  <si>
    <t>Стол холодильный TD101-Bar (600х520х850)</t>
  </si>
  <si>
    <t>522-103-0329</t>
  </si>
  <si>
    <t>Стол холодильный TD2GN-G V=320 л (1200х705х850/910)</t>
  </si>
  <si>
    <t>522-103-0330</t>
  </si>
  <si>
    <t>Стол холодильный TD3GN-G V=450 л (1630х705х850/910)</t>
  </si>
  <si>
    <t>522-103-0331</t>
  </si>
  <si>
    <t>Стол холодильный TM2-G V=270 л (1200х605х850/910)</t>
  </si>
  <si>
    <t>522-103-0332</t>
  </si>
  <si>
    <t>Стол холодильный TM2GN-G V=320 л (1200х705х850/910)</t>
  </si>
  <si>
    <t>522-103-0333</t>
  </si>
  <si>
    <t>Стол холодильный TM2pizza-G V=270 л (1200х605х850/910)</t>
  </si>
  <si>
    <t>522-103-0334</t>
  </si>
  <si>
    <t>Стол холодильный TM4-G V=500 л (2060х605х850/910)</t>
  </si>
  <si>
    <t>522-103-0335</t>
  </si>
  <si>
    <t>Стол холодильный СХС-2-60 (1350х600х880)</t>
  </si>
  <si>
    <t>522-103-0336</t>
  </si>
  <si>
    <t>Стол холодильный</t>
  </si>
  <si>
    <t>522-103-0336-0001</t>
  </si>
  <si>
    <t>Стол холодильный СХС-4-60, размеры 2200х600х880 мм, объем 515 л, мощность 0,175 кВт, напряжение 220 В</t>
  </si>
  <si>
    <t>522-103-0336-0002</t>
  </si>
  <si>
    <t>Стол холодильный среднетемпературный KTS147ND, размеры 1360x700x850 мм, объем 282 л, мощность 0,495 кВт,
напряжение 220 В</t>
  </si>
  <si>
    <t>522-103-0336-0003</t>
  </si>
  <si>
    <t>Стол холодильный низкотемпературный GTS147ND, размеры 1360x700x850 мм, объем 282 л, мощность 0,675 кВт,
напряжение 220 В</t>
  </si>
  <si>
    <t>522-103-0336-0004</t>
  </si>
  <si>
    <t>Стол холодильный среднетемпературный KTS187ND, размеры 1795x700x850 мм, объем 417 л, мощность 0,495 кВт,
напряжение 220 В</t>
  </si>
  <si>
    <t>522-103-0336-0005</t>
  </si>
  <si>
    <t>Стол холодильный низкотемпературный GTS187ND, размеры 1795x700x850 мм, объем 417 л, мощность 0,85 кВт, напряжение 220 В</t>
  </si>
  <si>
    <t>522-103-0336-0006</t>
  </si>
  <si>
    <t>Стол холодильный среднетемпературный KTS227ND, размеры 2230x700x850 мм, объем 553 л, мощность 0,398 кВт,
напряжение 220 В</t>
  </si>
  <si>
    <t>522-103-0336-0007</t>
  </si>
  <si>
    <t>Стол холодильный низкотемпературный GTS227ND, размеры 2230x700x850 мм, объем 553 л, мощность 0,9 кВт, напряжение 220 В</t>
  </si>
  <si>
    <t>522-103-0336-0008</t>
  </si>
  <si>
    <t>Стол холодильный среднетемпературный ZBG157ND, размеры 1360x700x1085 мм, объем 282 л, мощность 0,23 кВт, напряжение 220 В</t>
  </si>
  <si>
    <t>522-103-0336-0009</t>
  </si>
  <si>
    <t>Стол холодильный среднетемпературный ZBG158ND, размеры 1360x800x1085 мм, объем 390 л, мощность 0,23 кВт, напряжение 220 В</t>
  </si>
  <si>
    <t>522-103-0336-0010</t>
  </si>
  <si>
    <t>Стол холодильный среднетемпературный ZBG207ND, размеры 1795x700x1085 мм, объем 417 л, мощность 0,23 кВт, напряжение 220 В</t>
  </si>
  <si>
    <t>522-103-0336-0011</t>
  </si>
  <si>
    <t>Стол холодильный среднетемпературный ZBG208ND, размеры 2020x700x1085 мм, объем 580 л, мощность 0,23 кВт, напряжение 220 В</t>
  </si>
  <si>
    <t>522-103-0336-0012</t>
  </si>
  <si>
    <t>Стол холодильный среднетемпературный SAG97AND, размеры 900x700x970 мм, объем 240 л, мощность 0,23 кВт, напряжение 220 В</t>
  </si>
  <si>
    <t>522-103-0336-0013</t>
  </si>
  <si>
    <t>Стол холодильный среднетемпературный SAG147AND, размеры 1365x700x970 мм, объем 392 л, мощность 0,23 кВт, напряжение 220 В</t>
  </si>
  <si>
    <t>522-103-0336-0014</t>
  </si>
  <si>
    <t>Стол холодильный среднетемпературный BGH65S, размеры 600x510x895 мм, объем 126 л, мощность 0,23 кВт, напряжение 220 В</t>
  </si>
  <si>
    <t>522-103-0336-0015</t>
  </si>
  <si>
    <t>Стол холодильный среднетемпературный BGH95S, размеры 920x510x895 мм, объем 220 л, мощность 0,25 кВт, напряжение 220 В</t>
  </si>
  <si>
    <t>522-103-0336-0016</t>
  </si>
  <si>
    <t>Стол холодильный среднетемпературный BGH135S, размеры 1335x510x895 мм, объем 300 л, мощность 0,26 кВт, напряжение 220 В</t>
  </si>
  <si>
    <t>522-103-0337</t>
  </si>
  <si>
    <t>Шкаф-стол холодильный СШС-0,2-1400 (нержавейка) V=220 л (1393х600х840)</t>
  </si>
  <si>
    <t>522-103-0338</t>
  </si>
  <si>
    <t>Льдогенератор</t>
  </si>
  <si>
    <t>522-103-0338-0001</t>
  </si>
  <si>
    <t>Льдогенератор кубикового льда EWBH356-N, размеры 398x510x608 мм,
производительность 28 кг/сутки, мощность 0,24 кВт, напряжение 220 В</t>
  </si>
  <si>
    <t>522-103-0338-0002</t>
  </si>
  <si>
    <t>Льдогенератор кубикового льда EWBH556-N, размеры 548x572x670 мм,
производительность 52 кг/сутки, мощность 0,32 кВт, напряжение 220 В</t>
  </si>
  <si>
    <t>522-103-0338-0003</t>
  </si>
  <si>
    <t>Льдогенератор кубикового льда EWBH569-N, размеры 500x612x910 мм,
производительность 80 кг/сутки, мощность 0,44 кВт, напряжение 220 В</t>
  </si>
  <si>
    <t>522-103-0339</t>
  </si>
  <si>
    <t>Шкаф морозильный</t>
  </si>
  <si>
    <t>522-103-0339-0001</t>
  </si>
  <si>
    <t>Шкаф морозильный шоковой заморозки BF-P101, размеры 790х820х1430 мм, мощность 1,5 кВт, напряжение 220 В</t>
  </si>
  <si>
    <t>522-103-0339-0002</t>
  </si>
  <si>
    <t>Шкаф морозильный шоковой заморозки BE-R151, размеры 790х820х1800 мм, мощность 1,7 кВт, напряжение 220 В</t>
  </si>
  <si>
    <t>522-103-0400</t>
  </si>
  <si>
    <t>Хлебопекарное оборудование</t>
  </si>
  <si>
    <t>522-103-0401</t>
  </si>
  <si>
    <t>Печь конвекционная UNOX
XEBC-10EU-E1R (860х957х1163 мм, 10
листов 600х400, 14,9 кВт, 380 В)</t>
  </si>
  <si>
    <t>522-103-0402</t>
  </si>
  <si>
    <t>Печь конвекционная PIRON PF5004F (4
противня 480х345, 3,3 кВт, 600x600x540)</t>
  </si>
  <si>
    <t>522-103-0403</t>
  </si>
  <si>
    <t>Печь конвекционная</t>
  </si>
  <si>
    <t>522-103-0403-0001</t>
  </si>
  <si>
    <t>Печь конвекционная UNOX
XEBC-04EU-E1RM, размеры 860x967x675
мм, мощность 7,4 кВт, напряжение 220/380 В</t>
  </si>
  <si>
    <t>522-103-0403-0002</t>
  </si>
  <si>
    <t>Печь конвекционная HEB-4F, размеры 595х600х580 мм, мощность 2,6 кВт, напряжение 220 В</t>
  </si>
  <si>
    <t>522-103-0403-0003</t>
  </si>
  <si>
    <t>Печь конвекционная HEB-8F, размеры 835х800х580 мм, мощность 6,4 кВт, напряжение 220 В</t>
  </si>
  <si>
    <t>522-103-0403-0004</t>
  </si>
  <si>
    <t>Печь конвекционная HEO-12A, размеры 1220х815х580 мм, мощность 6,6 кВт, напряжение 220 В</t>
  </si>
  <si>
    <t>522-103-0403-0005</t>
  </si>
  <si>
    <t>Печь конвекционная HEO-24A, размеры 1220х815х1260 мм, мощность 13,2 кВт, напряжение 380 В</t>
  </si>
  <si>
    <t>522-103-0403-0006</t>
  </si>
  <si>
    <t>Печь конвекционная HEO-36A, размеры 1220х815х1530 мм, мощность 19,5 кВт, напряжение 380 В</t>
  </si>
  <si>
    <t>522-103-0403-0007</t>
  </si>
  <si>
    <t>Печь конвекционная HEO-210D, размеры 1220х820х1490 мм, мощность 8,6 кВт, напряжение 380 В</t>
  </si>
  <si>
    <t>522-103-0403-0008</t>
  </si>
  <si>
    <t>Печь конвекционная HEO-408D, размеры 1220х820х1880 мм, мощность 15,2 кВт, напряжение 380 В</t>
  </si>
  <si>
    <t>522-103-0403-0009</t>
  </si>
  <si>
    <t>Печь конвекционная конвейерная для пиццы HEP-18, размеры 1560х750х360 мм, мощность 10,3 кВт, напряжение 380 В</t>
  </si>
  <si>
    <t>522-103-0403-0010</t>
  </si>
  <si>
    <t>Печь конвекционная КЭП-6 (6 уровней, 400х600 мм, нерж. камера, эл/механика, пароувлажнение, регулировка влажности, реверс, без противней, 10,5кВт)</t>
  </si>
  <si>
    <t>522-103-0403-0011</t>
  </si>
  <si>
    <t>Печь конвекционная КЭП-10 (10 уровней, 400х600 мм, нерж. камера, эл/механика, пароувлажнение, регулировка влажности, реверс, без противней, 15,85кВт)</t>
  </si>
  <si>
    <t>522-103-0404</t>
  </si>
  <si>
    <t>Шкаф расстоечный UNOX XEBPC-12EU-B (860х978х798 мм, 2,3 кВт, 220 В, 12
уровней)</t>
  </si>
  <si>
    <t>522-103-0405</t>
  </si>
  <si>
    <t>"Шкаф расстоечный UNOX XLT 193 ( 800х759х774 мм, 1,2 кВт, 220 В, 8 уровней)"</t>
  </si>
  <si>
    <t>522-103-0406</t>
  </si>
  <si>
    <t>Шкаф расстоечный</t>
  </si>
  <si>
    <t>522-103-0406-0001</t>
  </si>
  <si>
    <t>Шкаф расстоечный ШР-930-8, размеры 600х600х930 мм, мощность 2 кВт, напряжение 220 В</t>
  </si>
  <si>
    <t>522-103-0406-0002</t>
  </si>
  <si>
    <t>Шкаф расстоечный FJ-10T, размеры 1200х815х940 мм, мощность 2,8 кВт, напряжение 220 В</t>
  </si>
  <si>
    <t>522-103-0406-0003</t>
  </si>
  <si>
    <t>Шкаф расстоечный FJ-6T, размеры 590х690х910 мм, мощность 1,4 кВт, напряжение 220 В</t>
  </si>
  <si>
    <t>522-103-0406-0004</t>
  </si>
  <si>
    <t>Шкаф расстоечный FJ-13, размеры 490х690х1660 мм,  мощность 2,6 кВт, напряжение 220 В</t>
  </si>
  <si>
    <t>522-103-0406-0005</t>
  </si>
  <si>
    <t>Шкаф расстоечный FJ-26, размеры 1000х690х1660 мм,  мощность 2,8 кВт, напряжение 220 В</t>
  </si>
  <si>
    <t>522-103-0406-0006</t>
  </si>
  <si>
    <t>Шкаф расстоечный ШРТ-8 (8 уровней 400х600 мм, под конвекц.печи КЭП-4, камера-нерж, без противней, 1,2кВт)</t>
  </si>
  <si>
    <t>522-103-0406-0007</t>
  </si>
  <si>
    <t>Шкаф расстоечный ШРТ-12 (6 уровней 600х800мм, под конвекц.печи КЭП-6, КЭП-10, камера-нерж, без противней, 1,6кВт)</t>
  </si>
  <si>
    <t>522-103-0407</t>
  </si>
  <si>
    <t>Тестомес спиральный HERCULES 40 (480х825х730 мм, 1,5 кВт, 220 В, 41 л)</t>
  </si>
  <si>
    <t>522-103-0408</t>
  </si>
  <si>
    <t>Машина тестомесильная спиральная ITPIZZA SK-10 1Ф (290x590x580 мм, дежа
на 10 л)</t>
  </si>
  <si>
    <t>522-103-0409</t>
  </si>
  <si>
    <t>Машина тестомесильная HS30 (750х435х900 мм, 34 л, до 90 кг/ч, 150/200 об/мин, 1,5 кВт, 220 В)</t>
  </si>
  <si>
    <t>522-103-0410</t>
  </si>
  <si>
    <t>Тестомес горизонтальный для крутого теста ПищТех ТК-15Н (637х470х 683 мм, 220 В, 1,5 кВт, 39 л)</t>
  </si>
  <si>
    <t>522-103-0411</t>
  </si>
  <si>
    <t>Тестомес</t>
  </si>
  <si>
    <t>522-103-0411-0001</t>
  </si>
  <si>
    <t>Тестомес HURAKAN HKN-25HN, размеры 820x605x735 мм, мощность 1,5 кВт, напряжение 220 В</t>
  </si>
  <si>
    <t>522-103-0411-0002</t>
  </si>
  <si>
    <t>Тестомес спиральный H20, размеры 730х390х900 мм, мощность 1,5 кВт, напряжение 220 В</t>
  </si>
  <si>
    <t>522-103-0411-0003</t>
  </si>
  <si>
    <t>Тестомес спиральный H30, размеры 750х435х900 мм, мощность 1,5 кВт, напряжение 380 В</t>
  </si>
  <si>
    <t>522-103-0411-0004</t>
  </si>
  <si>
    <t>Тестомес спиральный H50, размеры 840х480х1000 мм, мощность 3 кВт, напряжение 380 В</t>
  </si>
  <si>
    <t>522-103-0411-0005</t>
  </si>
  <si>
    <t>Тестомес спиральный H80, размеры 1000х560х1380 мм, мощность 3 кВт, напряжение 380 В</t>
  </si>
  <si>
    <t>522-103-0411-0006</t>
  </si>
  <si>
    <t>Тестомес спиральный H130, размеры 1160х730х1380 мм, мощность 6,05 кВт, напряжение 380 В</t>
  </si>
  <si>
    <t>522-103-0411-0007</t>
  </si>
  <si>
    <t>Тестомес спиральный XF20-2s, размеры 350х660х630 мм, мощность 0,92 кВт, напряжение 380 В</t>
  </si>
  <si>
    <t>522-103-0411-0008</t>
  </si>
  <si>
    <t>Тестомес спиральный XF30-2s, размеры 440х830х720 мм, мощность 1,98 кВт, напряжение 380 В</t>
  </si>
  <si>
    <t>522-103-0411-0009</t>
  </si>
  <si>
    <t>Тестомес спиральный XF50-2s, размеры 470х850х720 мм, мощность 1,98 кВт, напряжение 380 В</t>
  </si>
  <si>
    <t>522-103-0411-0010</t>
  </si>
  <si>
    <t>Тестомес спиральный XR20-2s, размеры 370х680х640 мм, мощность 0,92 кВт, напряжение 380 В</t>
  </si>
  <si>
    <t>522-103-0411-0011</t>
  </si>
  <si>
    <t>Тестомес спиральный XR30-2s, размеры 460х840х730 мм, мощность 0,92 кВт, напряжение 380 В</t>
  </si>
  <si>
    <t>522-103-0411-0012</t>
  </si>
  <si>
    <t>Тестомес спиральный XR50-2s, размеры 490х860х730 мм, мощность 1,98 кВт, напряжение 380 В</t>
  </si>
  <si>
    <t>522-103-0411-0013</t>
  </si>
  <si>
    <t>Тестомес спиральный ТМС-20НН-1Ц (1 скорость, несъемная дежа 20 л, неподъемная траверса, 60 кг/ч, э/механическая панель, 450х760х630 мм, 1,2 кВт, 400В,
ременно-цепной привод)</t>
  </si>
  <si>
    <t>522-103-0411-0014</t>
  </si>
  <si>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</si>
  <si>
    <t>522-103-0411-0015</t>
  </si>
  <si>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</si>
  <si>
    <t>522-103-0412</t>
  </si>
  <si>
    <t>Миксер планетарный GASTROMIX B 5 ECO (368x227x350 мм, 220 В, 0,8 кВ, объем дежи 5 л, 6 скоростей + 1 пульс)</t>
  </si>
  <si>
    <t>522-103-0413</t>
  </si>
  <si>
    <t>Миксер планетарный B10 (460х350х630 мм,
10 л, 170/340 об/мин, 0,37 кВт, 220 В)</t>
  </si>
  <si>
    <t>522-103-0414</t>
  </si>
  <si>
    <t>Мукопросеиватель ПВГ-600М
(1070х1000х1010 мм, 600 кг/час, 0,325 кВт)</t>
  </si>
  <si>
    <t>522-103-0415</t>
  </si>
  <si>
    <t>Мукопросеиватель вибрационный МПВ-150
(390х570х825 мм, 150 кг/ч, 0,25 кВт, 380 В)</t>
  </si>
  <si>
    <t>522-103-0416</t>
  </si>
  <si>
    <t>Печь подовая UNOX XEBDC-02EU-D
(860x1150x400 мм, 5,4 кВт, 380 В)</t>
  </si>
  <si>
    <t>522-103-0417</t>
  </si>
  <si>
    <t>Печь подовая Resto Italia TR 4H
(1140х1130х500 мм, 6,9 кВт, 1 секц, 380 Вт)</t>
  </si>
  <si>
    <t>522-103-0418</t>
  </si>
  <si>
    <t>Машина тестораскаточная настольная ТРМ-500 (700х370х430 мм, 420 Вт, 230 В,
120 кг/ч)</t>
  </si>
  <si>
    <t>522-103-0419</t>
  </si>
  <si>
    <t>Машина тестораскаточная</t>
  </si>
  <si>
    <t>522-103-0419-0001</t>
  </si>
  <si>
    <t>Машина тестораскаточная настольная ПищТех МРТ-2, размеры 645х500х420/440 мм, мощность 0,25 кВт, напряжение 220 В</t>
  </si>
  <si>
    <t>522-103-0419-0002</t>
  </si>
  <si>
    <t>Машина тестораскаточная APD-30, размеры 530х480х560 мм, мощность 0,37 кВт, напряжение 220 В</t>
  </si>
  <si>
    <t>522-103-0419-0003</t>
  </si>
  <si>
    <t>Машина тестораскаточная Р-520, размеры 2550х1000х1280 мм, мощность 0,75 кВт, напряжение 220 В</t>
  </si>
  <si>
    <t>522-103-0419-0004</t>
  </si>
  <si>
    <t>Машина тестораскаточная Е-630, размеры 3480х1110х1280 мм, мощность 0,75 кВт, напряжение 220 В</t>
  </si>
  <si>
    <t>522-103-0420</t>
  </si>
  <si>
    <t>Шкаф для хлеба ШХ-1200/480/1800, 7 уровней</t>
  </si>
  <si>
    <t>522-103-0500</t>
  </si>
  <si>
    <t>Посудомоечное оборудование</t>
  </si>
  <si>
    <t>522-103-0501</t>
  </si>
  <si>
    <t>Машина посудомоечная туннельная МПТ-2000</t>
  </si>
  <si>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</si>
  <si>
    <t>522-103-0502</t>
  </si>
  <si>
    <t>Машина посудомоечная туннельная МПТ-1700</t>
  </si>
  <si>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</si>
  <si>
    <t>522-103-0503</t>
  </si>
  <si>
    <t>Машина посудомоечная туннельная
LM-T-1700-L (левая, 1700 тар/ч, 2 дозатора
(моющий и ополаскивающий), 2 насоса, 26,5 кВт, 380 В, 1595х770х1965/2120 мм)</t>
  </si>
  <si>
    <t>522-103-0504</t>
  </si>
  <si>
    <t>Стол для посудомоечной машины для грязной посуды СРОп-ГП 1200х720х850/1020 мм</t>
  </si>
  <si>
    <t>522-103-0505</t>
  </si>
  <si>
    <t>Стол предмоечный</t>
  </si>
  <si>
    <t>522-103-0505-0001</t>
  </si>
  <si>
    <t>Стол предмоечный СПМП-7-4 (1304х725 мм) душ-стойка, мойка цельнотянутая 400х400х250, для туннельных машин МПТ</t>
  </si>
  <si>
    <t>522-103-0505-0002</t>
  </si>
  <si>
    <t>Стол предмоечный СПМФ-7-1 (1166х724 мм) душ-стойка, мойка цельнотянутая 400х400х250мм, для фронтальных машин МПК-500</t>
  </si>
  <si>
    <t>522-103-0505-0003</t>
  </si>
  <si>
    <t>Стол предмоечный СПМП-6-1 (572x795 мм) душ, мойка цельнотянутая 400х400х250мм, для купольных машин МПК</t>
  </si>
  <si>
    <t>522-103-0505-0004</t>
  </si>
  <si>
    <t>Стол предмоечный СПМП-6-5 (1512x702 мм) душ-стойка, сбор отходов, мойка цельнотянутая 400х400х250мм, для купольных машин МПК</t>
  </si>
  <si>
    <t>522-103-0505-0005</t>
  </si>
  <si>
    <t>Стол предмоечный СПМП-6-7  (1712x702 мм) душ-стойка, сбор отходов, направл. на 4 кассеты, мойка цельнотянутая 400х400х250мм, для купольных машин МПК</t>
  </si>
  <si>
    <t>522-103-0505-0006</t>
  </si>
  <si>
    <t>Стол предмоечный СПМП-7-7  (1715х705) для посудомоечных машин МПК и МПТ с душирующим устройством</t>
  </si>
  <si>
    <t>522-103-0505-0007</t>
  </si>
  <si>
    <t>Стол предмоечный СПМП-13-7-8,5ТН, размеры 1300х700х850(1000) мм, полностью из нержавеющей стали</t>
  </si>
  <si>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</si>
  <si>
    <t>522-103-0505-0008</t>
  </si>
  <si>
    <t>Стол предмоечный СПМП-12-7-10, размеры 1200х700х850 (1000) мм, полностью из нержавеющей стали</t>
  </si>
  <si>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</si>
  <si>
    <t>522-103-0506</t>
  </si>
  <si>
    <t>Стол раздаточный для чистой посуды</t>
  </si>
  <si>
    <t>522-103-0506-0001</t>
  </si>
  <si>
    <t>Стол раздаточный СПМР-6-1 (612x611 мм) для чистой посуды, для купольных машин МПК</t>
  </si>
  <si>
    <t>522-103-0506-0002</t>
  </si>
  <si>
    <t>Стол раздаточный СПМР-6-5 (1062x611 мм) для чистой посуды, для купольных машин МПК</t>
  </si>
  <si>
    <t>522-103-0506-0003</t>
  </si>
  <si>
    <t>Стол раздаточный СПМР-6-6ТН, размеры 612х611х940 мм. Столешница из нержавеющей стали, ножки регулируются по высоте</t>
  </si>
  <si>
    <t>Стол раздаточный крепится к машине посудомоечной как справа, так и слева. Столешница выполнена из нержавеющей стали AISI 430, ножки из трубы 40х40 нерж.сталь.</t>
  </si>
  <si>
    <t>522-103-0506-0004</t>
  </si>
  <si>
    <t>Стол раздаточный СПМР-6-2ТН, размеры 704х635х940 мм. Столешница из нержавеющей стали, ножки регулируются по высоте</t>
  </si>
  <si>
    <t>522-103-0506-0005</t>
  </si>
  <si>
    <t>Стол раздаточный СПМР-10-6ТН, размеры 1062х611х940 мм. Столешница из нержавеющей стали, ножки регулируются по высоте</t>
  </si>
  <si>
    <t>522-103-0506-0006</t>
  </si>
  <si>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</si>
  <si>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t>522-103-0507</t>
  </si>
  <si>
    <t>Стол для чистой посуды ITERMA 430 СБ-361/1200/760 ПММ</t>
  </si>
  <si>
    <t>522-103-0508</t>
  </si>
  <si>
    <t>Стаканомоечная машина Hi Chief
GW-640+RA ECO (490x570x780 мм, 400х400
мм корз., доз. ополаск.)</t>
  </si>
  <si>
    <t>522-103-0509</t>
  </si>
  <si>
    <t>Машина стаканомоечная Apach AF400 фронтальная (436х535х670, 220 В, 3,5 кВт,
30 кас/ч)</t>
  </si>
  <si>
    <t>522-103-0510</t>
  </si>
  <si>
    <t>Машина посудомоечная универсальная МПУ-700-01 без столов загрузки и разгрузки (600x800x1400 мм, 16,3 кВт, 380 В, масса 100 кг)</t>
  </si>
  <si>
    <t>522-103-0511</t>
  </si>
  <si>
    <t>Машина посудомоечная</t>
  </si>
  <si>
    <t>522-103-0511-0001</t>
  </si>
  <si>
    <t>Машина посудомоечная Hi Chief DW-1000+RA ECO, размеры
660x810x1390(1800) мм, мощность 9,75 кВт, напряжение 380 В</t>
  </si>
  <si>
    <t>522-103-0511-0002</t>
  </si>
  <si>
    <t>Машина посудомоечная конвейерная HC180, размеры 1500x810x1630 мм, мощность 36 кВт , напряжение 380 В</t>
  </si>
  <si>
    <t>522-103-0511-0003</t>
  </si>
  <si>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</si>
  <si>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</si>
  <si>
    <t>522-103-0511-0004</t>
  </si>
  <si>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</si>
  <si>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</si>
  <si>
    <t>522-103-0511-0005</t>
  </si>
  <si>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</si>
  <si>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</si>
  <si>
    <t>522-103-0511-0006</t>
  </si>
  <si>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</si>
  <si>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522-103-0511-0007</t>
  </si>
  <si>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</si>
  <si>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</si>
  <si>
    <t>522-103-0511-0008</t>
  </si>
  <si>
    <t>Машина посудомоечная  фронтальная МПК-500Ф (500 тарелок/час, 2 программы мойки, 1 дозатор (ополаскивающий), насос мойки, 6,7кВт, 400В)</t>
  </si>
  <si>
    <t>522-103-0511-0009</t>
  </si>
  <si>
    <t>Машина посудомоечная купольная
МПК-700К (700 тарелок/час, 2 программы мойки, 2 дозатора (моющий, ополаскивающий), насос мойки, насос ополаскивания, 10,5кВт, 400В)</t>
  </si>
  <si>
    <t>522-103-0511-0010</t>
  </si>
  <si>
    <t>Машина посудомоечная купольная МПК-700К-01 (700 тарелок/час, 2 программы мойки, 1 дозатор
(ополаскивающий), насос мойки, 10,5кВт, 400В)</t>
  </si>
  <si>
    <t>522-103-0511-0011</t>
  </si>
  <si>
    <t>Машина посудомоечная купольная
МПК-1100К (1100 тарелок/час, 3 программы мойки, 2 дозатора (моющий, ополаскивающий), насос мойки, насос ополаскивания, 13,5кВт, 400В)</t>
  </si>
  <si>
    <t>522-103-0511-0012</t>
  </si>
  <si>
    <t>Машина посудомоечная туннельная МПТ-1700-01 (теплообменник, 1700
тарелок/час, 3 программы мойки, 2 дозатора (моющий, ополаскивающий), насос мойки, 26,7 кВт, 400В)</t>
  </si>
  <si>
    <t>522-103-0512</t>
  </si>
  <si>
    <t>Машина котломоечная МПК 65-65 (камера 650х785х650 мм, 19 шт/час, 4 цикла, 2 дозатора)</t>
  </si>
  <si>
    <t>522-103-0513</t>
  </si>
  <si>
    <t>Водоумягчитель LT12 3/4"G (DVL211103)</t>
  </si>
  <si>
    <t>522-103-0514</t>
  </si>
  <si>
    <t>Устройство душирующее</t>
  </si>
  <si>
    <t>522-103-0514-0001</t>
  </si>
  <si>
    <t>Устройство душирующее с гусаком. Вертикальное положение, крепление на раковину, выполнено полностью из нержавеющей стали. Габариты:
750х250х69мм</t>
  </si>
  <si>
    <t>522-103-0514-0003</t>
  </si>
  <si>
    <t>Устройство душирующее со смесителем двухвентильным и вертикальной трубкой</t>
  </si>
  <si>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</si>
  <si>
    <t>522-103-0514-0004</t>
  </si>
  <si>
    <t>Устройство душирующее со смесителем двухвентильным</t>
  </si>
  <si>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</si>
  <si>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522-103-0514-0005</t>
  </si>
  <si>
    <t>Устройство душирующее со смесителем однорычажным</t>
  </si>
  <si>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</si>
  <si>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522-103-0514-0006</t>
  </si>
  <si>
    <t>Устройство душирующее со смесителем однорычажным и медицинской ручкой</t>
  </si>
  <si>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</si>
  <si>
    <t>522-103-0516</t>
  </si>
  <si>
    <t>Стол для грязной посуды</t>
  </si>
  <si>
    <t>522-103-0516-0013</t>
  </si>
  <si>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</si>
  <si>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t>Без смесителя. Столешница усилена листом ДСП 16 мм. Путем несложного монтажа можно установить стол как в левом, так и в правом исполнении</t>
  </si>
  <si>
    <t>522-103-0600</t>
  </si>
  <si>
    <t>Электромеханическое оборудование</t>
  </si>
  <si>
    <t>522-103-0601</t>
  </si>
  <si>
    <t>Хлеборезка ЯНЫЧАР АХМ-300А (1050х560х590 мм, 300 бат/час, облицовка, 0,37 кВт, 380 В)</t>
  </si>
  <si>
    <t>522-103-0602</t>
  </si>
  <si>
    <t>Хлеборезка</t>
  </si>
  <si>
    <t>522-103-0602-0001</t>
  </si>
  <si>
    <t>Хлеборезка Hurakan HKN-PICO12, размеры 650x660x760 мм, мощность 0,25 кВт, напряжение 220 В</t>
  </si>
  <si>
    <t>522-103-0602-0002</t>
  </si>
  <si>
    <t>Хлеборезка настольная TR31A, размеры 650x770x770 мм, мощность 0,37 кВт, напряжение 220 В</t>
  </si>
  <si>
    <t>522-103-0603</t>
  </si>
  <si>
    <t>Миксер CMP 250 Combi 34300A (промышленный)</t>
  </si>
  <si>
    <t>522-103-0604</t>
  </si>
  <si>
    <t>Миксер ROBOT COUPE MICROMIX
34900/34950 (1500-14000 об/мин. полностью из нержавеющей стали 165 мм)</t>
  </si>
  <si>
    <t>522-103-0605</t>
  </si>
  <si>
    <t>522-103-0605-0001</t>
  </si>
  <si>
    <t>Миксер Electrolux Professional BP6565/600384, размеры 138x120x965 мм, мощность 0,65 кВт, напряжение 220 В</t>
  </si>
  <si>
    <t>522-103-0605-0002</t>
  </si>
  <si>
    <t>Миксер HLB-7, размеры 480х280х440 мм,
мощность 0,75 кВт, напряжение 220 В</t>
  </si>
  <si>
    <t>522-103-0605-0003</t>
  </si>
  <si>
    <t>Миксер B5S, размеры 380х240х375 мм,
мощность 0,5 кВт, напряжение 220 В</t>
  </si>
  <si>
    <t>522-103-0605-0004</t>
  </si>
  <si>
    <t>Миксер B7S, размеры 380х240х405 мм,
мощность 0,5 кВт напряжение 220 В</t>
  </si>
  <si>
    <t>522-103-0605-0005</t>
  </si>
  <si>
    <t>Миксер B10S, размеры 390х260х445 мм,
мощность 0,5 кВт, напряжение 220 В</t>
  </si>
  <si>
    <t>522-103-0605-0006</t>
  </si>
  <si>
    <t>Миксер B10B с защитой для рук, размеры 450х366х606 мм, мощность 0,72 кВт, напряжение 220 В</t>
  </si>
  <si>
    <t>522-103-0605-0007</t>
  </si>
  <si>
    <t>Миксер B20B с защитой для рук, размеры 520х420х760 мм, мощность 1,1 кВт, напряжение 220 В</t>
  </si>
  <si>
    <t>522-103-0605-0008</t>
  </si>
  <si>
    <t>Миксер B30B с защитой для рук, размеры 545х440х882 мм, мощность 1,5 кВт, напряжение 220 Вт,</t>
  </si>
  <si>
    <t>522-103-0605-0009</t>
  </si>
  <si>
    <t>Миксер B40F с защитой для рук, размеры 620х630х1011 мм, мощность 2 кВт, напряжение 220 В</t>
  </si>
  <si>
    <t>522-103-0605-0010</t>
  </si>
  <si>
    <t>Миксер B60F с защитой для рук, размеры 724х625х1300 мм, мощность 2,5 кВт, напряжение 380 В</t>
  </si>
  <si>
    <t>522-103-0605-0011</t>
  </si>
  <si>
    <t>Миксер B80F с защитой для рук, размеры 1205х740х1620 мм, мощность 4 кВт, напряжение 380 В</t>
  </si>
  <si>
    <t>522-103-0605-0012</t>
  </si>
  <si>
    <t>Миксер ручной MP 350 Combi Ultra, размеры 125х125х805 мм,  мощность 0,44 кВт, напряжение 220 В</t>
  </si>
  <si>
    <t>522-103-0606</t>
  </si>
  <si>
    <t>Слайсер Lusso 25 GS CEV (промышленный) (480х363х365 мм, диаметр ножа 250 мм, 0,14 кВт, 220 В)</t>
  </si>
  <si>
    <t>522-103-0607</t>
  </si>
  <si>
    <t>Слайсер Liloma MS 220 ST (470x410x310
мм, диаметр ножа 220 мм, 0,12 кВт, 220 В)</t>
  </si>
  <si>
    <t>522-103-0608</t>
  </si>
  <si>
    <t>Слайсер Hurakan HKN-HM250 (470х400х370
мм, диаметр ножа 250 мм, 0,15 кВт, 220 В)</t>
  </si>
  <si>
    <t>522-103-0609</t>
  </si>
  <si>
    <t>Овощерезка CL50E 24440 промышленная
(390х310х610 мм, 375 об/мин)</t>
  </si>
  <si>
    <t>522-103-0610</t>
  </si>
  <si>
    <t>Набор 8 ножей 1933 W</t>
  </si>
  <si>
    <t>522-103-0611</t>
  </si>
  <si>
    <t>Овощерезка HURAKAN HKN-FNT (600x240x590, ручн.загр, 100-300 кг/ч, 5
дисков: ломтики 2 и 4 мм)</t>
  </si>
  <si>
    <t>522-103-0612</t>
  </si>
  <si>
    <t>Машина овощерезательная</t>
  </si>
  <si>
    <t>522-103-0612-0001</t>
  </si>
  <si>
    <t>Машина овощерезательная, мощность 0,4 кВт, напряжение 230 В</t>
  </si>
  <si>
    <t>Машина овощерезательная электрическая, мощность 0,4 кВт, напряжение 220 В, набор дисков в комплекте.</t>
  </si>
  <si>
    <t>522-103-0612-0002</t>
  </si>
  <si>
    <t>Машина овощерезательная HLC-300, размеры 560х290х560 мм, мощность 0,55 кВт, напряжение 220 В</t>
  </si>
  <si>
    <t>522-103-0612-0003</t>
  </si>
  <si>
    <t>Машина овощерезательная МКО-50 (250 кг/ч, 0,5 кВт, 400В)</t>
  </si>
  <si>
    <t>522-103-0613</t>
  </si>
  <si>
    <t>МОК-150М Машина картофелеочистительная (650х410х835 мм, 150 кг/ч, загрузка 7 кг, 0,75 кВт, 380 В)</t>
  </si>
  <si>
    <t>522-103-0614</t>
  </si>
  <si>
    <t>МОК-300М Машина картофелеочистительная (650x410x870 мм, загрузка не более 10 кг, 300 кг/ч, 0,75 кВт,
380 В)</t>
  </si>
  <si>
    <t>522-103-0615</t>
  </si>
  <si>
    <t>Машина картофелеочистительная</t>
  </si>
  <si>
    <t>522-103-0615-0001</t>
  </si>
  <si>
    <t>Машина картофелеочистительная, производительность не менее 150кг/ч, мощность 0,37 кВт, напряжение 380 В</t>
  </si>
  <si>
    <t>Производительность не менее 150кг/ч, мощность 0,37 кВт, напряжение 380 В, материал корпуса нержавеющая сталь.</t>
  </si>
  <si>
    <t>522-103-0615-0002</t>
  </si>
  <si>
    <t>Машина картофелеочистительная HLP-15, размеры 476х646х1243 мм, мощность 0,75 кВт, напряжение 220 В</t>
  </si>
  <si>
    <t>522-103-0615-0003</t>
  </si>
  <si>
    <t>Машина картофелеочистительная HLP-20, размеры 536х676х1273 мм, мощность 0,95 кВт, напряжение 220 В</t>
  </si>
  <si>
    <t>522-103-0615-0004</t>
  </si>
  <si>
    <t>Машина картофелеочистительная МКК-150 (150 кг/ч, 10 кг, обработка 2 мин, 0,75 кВт, 400В)</t>
  </si>
  <si>
    <t>522-103-0615-0005</t>
  </si>
  <si>
    <t>Машина картофелеочистительная МКК-300 (300 кг/ч, 17 кг, обработка 2 мин, 0,75 кВт, 400В)</t>
  </si>
  <si>
    <t>522-103-0616</t>
  </si>
  <si>
    <t>МИМ-600М Мясорубка (560х510х420 мм, 600 кг/ч, 2,75 кВт, 380 В)</t>
  </si>
  <si>
    <t>522-103-0617</t>
  </si>
  <si>
    <t>Мясорубка настольная М-400 (УКМ-05) (676х310х445 мм, 400 кг/ч, 1,5 кВт, 380 В)</t>
  </si>
  <si>
    <t>522-103-0618</t>
  </si>
  <si>
    <t>Мясорубка настольная МИМ-150 (535х415х490, 150 кг/ч, 1,05 кВт, 380 В,
полный унгер)</t>
  </si>
  <si>
    <t>522-103-0619</t>
  </si>
  <si>
    <t>Пила для мяса SO 1550 F3 (23153402F) (промышленная)</t>
  </si>
  <si>
    <t>522-103-0620</t>
  </si>
  <si>
    <t>Пила для резки мяса JKB-1650 (470х490х865 мм, 200 кг/час, 0,75 кВт, 220 В)</t>
  </si>
  <si>
    <t>522-103-0621</t>
  </si>
  <si>
    <t>Пила для резки мяса</t>
  </si>
  <si>
    <t>522-103-0621-0001</t>
  </si>
  <si>
    <t>Пила для резки мяса, размеры 470x480x850 мм, мощность 0,75 кВт, напряжение 220 В</t>
  </si>
  <si>
    <t>522-103-0621-0002</t>
  </si>
  <si>
    <t>Пила для резки мяса настольная, размеры 551х566х1023 мм, мощность 0,75 кВт, напряжение 220 В</t>
  </si>
  <si>
    <t>522-103-0621-0003</t>
  </si>
  <si>
    <t>Пила для резки мяса настольная, размеры 525х470х850 мм, мощность 0,65 кВт, напряжение 220 В</t>
  </si>
  <si>
    <t>522-103-0621-0004</t>
  </si>
  <si>
    <t>Пила для резки мяса настольная, размеры 590х570х1040 мм, мощность 1,5 кВт, напряжение 220 В</t>
  </si>
  <si>
    <t>522-103-0622</t>
  </si>
  <si>
    <t>Мясорубка</t>
  </si>
  <si>
    <t>522-103-0622-0001</t>
  </si>
  <si>
    <t>Мясорубка, производительность не менее 300 кг/ч, мощность 1,5 кВт, напряжение 380 В</t>
  </si>
  <si>
    <t>522-103-0622-0002</t>
  </si>
  <si>
    <t>Мясорубка TC-12, размеры 400х190х410 мм, производительность 120 кг/ч, мощность 0,55 кВт, напряжение 220 В</t>
  </si>
  <si>
    <t>522-103-0622-0003</t>
  </si>
  <si>
    <t>Мясорубка TC-22, размеры 410х240х450 мм, производительность 220 кг/ч, мощность 0,75 кВт, напряжение 220 В</t>
  </si>
  <si>
    <t>522-103-0622-0004</t>
  </si>
  <si>
    <t>Мясорубка TC-32, размеры 530х270х500 мм, производительность 320 кг/ч, мощность 1,5 кВт, напряжение 220 В</t>
  </si>
  <si>
    <t>522-103-0622-0005</t>
  </si>
  <si>
    <t>Мясорубка TC-42, размеры 530х1020х950 мм, производительность 630 кг/ч, мощность 4 кВт, напряжение 380 В</t>
  </si>
  <si>
    <t>522-103-0622-0006</t>
  </si>
  <si>
    <t>Мясорубка TC-52, размеры 800х1350х1220 мм, производительность 1300 кг/ч, мощность 5,5 кВт, напряжение 380 В</t>
  </si>
  <si>
    <t>522-103-0622-0007</t>
  </si>
  <si>
    <t>Мясорубка электрическая МЭП-300 (300 кг/ч, полный унгер, реверс, 250 об/мин, 690х420х472 мм, 1,5 кВт, 400 В, вся нерж.)</t>
  </si>
  <si>
    <t>522-103-0623</t>
  </si>
  <si>
    <t>Слайсер</t>
  </si>
  <si>
    <t>522-103-0623-0001</t>
  </si>
  <si>
    <t>Слайсер полуавтоматический LUSSO 250/S-L, размеры 530х480х390 мм, мощность 0,14 кВт, напряжение 220 В</t>
  </si>
  <si>
    <t>522-103-0623-0002</t>
  </si>
  <si>
    <t>Слайсер полуавтоматический HBS-220A, размеры 575х465х415 мм, мощность 0,12 кВт, напряжение 220 В</t>
  </si>
  <si>
    <t>522-103-0623-0003</t>
  </si>
  <si>
    <t>Слайсер полуавтоматический HBS-250A, размеры 575х465х510 мм, мощность 0,15 кВт, напряжение 220 В</t>
  </si>
  <si>
    <t>522-103-0623-0004</t>
  </si>
  <si>
    <t>Слайсер полуавтоматический HBS-300A, размеры 615х525х510 мм, мощность 0,25 кВт, напряжение 220 В</t>
  </si>
  <si>
    <t>522-103-0624</t>
  </si>
  <si>
    <t>Овоскоп</t>
  </si>
  <si>
    <t>522-103-0624-0001</t>
  </si>
  <si>
    <t>Овоскоп (прибор контроля качества яиц), на 10шт., Мощность 0,06 кВт, О-10</t>
  </si>
  <si>
    <t>522-103-0625</t>
  </si>
  <si>
    <t>Куттер</t>
  </si>
  <si>
    <t>522-103-0625-0001</t>
  </si>
  <si>
    <t>Куттер настольный HR-9, размеры 570х385х460 мм, мощность 1,8 кВт, напряжение 220 В</t>
  </si>
  <si>
    <t>522-103-0625-0002</t>
  </si>
  <si>
    <t>Куттер настольный HR-12, размеры 570х385х525 мм, мощность 2 кВт, напряжение 220 В</t>
  </si>
  <si>
    <t>522-103-0626</t>
  </si>
  <si>
    <t>Сыротерка</t>
  </si>
  <si>
    <t>522-103-0626-0001</t>
  </si>
  <si>
    <t>Сыротерка CSG55SH, размеры 500х315х550 мм, мощность 0,75 кВт, напряжение 220 В</t>
  </si>
  <si>
    <t>522-103-0627</t>
  </si>
  <si>
    <t>Машина для пасты (лапши)</t>
  </si>
  <si>
    <t>522-103-0627-0001</t>
  </si>
  <si>
    <t>Машина для пасты (лапши) HNM-240, размеры 450х325х405 мм, мощность 0,75 кВт, напряжение 220 В</t>
  </si>
  <si>
    <t>522-103-0700</t>
  </si>
  <si>
    <t>Весовое оборудование</t>
  </si>
  <si>
    <t>522-103-0701</t>
  </si>
  <si>
    <t>Весы порционные, наибольший предел взвешивания до 10 кг</t>
  </si>
  <si>
    <t>Размеры не менее 287х260х137мм. Мощность 0,025 кВт, напряжение 220 В. Наибольший предел взвешивания до 10 кг.</t>
  </si>
  <si>
    <t>522-103-0702</t>
  </si>
  <si>
    <t>Весы порционные, наибольший предел взвешивания до 5 кг</t>
  </si>
  <si>
    <t>Размеры не менее 287х260х137мм. Мощность 0,025 кВт, напряжение 220 В. Наибольший предел взвешивания до 5 кг.</t>
  </si>
  <si>
    <t>522-103-0703</t>
  </si>
  <si>
    <t>Весы напольные, наибольший предел взвешивания до 200 кг</t>
  </si>
  <si>
    <t>Размеры не менее 420х655х710 мм. Напряжение 220 В, мощность 0,4 кВт Жидкокристаллический дисплей на стойке.</t>
  </si>
  <si>
    <t>522-103-0704</t>
  </si>
  <si>
    <t>Весы M-ER 335 ACLP-300.50 (600х460) LCD "TURTLE"</t>
  </si>
  <si>
    <t>522-103-0705</t>
  </si>
  <si>
    <t>Bесы напольные товарные ФорТ-П 836 (150/20; 450х600) Вектор</t>
  </si>
  <si>
    <t>522-103-0800</t>
  </si>
  <si>
    <t>Барное оборудование</t>
  </si>
  <si>
    <t>522-103-0801</t>
  </si>
  <si>
    <t>Кипятильник электрический накопительный КВЭ-30, размеры 306х306х605 мм, объем 30 л, мощность 3 кВт, напряжение 220 В</t>
  </si>
  <si>
    <t>522-103-0802</t>
  </si>
  <si>
    <t>Кипятильник электрический</t>
  </si>
  <si>
    <t>522-103-0802-0001</t>
  </si>
  <si>
    <t>Кипятильник электрический накопительный КВЭ-15, размеры 306х306х385 мм, объем 15 л, мощность 3 кВт, напряжение 220 В</t>
  </si>
  <si>
    <t>522-103-0802-0002</t>
  </si>
  <si>
    <t>Кипятильник электрический WB-10A, размеры 280х310х395 мм, объем 10 л, мощность 2 кВт, напряжение 220 В</t>
  </si>
  <si>
    <t>522-103-0802-0003</t>
  </si>
  <si>
    <t>Кипятильник электрический WB-20A, размеры 265х265х550 мм, объем 20 л, мощность 2,5 кВт, напряжение 220 В</t>
  </si>
  <si>
    <t>522-103-0802-0004</t>
  </si>
  <si>
    <t>Кипятильник электрический, объем 30л</t>
  </si>
  <si>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</si>
  <si>
    <t>522-103-0802-0005</t>
  </si>
  <si>
    <t>Кипятильник электрический накопительный, объем 40л, мощность 3 кВт, напряжение 220 В</t>
  </si>
  <si>
    <t>Кипятильник электрический накопительный. Размеры не менее 390х390х503 мм. Корпус выполнен из нержавеющей стали, ручки из термоизоляционного материала.</t>
  </si>
  <si>
    <t>522-103-0802-0006</t>
  </si>
  <si>
    <t>Кипятильник электрический WB-10A, двойные стенки,  размеры 270х270х450 мм, объем 10 л, мощность 2 кВт, напряжение 220 В</t>
  </si>
  <si>
    <t>522-103-0802-0007</t>
  </si>
  <si>
    <t>Кипятильник электрический WB-10A, двойные стенки, размеры 270х270х550 мм, объем 20 л, мощность 2 кВт, напряжение 220 В</t>
  </si>
  <si>
    <t>522-103-0802-0008</t>
  </si>
  <si>
    <t>Кипятильник электрический WB-10A, двойные стенки, размеры 320х320х550 мм, объем 30 л, мощность 2 кВт, напряжение 220 В</t>
  </si>
  <si>
    <t>522-103-0802-0009</t>
  </si>
  <si>
    <t>Кипятильник электрический WB-10A, двойные стенки, размеры 320х320х600 мм, объем 40 л, мощность 2,5 кВт, напряжение 220 В</t>
  </si>
  <si>
    <t>522-103-0802-0010</t>
  </si>
  <si>
    <t>Кипятильник электрический HWB-20L, размеры 190х280х690мм, объем 20 л, мощность 3 кВт, напряжение 220 В</t>
  </si>
  <si>
    <t>522-103-0802-0011</t>
  </si>
  <si>
    <t>Кипятильник электрический HWB-30L, размеры 190х340х740мм, объем 30 л, мощность 3 кВт, напряжение 220 В</t>
  </si>
  <si>
    <t>522-103-0802-0012</t>
  </si>
  <si>
    <t>Кипятильник электрический HWB-40L, размеры 450х300х680мм, объем 40 л, мощность 3 кВт, напряжение 220 В</t>
  </si>
  <si>
    <t>522-103-0802-0013</t>
  </si>
  <si>
    <t>Кипятильник электрический HWB-60L, размеры 450х340х680мм, объем 60 л, мощность 6 кВт, напряжение 380 В</t>
  </si>
  <si>
    <t>522-103-0802-0014</t>
  </si>
  <si>
    <t>Кипятильник электрический проточный (прямоугольный) КЭН-50, размеры 355х685х391мм, производительность 50л/час, мощность 6,6кВт, напряжение 380В</t>
  </si>
  <si>
    <t>522-103-0802-0015</t>
  </si>
  <si>
    <t>Кипятильник электрический проточный (прямоугольный) КЭН-100, размеры 355х685х391мм, производительность 100л/час, мощность 13,2кВт, напряжение 380В</t>
  </si>
  <si>
    <t>522-103-0802-0016</t>
  </si>
  <si>
    <t>Кипятильник электрический непрерывного действия КНЭ-50/100, размеры 300х250х470мм, производительность
50-100л/час, мощность 6-12кВт, напряжение 380В, 2 режима работы</t>
  </si>
  <si>
    <t>522-103-0803</t>
  </si>
  <si>
    <t>Водонагреватель накопительный Garanterm ER 50 V (MGR 50 V) (455х445х558 мм, 1,5
кВт, 50 л)</t>
  </si>
  <si>
    <t>522-103-0804</t>
  </si>
  <si>
    <t>Водонагреватель накопительный Garanterm ER 80 V (MGR 80 V) (455х445х798 мм, 80 л, 1,5 кВт)</t>
  </si>
  <si>
    <t>522-103-0805</t>
  </si>
  <si>
    <t>Соковыжималка JAU J-180 (308x220x350
мм, 0,18 кВт, 220 В)</t>
  </si>
  <si>
    <t>522-103-0806</t>
  </si>
  <si>
    <t>Соковыжималка APACH ACS1 ECO (210х210х280 мм, 320 об/мин, 0,15 кВт, 220 В)</t>
  </si>
  <si>
    <t>522-103-0807</t>
  </si>
  <si>
    <t>Кипятильник-кофеварка</t>
  </si>
  <si>
    <t>522-103-0807-0001</t>
  </si>
  <si>
    <t>Кипятильник-кофеварка CP-06A, размеры 300х300х480 мм, объем 6 л, мощность 1,2 кВт, напряжение 220 В</t>
  </si>
  <si>
    <t>522-103-0807-0002</t>
  </si>
  <si>
    <t>Кипятильник-кофеварка CP-10A, размеры 340х340х490 мм, объем 10 л, мощность 1,5 кВт, напряжение 220 В</t>
  </si>
  <si>
    <t>522-103-0807-0003</t>
  </si>
  <si>
    <t>Кипятильник-кофеварка CP-15A, размеры 340х340х600 мм, объем 15 л, мощность 1,5 кВт, напряжение 220 В</t>
  </si>
  <si>
    <t>522-103-0808</t>
  </si>
  <si>
    <t>Сокоохладитель</t>
  </si>
  <si>
    <t>522-103-0808-0001</t>
  </si>
  <si>
    <t>Сокоохладитель JD-161A, размеры 265х375х700мм, объем 16 л, мощность 0,18 кВт, напряжение 220 В</t>
  </si>
  <si>
    <t>522-103-0808-0002</t>
  </si>
  <si>
    <t>Сокоохладитель JD-162A, размеры 420х450х680мм, объем 16 л, мощность 0,235 кВт, напряжение 220 В</t>
  </si>
  <si>
    <t>522-103-0808-0003</t>
  </si>
  <si>
    <t>Сокоохладитель JD-163A, размеры 820х450х680мм, объем 16 л, мощность 0,33 кВт, напряжение 220 В</t>
  </si>
  <si>
    <t>522-103-0900</t>
  </si>
  <si>
    <t>Санитарно-гигиеническое оборудование</t>
  </si>
  <si>
    <t>522-103-0901</t>
  </si>
  <si>
    <t>Стерилизатор для ножей, мощность 0,03
кВт, напряжение 220 В, не менее 18 ножей</t>
  </si>
  <si>
    <t>Стерилизатор для ножей, мощность 0,03 кВт, напряжение 220 В, не менее 18 ножей</t>
  </si>
  <si>
    <t>522-103-0902</t>
  </si>
  <si>
    <t>Стерилизатор ножей СТУ-1-18-02-1
(465х145х605 мм, 8 Вт, 220 В)</t>
  </si>
  <si>
    <t>522-103-0903</t>
  </si>
  <si>
    <t>Измельчитель отходов HURAKAN
HKN-FWD370A (235x235x405 мм, 220 В, 0,37 кВт)</t>
  </si>
  <si>
    <t>522-103-0904</t>
  </si>
  <si>
    <t>Измельчитель отходов HURAKAN
HKN-FWD450A (235x235x405 мм, 220 В, 0,45 кВт)</t>
  </si>
  <si>
    <t>522-103-1000</t>
  </si>
  <si>
    <t>Линии раздачи</t>
  </si>
  <si>
    <t>522-103-1001</t>
  </si>
  <si>
    <t>Прилавок холодильный ПВВ(Н)-70КМ-НШ (1120х705/1030х1240)</t>
  </si>
  <si>
    <t>522-103-1002</t>
  </si>
  <si>
    <t>Прилавок холодильный ПВВ(Н)-70КМ-01-НШ (1500х705/1030х1240)</t>
  </si>
  <si>
    <t>522-103-1003</t>
  </si>
  <si>
    <t>Прилавок холодильный ПВВ(Н)-70КМ-02-НШ (1120х705/1030х1240)</t>
  </si>
  <si>
    <t>522-103-1004</t>
  </si>
  <si>
    <t>Прилавок холодильный ПВВ(Н)-70КМ-03-НШ (1500х705/1030х1240)</t>
  </si>
  <si>
    <t>522-103-1005</t>
  </si>
  <si>
    <t>Прилавок-витрина холодильный, размеры не менее 1120х705/1030х1720мм</t>
  </si>
  <si>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</si>
  <si>
    <t>522-103-1006</t>
  </si>
  <si>
    <t>Прилавок-витрина холодильный ПВВ(Н)-70КМ-С-01-НШ вся нерж. (1500х705/1030х1720)</t>
  </si>
  <si>
    <t>522-103-1007</t>
  </si>
  <si>
    <t>Прилавок-витрина холодильный ПВВ(Н)-70КМ-С-02-НШ (1120х705/1030х1720)</t>
  </si>
  <si>
    <t>522-103-1008</t>
  </si>
  <si>
    <t>Прилавок-витрина холодильный ПВВ(Н)-70КМ-С-03-НШ (1500х705/1030х1240)</t>
  </si>
  <si>
    <t>522-103-1009</t>
  </si>
  <si>
    <t>Прилавок-витрина холодильный</t>
  </si>
  <si>
    <t>522-103-1009-0001</t>
  </si>
  <si>
    <t>Прилавок-витрина холодильный ПВВ(Н)-70КМ-С-01-ОК (1500х755/1080х1720)</t>
  </si>
  <si>
    <t>522-103-1009-0002</t>
  </si>
  <si>
    <t>Прилавок-витрина холодильный 1500х700(1000)х1800, Мощность 3,25кВт, с подсветкой, ПВВ(Н)-70КМ-С-01-НШ</t>
  </si>
  <si>
    <t>522-103-1009-0003</t>
  </si>
  <si>
    <t>Линия холодного сервиса
CE-SSO-GN-1-1X3-120. Нержавеющая сталь. Объем: 3 GN1/1-150, 220В, 50Гц, 1 кВт.
Размер: 1200x700x850/1300мм</t>
  </si>
  <si>
    <t>522-103-1009-0004</t>
  </si>
  <si>
    <t>Линия холодного сервиса
CE-SSO-GN-1-1X4-150. Нержавеющая сталь. Объем: 3 GN1/1-150, 220В, 50Гц, 1 кВт.
Размер: 1500x700x850/1300мм</t>
  </si>
  <si>
    <t>522-103-1009-0005</t>
  </si>
  <si>
    <t>Линия холодного сервиса
CE-SSO-GN-1-1X5-180. Нержавеющая сталь. Объем: 3 GN1/1-150, 220В, 50Гц, 1 кВт.
Размер: 1800x700x850/1350мм</t>
  </si>
  <si>
    <t>522-103-1009-0006</t>
  </si>
  <si>
    <t>Линия холодного сервиса CE-SST120X70. Нержавеющая сталь. 3 стеклянные полки, холодильный шкаф, с ползунком для подноса, 220B, 50Гц, 1кВт. Размер: 1200x700x850/1615мм</t>
  </si>
  <si>
    <t>522-103-1009-0007</t>
  </si>
  <si>
    <t>Линия холодного сервиса CE-SST140X70. Нержавеющая сталь. 3 стеклянные полки, холодильный шкаф, с ползунком для подноса, 220B, 50Гц, 1кВт. Размер: 1400x700x850/1615мм</t>
  </si>
  <si>
    <t>522-103-1009-0009</t>
  </si>
  <si>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</si>
  <si>
    <t>522-103-1009-0010</t>
  </si>
  <si>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</si>
  <si>
    <t>522-103-1009-0011</t>
  </si>
  <si>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</si>
  <si>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522-103-1009-0012</t>
  </si>
  <si>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</si>
  <si>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522-103-1010</t>
  </si>
  <si>
    <t>Прилавок для горячих напитков ПГН-70КМ-03 (1500х705/1030х870)</t>
  </si>
  <si>
    <t>522-103-1011</t>
  </si>
  <si>
    <t>Прилавок для горячих напитков ПГН-70КМ (1120х705/1030х1485)</t>
  </si>
  <si>
    <t>522-103-1012</t>
  </si>
  <si>
    <t>Прилавок тепловой ПВТ-70КМ-02 (1500х705/1030х869)</t>
  </si>
  <si>
    <t>522-103-1013</t>
  </si>
  <si>
    <t>Прилавок для столовых приборов ПСПХ-70КМ (630х675х1340)</t>
  </si>
  <si>
    <t>522-103-1014</t>
  </si>
  <si>
    <t>Прилавок для столовых приборов</t>
  </si>
  <si>
    <t>522-103-1014-0001</t>
  </si>
  <si>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</si>
  <si>
    <t>522-103-1014-0002</t>
  </si>
  <si>
    <t>Прилавок для столовых приборов из нержавеющей стали 700х770х1220 с подсветкой,  ПСП-70КМ</t>
  </si>
  <si>
    <t>522-103-1014-0003</t>
  </si>
  <si>
    <t>Прилавок для столовых приборов
CE-SKU70X70. Нержавеющая сталь. С 3 ячейками для ножей, ложек и вилок. Размер: 700x700x1250мм</t>
  </si>
  <si>
    <t>522-103-1014-0005</t>
  </si>
  <si>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</si>
  <si>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522-103-1014-0006</t>
  </si>
  <si>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</si>
  <si>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522-103-1014-0007</t>
  </si>
  <si>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</si>
  <si>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522-103-1015</t>
  </si>
  <si>
    <t>Прилавок для горячих напитков
ПГН-70КМ-01 нейтральный стол (две полки, 1500х705/1030х1485 мм)</t>
  </si>
  <si>
    <t>522-103-1016</t>
  </si>
  <si>
    <t>Прилавок для горячих напитков</t>
  </si>
  <si>
    <t>522-103-1016-0001</t>
  </si>
  <si>
    <t>Прилавок для горячих напитков ПГН-70КМ-02 (1120х705/1030х870)</t>
  </si>
  <si>
    <t>522-103-1016-0002</t>
  </si>
  <si>
    <t>Прилавок для горячих напитков 1500х700(1000)х850, с подсветкой, Мощность 2,5 кВт, ПГН-70КМ-03</t>
  </si>
  <si>
    <t>522-103-1017</t>
  </si>
  <si>
    <t>Прилавок ПТЭ-70КМ-80 (630х705/1030х920)</t>
  </si>
  <si>
    <t>522-103-1018</t>
  </si>
  <si>
    <t>Кассовая кабина КК-70КМ (1120х705/1030х870)</t>
  </si>
  <si>
    <t>522-103-1019</t>
  </si>
  <si>
    <t>Модуль нейтральный МН-70КМ (630х705/1030х870)</t>
  </si>
  <si>
    <t>522-103-1020</t>
  </si>
  <si>
    <t>Модуль поворотный МП-90КМ (внешн. 90 градус) (997/1440х705/1030х870)</t>
  </si>
  <si>
    <t>522-103-1021</t>
  </si>
  <si>
    <t>Модуль поворотный МП-90КМ-01 (внутрен. 90 градус) без направляющей (1430х705х870)</t>
  </si>
  <si>
    <t>522-103-1022</t>
  </si>
  <si>
    <t>Модуль поворотный МП-45КМ (внешн. 45 градус) (566/813х705/1030х870)</t>
  </si>
  <si>
    <t>522-103-1023</t>
  </si>
  <si>
    <t>Модуль поворотный МП-45КМ-01 (внутрен. 45 градус) без направляющей (784х705х870)</t>
  </si>
  <si>
    <t>522-103-1024</t>
  </si>
  <si>
    <t>Прилавок для подогрева первых блюд</t>
  </si>
  <si>
    <t>522-103-1024-0001</t>
  </si>
  <si>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</si>
  <si>
    <t>522-103-1024-0002</t>
  </si>
  <si>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</si>
  <si>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522-103-1024-0003</t>
  </si>
  <si>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</si>
  <si>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522-103-1024-0004</t>
  </si>
  <si>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</si>
  <si>
    <t>522-103-1025</t>
  </si>
  <si>
    <t>Прилавок для подогрева вторых блюд</t>
  </si>
  <si>
    <t>522-103-1025-0001</t>
  </si>
  <si>
    <t>Линия горячего сервиса
CE-SSI-GN-1-1X3-120. Нержавеющая сталь. Объем: 3 GN1/1-150, термостатический контроль, 220В, 50Гц, 2,5кВт. Размер: 1200x700x850/1300мм</t>
  </si>
  <si>
    <t>522-103-1025-0002</t>
  </si>
  <si>
    <t>Линия горячего сервиса
CE-SSI-GN-1-1X4-150. Нержавеющая сталь. Объем: 3 GN1/1-150, термостатический контроль, 220В, 50Гц, 2,5кВт. Размер: 1500x700x850/1300мм</t>
  </si>
  <si>
    <t>522-103-1025-0003</t>
  </si>
  <si>
    <t>Линия горячего сервиса
CE-SSI-GN-1-1X5-180. Нержавеющая сталь. Объем: 3 GN1/1-150, термостатический контроль, 220В, 50Гц, 2,5кВт. Размер: 1800x700x850/1300мм</t>
  </si>
  <si>
    <t>522-103-1025-0004</t>
  </si>
  <si>
    <t>Мармит 2-х блюд ПМЭС-70КМ-60, нержавеющая сталь, размеры 1120x705(1030)x1484мм, напряжение 220В, мощность 1,22кВт, две полки, подсветка, с гастроемкостями</t>
  </si>
  <si>
    <t>522-103-1025-0005</t>
  </si>
  <si>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</si>
  <si>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522-103-1025-0006</t>
  </si>
  <si>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</si>
  <si>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522-103-1026</t>
  </si>
  <si>
    <t>Прилавок нейтральный</t>
  </si>
  <si>
    <t>522-103-1026-0001</t>
  </si>
  <si>
    <t>Линия нейтральная сервисная
CE-SNO120X70. Нержавеющая сталь. Шкаф с 2 полками без дверей. Размер: 1200x700x850/1300мм</t>
  </si>
  <si>
    <t>522-103-1026-0002</t>
  </si>
  <si>
    <t>Линия нейтральная сервисная
CE-SNO140X70. Нержавеющая сталь. Шкаф с 2 полками без дверей. Размер: 1400x700x850/1300мм</t>
  </si>
  <si>
    <t>522-103-1026-0003</t>
  </si>
  <si>
    <t>Линия нейтральная сервисная
CE-SNO160X70. Нержавеющая сталь. Шкаф с 2 полками без дверей. Размер: 1600x700x850/1300мм</t>
  </si>
  <si>
    <t>522-103-1026-0004</t>
  </si>
  <si>
    <t>Стол нейтральный сервисной линии CE-SNOT120X70. Нержавеющая сталь. Размер: 1200x700x850/1300мм</t>
  </si>
  <si>
    <t>522-103-1026-0005</t>
  </si>
  <si>
    <t>Стол нейтральный сервисной линии CE-SNOT140X70. Нержавеющая сталь. Размер: 1400x700x850/1300мм</t>
  </si>
  <si>
    <t>522-103-1026-0006</t>
  </si>
  <si>
    <t>Стол нейтральный сервисной линии CE-SNOT160X70. Нержавеющая сталь. Размер: 1600x700x850/1300мм</t>
  </si>
  <si>
    <t>522-103-1026-0007</t>
  </si>
  <si>
    <t>Прилавок общий ЛРПО-1-00 с направляющей для подносов, размеры 1500х700х860 мм, внизу прилавка расположен открытый отсек. Ножки регулируемые</t>
  </si>
  <si>
    <t>522-103-1026-0008</t>
  </si>
  <si>
    <t>Прилавок общий ЛРПО-1-01 с направляющей для подносов, размеры 1500х700х850 мм, внизу прилавка расположен открытый отсек. Ножки регулируемые</t>
  </si>
  <si>
    <t>522-103-1026-0009</t>
  </si>
  <si>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</si>
  <si>
    <t>522-103-1027</t>
  </si>
  <si>
    <t>Кабина кассовая</t>
  </si>
  <si>
    <t>522-103-1027-0001</t>
  </si>
  <si>
    <t>Линия кассирная CE-SKA140X70. Нержавеющая сталь. Шкаф без дверей, с ползунком для подноса. Размер: 1400x700x850мм</t>
  </si>
  <si>
    <t>522-103-1027-0002</t>
  </si>
  <si>
    <t>Кабина кассовая ЛРКК-1-00, размеры 1120х1030х870 мм, внизу дополнительная полка и розетка 220В. Направляющие для подносов входят в комплект</t>
  </si>
  <si>
    <t>522-103-1100</t>
  </si>
  <si>
    <t>Прачечное оборудование</t>
  </si>
  <si>
    <t>522-103-1101</t>
  </si>
  <si>
    <t>Каток гладильный 1400ES (1840х420х1003 мм, 35 кг/ч)</t>
  </si>
  <si>
    <t>522-103-1102</t>
  </si>
  <si>
    <t>Каток гладильный 160.30VAR (2090х552х1073 мм, 50 кг/ч)</t>
  </si>
  <si>
    <t>522-103-1103</t>
  </si>
  <si>
    <t>Машина стирально-сушильная мод. ST3JGASP403UG01 загрузка (стирка) - 10,2 кг, загрузка (сушка) - 10,2 кг</t>
  </si>
  <si>
    <t>522-103-1104</t>
  </si>
  <si>
    <t>Стиральная машина ТМ Speed Queen мод. SF3JGBSP403NG22, загрузка - 10,2 кг</t>
  </si>
  <si>
    <t>522-103-1105</t>
  </si>
  <si>
    <t>Стол гладильный мод. Omega 2000 (1100х370х900)</t>
  </si>
  <si>
    <t>522-103-1106</t>
  </si>
  <si>
    <t>Утюг гладильный мод. Pony Baby 1.8</t>
  </si>
  <si>
    <t>522-103-1107</t>
  </si>
  <si>
    <t>Утюг гладильный мод. Pony Baby 2.3</t>
  </si>
  <si>
    <t>522-103-1108</t>
  </si>
  <si>
    <t>522-103-1108-0001</t>
  </si>
  <si>
    <t>Утюг с парогенератором, объём бойлера 2,5 л, напряжение 220В. Корпус и бойлер из нержавеющей стали. Габаритные размеры: 325х260х300 мм. Мощность 1,8 кВт</t>
  </si>
  <si>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</si>
  <si>
    <t>522-103-1108-0002</t>
  </si>
  <si>
    <t>Утюг с парогенератором, объём бойлера 3,7 л, напряжение 220В. Корпус и бойлер из нержавеющей стали. Габаритные размеры: 310х420х390 мм. Мощность 2,3 кВт</t>
  </si>
  <si>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</si>
  <si>
    <t>Подраздел 522-2. Оборудование и мебель специальных организаций образования Группа 522-201. Оборудование, пособия и мебель специальных организаций образования</t>
  </si>
  <si>
    <t>Группа 522-201. Оборудование, пособия и мебель специальных организаций образования</t>
  </si>
  <si>
    <t>522-201-0200</t>
  </si>
  <si>
    <t>Оборудование для логопедических занятий</t>
  </si>
  <si>
    <t>522-201-0202</t>
  </si>
  <si>
    <t>Зеркало для индивидуальных
логопедических занятий</t>
  </si>
  <si>
    <t>522-201-0202-0001</t>
  </si>
  <si>
    <t>Зеркало для индивидуальных логопедических занятий. Складное, переносное, из оргстекла в футляре типа Инт парк 27513</t>
  </si>
  <si>
    <t>522-201-0203</t>
  </si>
  <si>
    <t>Тренажер на базе персонального компьютера для развития
звуко-произносительной и
лексико-грамматической стороны речи</t>
  </si>
  <si>
    <t>522-201-0203-0001</t>
  </si>
  <si>
    <t>Логопедический тренажер "Дельфа-142.1", модификация 1.7 с персональным компьютером</t>
  </si>
  <si>
    <t>522-201-0203-0002</t>
  </si>
  <si>
    <t>Логопедический тренажер "Дельфа-142.1", модификация 2.2 с персональным компьютером</t>
  </si>
  <si>
    <t>522-201-0203-0003</t>
  </si>
  <si>
    <t>Логопедический тренажер "Дельфа-142.1", модификация "PAC", с персональным компьютером</t>
  </si>
  <si>
    <t>522-201-0203-0004</t>
  </si>
  <si>
    <t>Тренажер для развития звуко-произносительной и
лексико-грамматической стороны речи типа Инт парк 27514</t>
  </si>
  <si>
    <t>522-201-0204</t>
  </si>
  <si>
    <t>Речевой тренажер для усвоения и развития элементарной речевой коммуникации</t>
  </si>
  <si>
    <t>522-201-0204-0001</t>
  </si>
  <si>
    <t>GoTalk 4+  настольное речевое устройство с 4 окнами для изображений, имеет 5 уровней записи</t>
  </si>
  <si>
    <t>522-201-0204-0002</t>
  </si>
  <si>
    <t>GoTalk 9+  настольное речевое устройство с 9 окнами для изображений, имеет 5 уровней записи</t>
  </si>
  <si>
    <t>522-201-0204-0003</t>
  </si>
  <si>
    <t>GoTalk 20+  настольное речевое устройство с 20 окнами для изображений, имеет 5 уровней записи</t>
  </si>
  <si>
    <t>522-201-0300</t>
  </si>
  <si>
    <t>Оборудование организаций образования для детей с нарушениями слуха</t>
  </si>
  <si>
    <t>522-201-0307</t>
  </si>
  <si>
    <t>Комплект для психолого-педагогического обследования детей с нарушением слуха</t>
  </si>
  <si>
    <t>522-201-0307-0001</t>
  </si>
  <si>
    <t>Комплект №1 для
психолого-педагогического обследования детей с подозрением на снижение слуха</t>
  </si>
  <si>
    <t>522-201-0307-0002</t>
  </si>
  <si>
    <t>Комплект №2 для педагогического обследования детей раннего и дошкольного возраста с подозрением на снижение слуха</t>
  </si>
  <si>
    <t>522-201-0400</t>
  </si>
  <si>
    <t>Оборудование организаций образования для детей с нарушениями зрения</t>
  </si>
  <si>
    <t>522-201-0424</t>
  </si>
  <si>
    <t>Периметр настольный</t>
  </si>
  <si>
    <t>522-201-0452</t>
  </si>
  <si>
    <t>Амблиокор</t>
  </si>
  <si>
    <t>522-201-0500</t>
  </si>
  <si>
    <t>522-201-0502</t>
  </si>
  <si>
    <t>Зеркало настенное</t>
  </si>
  <si>
    <t>522-201-0502-0001</t>
  </si>
  <si>
    <t>Зеркало настенное 600х800 мм</t>
  </si>
  <si>
    <t>522-201-0503</t>
  </si>
  <si>
    <t>Горка для ходьбы</t>
  </si>
  <si>
    <t>522-201-0507</t>
  </si>
  <si>
    <t>Тактильная дорожка</t>
  </si>
  <si>
    <t>522-201-0507-0001</t>
  </si>
  <si>
    <t>Тактильная дорожка (7 составных модулей)</t>
  </si>
  <si>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</si>
  <si>
    <t>522-201-0507-0002</t>
  </si>
  <si>
    <t>Дорожка для профилактики плоскостопии и развития  крупной моторики, ловкости и координации движений (12 шаровых сегментов) типа Инт парк 29550</t>
  </si>
  <si>
    <t>522-201-0507-0003</t>
  </si>
  <si>
    <t>Дорожка тактильная (7 элементов) типа Инт парк 25047</t>
  </si>
  <si>
    <t>522-201-0509</t>
  </si>
  <si>
    <t>Приспособление двухъярусное для обучения ходьбе для детей с нарушением
опорно-двигательного аппарата</t>
  </si>
  <si>
    <t>522-201-0510</t>
  </si>
  <si>
    <t>Панель тактильная</t>
  </si>
  <si>
    <t>522-201-0510-0001</t>
  </si>
  <si>
    <t>Панель тактильная с декоративными элементами</t>
  </si>
  <si>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</si>
  <si>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522-201-0511</t>
  </si>
  <si>
    <t>Массажный коврик</t>
  </si>
  <si>
    <t>522-201-0511-0001</t>
  </si>
  <si>
    <t>Массажный коврик "ГОФР-1" со следочками, размер: 190х33х3 см</t>
  </si>
  <si>
    <t>522-201-0511-0002</t>
  </si>
  <si>
    <t>Массажный коврик "ГОФР-1" со следочками, малый(М), размер: 40х33х3</t>
  </si>
  <si>
    <t>522-201-0512</t>
  </si>
  <si>
    <t>Тренажер реабилитационный механотерапевтический</t>
  </si>
  <si>
    <t>522-201-0513</t>
  </si>
  <si>
    <t>Тренажер ортопедический для ходьбы</t>
  </si>
  <si>
    <t>522-201-0513-0001</t>
  </si>
  <si>
    <t>Тренажер ортопедический Rifton PACER для ходьбы К 509</t>
  </si>
  <si>
    <t>522-201-0513-0002</t>
  </si>
  <si>
    <t>Тренажер ортопедический Rifton PACER для ходьбы К 620 (К501)</t>
  </si>
  <si>
    <t>522-201-0513-0003</t>
  </si>
  <si>
    <t>Тренажер ортопедический Rifton новый PACER для ходьбы К 630 среднего размера (К502)</t>
  </si>
  <si>
    <t>522-201-0513-0004</t>
  </si>
  <si>
    <t>Тренажер ортопедический Rifton новый PACER для ходьбы К 640 большого размера (К503)</t>
  </si>
  <si>
    <t>522-201-0513-0005</t>
  </si>
  <si>
    <t>Тренажер ортопедический Rifton PACER для ходьбы К 650 (К504)</t>
  </si>
  <si>
    <t>522-201-0514</t>
  </si>
  <si>
    <t>Стендер-вертикализатор</t>
  </si>
  <si>
    <t>522-201-0514-0001</t>
  </si>
  <si>
    <t>Мультистендер Дженкс (вертикализатор для детей от 9 месяцев до шести лет)</t>
  </si>
  <si>
    <t>522-201-0514-0002</t>
  </si>
  <si>
    <t>Мультистендер Дженкс (вертикализатор для детей от 3 до 13 лет)</t>
  </si>
  <si>
    <t>522-201-0515</t>
  </si>
  <si>
    <t>Тренажер-ходунки</t>
  </si>
  <si>
    <t>522-201-0515-0001</t>
  </si>
  <si>
    <t>Ходунки с дополнительной фиксацией тела, в том числе для больных ДЦП, модель
ОХД-317 «Я МОГУ!», размер 1 (80-115 см),
либо размер 2 (115-150 см)</t>
  </si>
  <si>
    <t>522-201-0515-0002</t>
  </si>
  <si>
    <t>Ходунки Армед FS201</t>
  </si>
  <si>
    <t>522-201-0515-0003</t>
  </si>
  <si>
    <t>Ходунки для больных ДЦП, регулируемые по высоте на четырех колёсах HMP-KA1200 с подлокотной опорой</t>
  </si>
  <si>
    <t>522-201-0515-0004</t>
  </si>
  <si>
    <t>Ходунки для больных ДЦП, регулируемые по высоте на четырех колёсах HMP-KA 2200 с подлокотной опорой</t>
  </si>
  <si>
    <t>522-201-0515-0005</t>
  </si>
  <si>
    <t>Ходунки для детей больных ДЦП HMP-KA 3200 с подлокотной опорой</t>
  </si>
  <si>
    <t>522-201-0515-0006</t>
  </si>
  <si>
    <t>Ходунки "Айболит" СН 36.12.01</t>
  </si>
  <si>
    <t>522-201-0515-0007</t>
  </si>
  <si>
    <t>Ходунки "Айболит" СН 36.12.02</t>
  </si>
  <si>
    <t>522-201-0515-0008</t>
  </si>
  <si>
    <t>Ходунки "Айболит" СН 36.12.03</t>
  </si>
  <si>
    <t>522-201-0516</t>
  </si>
  <si>
    <t>Нейро-ортопедический реабилитационный комбинезон для детей с нарушением опорно-двигательного аппарата, разных размеров</t>
  </si>
  <si>
    <t>522-201-0516-0001</t>
  </si>
  <si>
    <t>Нейро-ортопедический реабилитационный
комбинезон РК "ФАЭТОН" размер 1А</t>
  </si>
  <si>
    <t>522-201-0516-0002</t>
  </si>
  <si>
    <t>Нейро-ортопедический реабилитационный
комбинезон РК "ФАЭТОН" размер 2А</t>
  </si>
  <si>
    <t>522-201-0516-0003</t>
  </si>
  <si>
    <t>Нейро-ортопедический реабилитационный
комбинезон РК "ФАЭТОН" размер 3А</t>
  </si>
  <si>
    <t>522-201-0516-0004</t>
  </si>
  <si>
    <t>Нейро-ортопедический реабилитационный
комбинезон РК "ФАЭТОН" размер 4А</t>
  </si>
  <si>
    <t>522-201-0516-0005</t>
  </si>
  <si>
    <t>Нейро-ортопедический реабилитационный
комбинезон РК "ФАЭТОН" размер 5А</t>
  </si>
  <si>
    <t>522-201-0516-0006</t>
  </si>
  <si>
    <t>Нейро-ортопедический реабилитационный
комбинезон РК "ФАЭТОН" размер 6А</t>
  </si>
  <si>
    <t>522-201-0516-0007</t>
  </si>
  <si>
    <t>Нейро-ортопедический реабилитационный
комбинезон РК "ФАЭТОН" размер 7А</t>
  </si>
  <si>
    <t>522-201-0516-0008</t>
  </si>
  <si>
    <t>Нейро-ортопедический реабилитационный
комбинезон РК "ФАЭТОН" размер 8А</t>
  </si>
  <si>
    <t>522-201-0516-0009</t>
  </si>
  <si>
    <t>Нейро-ортопедический реабилитационный
комбинезон РК "ФАЭТОН" размер 9А</t>
  </si>
  <si>
    <t>522-201-0516-0010</t>
  </si>
  <si>
    <t>Нейро-ортопедический реабилитационный
комбинезон РК "ФАЭТОН" размер 10А</t>
  </si>
  <si>
    <t>522-201-0517</t>
  </si>
  <si>
    <t>Рефлекторно-нагрузочное устройство для детей с нарушением опорно-двигательного аппарата, разных размеров</t>
  </si>
  <si>
    <t>522-201-0517-0001</t>
  </si>
  <si>
    <t>Рефлекторно-нагрузочное устройство
"Гравитон"("Гравистат")</t>
  </si>
  <si>
    <t>522-201-0519</t>
  </si>
  <si>
    <t>Функциональная стойка (вертикализатор с
задним наклоном)</t>
  </si>
  <si>
    <t>522-201-0519-0001</t>
  </si>
  <si>
    <t>Функциональная стойка (малый
вертикализатор) Rifton E420</t>
  </si>
  <si>
    <t>522-201-0519-0002</t>
  </si>
  <si>
    <t>Функциональная стойка Rifton E430</t>
  </si>
  <si>
    <t>522-201-0520</t>
  </si>
  <si>
    <t>Вертикализатор-стойка</t>
  </si>
  <si>
    <t>522-201-0520-0001</t>
  </si>
  <si>
    <t>Вертикализатор-стойка СН-38.02.02</t>
  </si>
  <si>
    <t>522-201-0521</t>
  </si>
  <si>
    <t>Вертикализатор наклонный</t>
  </si>
  <si>
    <t>522-201-0521-0001</t>
  </si>
  <si>
    <t>Вертикализатор наклонный СН-38.01.01</t>
  </si>
  <si>
    <t>522-201-0521-0002</t>
  </si>
  <si>
    <t>Вертикализатор наклонный СН-38.01.02</t>
  </si>
  <si>
    <t>522-201-0521-0003</t>
  </si>
  <si>
    <t>Вертикализатор наклонный СН-38.01.03</t>
  </si>
  <si>
    <t>522-201-0522</t>
  </si>
  <si>
    <t>Универсальная система для лежачего положения для подростков с нарушением опорно-двигательного аппарата</t>
  </si>
  <si>
    <t>522-201-0522-0001</t>
  </si>
  <si>
    <t>Универсальная система "Кузнечик" США
Patterson Medical</t>
  </si>
  <si>
    <t>522-201-0600</t>
  </si>
  <si>
    <t>522-201-0603</t>
  </si>
  <si>
    <t>Стул ортопедический</t>
  </si>
  <si>
    <t>522-201-0603-0001</t>
  </si>
  <si>
    <t>Стул ортопедический СН 37.01.01</t>
  </si>
  <si>
    <t>522-201-0603-0002</t>
  </si>
  <si>
    <t>Стул ортопедический СН 37.01.02</t>
  </si>
  <si>
    <t>522-201-0603-0003</t>
  </si>
  <si>
    <t>Стул ортопедический СН 37.01.03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</si>
</sst>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000"/>
  </numFmts>
  <fonts count="7">
    <font>
      <sz val="10.0"/>
      <color rgb="FF000000"/>
      <name val="Arial"/>
      <scheme val="minor"/>
    </font>
    <font>
      <b/>
      <sz val="10.0"/>
      <color rgb="FF000000"/>
      <name val="Times New Roman"/>
    </font>
    <font>
      <color theme="1"/>
      <name val="Arial"/>
      <scheme val="minor"/>
    </font>
    <font>
      <b/>
      <sz val="10.0"/>
      <color rgb="FFFF0000"/>
      <name val="Times New Roman"/>
    </font>
    <font>
      <sz val="10.0"/>
      <color rgb="FF000000"/>
      <name val="Times New Roman"/>
    </font>
    <font>
      <b/>
      <sz val="12.0"/>
      <color theme="1"/>
      <name val="Times New Roman"/>
    </font>
    <font>
      <sz val="10.0"/>
      <color theme="1"/>
      <name val="Times New Roman"/>
    </font>
  </fonts>
  <fills count="3">
    <fill>
      <patternFill patternType="none"/>
    </fill>
    <fill>
      <patternFill patternType="lightGray"/>
    </fill>
    <fill>
      <patternFill patternType="solid">
        <fgColor rgb="FFCFE2F3"/>
        <bgColor rgb="FFCFE2F3"/>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0" fillId="2" fontId="1" numFmtId="4" xfId="0" applyAlignment="1" applyFont="1" applyNumberFormat="1">
      <alignment horizontal="right" readingOrder="0" shrinkToFit="0" vertical="center" wrapText="1"/>
    </xf>
    <xf borderId="0" fillId="0" fontId="2" numFmtId="0" xfId="0" applyAlignment="1" applyFont="1">
      <alignment readingOrder="0" shrinkToFit="0" wrapText="1"/>
    </xf>
    <xf borderId="0" fillId="0" fontId="2" numFmtId="0" xfId="0" applyAlignment="1" applyFont="1">
      <alignment horizontal="center"/>
    </xf>
    <xf borderId="2" fillId="0" fontId="3" numFmtId="0" xfId="0" applyAlignment="1" applyBorder="1" applyFont="1">
      <alignment readingOrder="0" shrinkToFit="0" vertical="center" wrapText="0"/>
    </xf>
    <xf borderId="3" fillId="0" fontId="4" numFmtId="0" xfId="0" applyAlignment="1" applyBorder="1" applyFont="1">
      <alignment shrinkToFit="0" vertical="center" wrapText="1"/>
    </xf>
    <xf borderId="3" fillId="0" fontId="4" numFmtId="0" xfId="0" applyAlignment="1" applyBorder="1" applyFont="1">
      <alignment horizontal="center" shrinkToFit="0" vertical="center" wrapText="1"/>
    </xf>
    <xf borderId="3" fillId="0" fontId="4" numFmtId="4" xfId="0" applyAlignment="1" applyBorder="1" applyFont="1" applyNumberFormat="1">
      <alignment horizontal="right" shrinkToFit="0" vertical="center" wrapText="1"/>
    </xf>
    <xf borderId="4" fillId="0" fontId="2" numFmtId="0" xfId="0" applyBorder="1" applyFont="1"/>
    <xf borderId="2" fillId="0" fontId="5" numFmtId="0" xfId="0" applyAlignment="1" applyBorder="1" applyFont="1">
      <alignment shrinkToFit="0" vertical="center" wrapText="0"/>
    </xf>
    <xf borderId="1" fillId="0" fontId="6" numFmtId="0" xfId="0" applyAlignment="1" applyBorder="1" applyFont="1">
      <alignment horizontal="center" readingOrder="0" shrinkToFit="0" vertical="center" wrapText="0"/>
    </xf>
    <xf borderId="2" fillId="0" fontId="6" numFmtId="0" xfId="0" applyAlignment="1" applyBorder="1" applyFont="1">
      <alignment shrinkToFit="0" vertical="center" wrapText="1"/>
    </xf>
    <xf borderId="1" fillId="0" fontId="4" numFmtId="0" xfId="0" applyAlignment="1" applyBorder="1" applyFont="1">
      <alignment horizontal="left" shrinkToFit="0" vertical="center" wrapText="1"/>
    </xf>
    <xf borderId="2" fillId="0" fontId="4" numFmtId="0" xfId="0" applyAlignment="1" applyBorder="1" applyFont="1">
      <alignment horizontal="center" shrinkToFit="0" vertical="center" wrapText="1"/>
    </xf>
    <xf borderId="1" fillId="0" fontId="4" numFmtId="4" xfId="0" applyAlignment="1" applyBorder="1" applyFont="1" applyNumberFormat="1">
      <alignment horizontal="right" shrinkToFit="0" vertical="center" wrapText="1"/>
    </xf>
    <xf borderId="1" fillId="0" fontId="2" numFmtId="0" xfId="0" applyAlignment="1" applyBorder="1" applyFont="1">
      <alignment shrinkToFit="0" wrapText="1"/>
    </xf>
    <xf borderId="1"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1"/>
    </xf>
    <xf borderId="1" fillId="0" fontId="4" numFmtId="4" xfId="0" applyAlignment="1" applyBorder="1" applyFont="1" applyNumberFormat="1">
      <alignment horizontal="right" readingOrder="0" shrinkToFit="0" vertical="center" wrapText="1"/>
    </xf>
    <xf borderId="2" fillId="0" fontId="4" numFmtId="1" xfId="0" applyAlignment="1" applyBorder="1" applyFont="1" applyNumberFormat="1">
      <alignment horizontal="center" shrinkToFit="1" vertical="center" wrapText="0"/>
    </xf>
    <xf borderId="1" fillId="0" fontId="4" numFmtId="1" xfId="0" applyAlignment="1" applyBorder="1" applyFont="1" applyNumberFormat="1">
      <alignment horizontal="center" shrinkToFit="1" vertical="center" wrapText="0"/>
    </xf>
    <xf borderId="1" fillId="0" fontId="4" numFmtId="0" xfId="0" applyAlignment="1" applyBorder="1" applyFont="1">
      <alignment horizontal="left" readingOrder="0" shrinkToFit="0" vertical="center" wrapText="1"/>
    </xf>
    <xf borderId="2" fillId="0" fontId="4" numFmtId="0" xfId="0" applyAlignment="1" applyBorder="1" applyFont="1">
      <alignment shrinkToFit="0" vertical="center" wrapText="1"/>
    </xf>
    <xf borderId="1" fillId="0" fontId="4" numFmtId="2" xfId="0" applyAlignment="1" applyBorder="1" applyFont="1" applyNumberFormat="1">
      <alignment horizontal="center" shrinkToFit="1" vertical="center" wrapText="0"/>
    </xf>
    <xf borderId="1" fillId="0" fontId="4" numFmtId="164" xfId="0" applyAlignment="1" applyBorder="1" applyFont="1" applyNumberFormat="1">
      <alignment horizontal="center" shrinkToFit="1" vertical="center" wrapText="0"/>
    </xf>
    <xf borderId="1" fillId="0" fontId="4" numFmtId="165" xfId="0" applyAlignment="1" applyBorder="1" applyFont="1" applyNumberFormat="1">
      <alignment horizontal="center" shrinkToFit="1" vertical="center" wrapText="0"/>
    </xf>
    <xf borderId="3" fillId="0" fontId="5" numFmtId="0" xfId="0" applyAlignment="1" applyBorder="1" applyFont="1">
      <alignment shrinkToFit="0" vertical="center" wrapText="1"/>
    </xf>
    <xf borderId="3" fillId="0" fontId="6" numFmtId="0" xfId="0" applyAlignment="1" applyBorder="1" applyFont="1">
      <alignment shrinkToFit="0" vertical="center" wrapText="1"/>
    </xf>
    <xf borderId="3" fillId="0" fontId="5" numFmtId="0" xfId="0" applyAlignment="1" applyBorder="1" applyFont="1">
      <alignment horizontal="center" shrinkToFit="0" vertical="center" wrapText="1"/>
    </xf>
    <xf borderId="3" fillId="0" fontId="5" numFmtId="4" xfId="0" applyAlignment="1" applyBorder="1" applyFont="1" applyNumberFormat="1">
      <alignment horizontal="right" shrinkToFit="0" vertical="center" wrapText="1"/>
    </xf>
    <xf borderId="4" fillId="0" fontId="2" numFmtId="0" xfId="0" applyAlignment="1" applyBorder="1" applyFont="1">
      <alignment shrinkToFit="0" wrapText="1"/>
    </xf>
    <xf borderId="2" fillId="0" fontId="6" numFmtId="0" xfId="0" applyAlignment="1" applyBorder="1" applyFont="1">
      <alignment horizontal="center" shrinkToFit="0" vertical="center" wrapText="0"/>
    </xf>
    <xf borderId="3" fillId="0" fontId="4" numFmtId="0" xfId="0" applyAlignment="1" applyBorder="1" applyFont="1">
      <alignment horizontal="left" shrinkToFit="0" vertical="center" wrapText="1"/>
    </xf>
    <xf borderId="3" fillId="0" fontId="6" numFmtId="0" xfId="0" applyAlignment="1" applyBorder="1" applyFont="1">
      <alignment horizontal="center" shrinkToFit="0" vertical="center" wrapText="1"/>
    </xf>
    <xf borderId="3" fillId="0" fontId="4" numFmtId="1" xfId="0" applyAlignment="1" applyBorder="1" applyFont="1" applyNumberFormat="1">
      <alignment horizontal="center" shrinkToFit="1" vertical="center" wrapText="0"/>
    </xf>
    <xf borderId="3" fillId="0" fontId="4" numFmtId="164" xfId="0" applyAlignment="1" applyBorder="1" applyFont="1" applyNumberFormat="1">
      <alignment horizontal="center" shrinkToFit="1" vertical="center" wrapText="0"/>
    </xf>
    <xf borderId="3" fillId="0" fontId="4" numFmtId="2" xfId="0" applyAlignment="1" applyBorder="1" applyFont="1" applyNumberFormat="1">
      <alignment horizontal="center" shrinkToFit="1" vertical="center" wrapText="0"/>
    </xf>
    <xf borderId="2" fillId="0" fontId="3" numFmtId="0" xfId="0" applyAlignment="1" applyBorder="1" applyFont="1">
      <alignment shrinkToFit="0" vertical="center" wrapText="0"/>
    </xf>
    <xf borderId="3" fillId="0" fontId="4" numFmtId="165" xfId="0" applyAlignment="1" applyBorder="1" applyFont="1" applyNumberFormat="1">
      <alignment horizontal="center" shrinkToFit="1" vertical="center" wrapText="0"/>
    </xf>
    <xf borderId="3" fillId="0" fontId="4" numFmtId="166" xfId="0" applyAlignment="1" applyBorder="1" applyFont="1" applyNumberFormat="1">
      <alignment horizontal="center" shrinkToFit="1" vertical="center" wrapText="0"/>
    </xf>
    <xf borderId="5" fillId="0" fontId="6" numFmtId="0" xfId="0" applyAlignment="1" applyBorder="1" applyFont="1">
      <alignment horizontal="center" shrinkToFit="0" vertical="center" wrapText="0"/>
    </xf>
    <xf borderId="6" fillId="0" fontId="6" numFmtId="0" xfId="0" applyAlignment="1" applyBorder="1" applyFont="1">
      <alignment shrinkToFit="0" vertical="center" wrapText="1"/>
    </xf>
    <xf borderId="5" fillId="0" fontId="4" numFmtId="0" xfId="0" applyAlignment="1" applyBorder="1" applyFont="1">
      <alignment horizontal="left" shrinkToFit="0" vertical="center" wrapText="1"/>
    </xf>
    <xf borderId="6" fillId="0" fontId="4" numFmtId="0" xfId="0" applyAlignment="1" applyBorder="1" applyFont="1">
      <alignment horizontal="center" shrinkToFit="0" vertical="center" wrapText="1"/>
    </xf>
    <xf borderId="5" fillId="0" fontId="4" numFmtId="4" xfId="0" applyAlignment="1" applyBorder="1" applyFont="1" applyNumberFormat="1">
      <alignment horizontal="right" shrinkToFit="0" vertical="center" wrapText="1"/>
    </xf>
    <xf borderId="5" fillId="0" fontId="2" numFmtId="0" xfId="0" applyAlignment="1" applyBorder="1" applyFont="1">
      <alignment shrinkToFit="0" wrapText="1"/>
    </xf>
    <xf borderId="7" fillId="0" fontId="6" numFmtId="0" xfId="0" applyAlignment="1" applyBorder="1" applyFont="1">
      <alignment horizontal="center" shrinkToFit="0" vertical="center" wrapText="0"/>
    </xf>
    <xf borderId="8" fillId="0" fontId="6" numFmtId="0" xfId="0" applyAlignment="1" applyBorder="1" applyFont="1">
      <alignment shrinkToFit="0" vertical="center" wrapText="1"/>
    </xf>
    <xf borderId="7" fillId="0" fontId="4" numFmtId="0" xfId="0" applyAlignment="1" applyBorder="1" applyFont="1">
      <alignment horizontal="left" shrinkToFit="0" vertical="center" wrapText="1"/>
    </xf>
    <xf borderId="8" fillId="0" fontId="4" numFmtId="0" xfId="0" applyAlignment="1" applyBorder="1" applyFont="1">
      <alignment horizontal="center" shrinkToFit="0" vertical="center" wrapText="1"/>
    </xf>
    <xf borderId="8" fillId="0" fontId="4" numFmtId="0" xfId="0" applyAlignment="1" applyBorder="1" applyFont="1">
      <alignment shrinkToFit="0" vertical="center" wrapText="1"/>
    </xf>
    <xf borderId="7" fillId="0" fontId="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41.63"/>
    <col customWidth="1" min="3" max="3" width="72.13"/>
    <col customWidth="1" min="4" max="4" width="12.88"/>
    <col customWidth="1" min="5" max="5" width="8.0"/>
    <col customWidth="1" min="6" max="6" width="12.25"/>
    <col customWidth="1" min="8" max="8" width="87.13"/>
  </cols>
  <sheetData>
    <row r="1">
      <c r="A1" s="1" t="s">
        <v>0</v>
      </c>
      <c r="B1" s="2" t="s">
        <v>1</v>
      </c>
      <c r="C1" s="3" t="s">
        <v>2</v>
      </c>
      <c r="D1" s="4" t="s">
        <v>3</v>
      </c>
      <c r="E1" s="2" t="s">
        <v>4</v>
      </c>
      <c r="F1" s="4" t="s">
        <v>5</v>
      </c>
      <c r="G1" s="5" t="s">
        <v>6</v>
      </c>
      <c r="H1" s="6" t="s">
        <v>7</v>
      </c>
      <c r="I1" s="7"/>
      <c r="J1" s="7"/>
      <c r="K1" s="7"/>
      <c r="L1" s="7"/>
      <c r="M1" s="7"/>
      <c r="N1" s="7"/>
      <c r="O1" s="7"/>
      <c r="P1" s="7"/>
      <c r="Q1" s="7"/>
      <c r="R1" s="7"/>
      <c r="S1" s="7"/>
      <c r="T1" s="7"/>
      <c r="U1" s="7"/>
      <c r="V1" s="7"/>
      <c r="W1" s="7"/>
      <c r="X1" s="7"/>
      <c r="Y1" s="7"/>
      <c r="Z1" s="7"/>
    </row>
    <row r="2">
      <c r="A2" s="8" t="s">
        <v>8</v>
      </c>
      <c r="B2" s="9"/>
      <c r="C2" s="9"/>
      <c r="D2" s="9"/>
      <c r="E2" s="10"/>
      <c r="F2" s="9"/>
      <c r="G2" s="11"/>
      <c r="H2" s="12"/>
    </row>
    <row r="3">
      <c r="A3" s="13" t="s">
        <v>9</v>
      </c>
      <c r="B3" s="9"/>
      <c r="C3" s="9"/>
      <c r="D3" s="9"/>
      <c r="E3" s="10"/>
      <c r="F3" s="9"/>
      <c r="G3" s="11"/>
      <c r="H3" s="12"/>
    </row>
    <row r="4">
      <c r="A4" s="14" t="s">
        <v>10</v>
      </c>
      <c r="B4" s="15" t="s">
        <v>11</v>
      </c>
      <c r="C4" s="15"/>
      <c r="D4" s="16"/>
      <c r="E4" s="17"/>
      <c r="F4" s="16"/>
      <c r="G4" s="18"/>
      <c r="H4" s="19" t="str">
        <f>IFERROR(__xludf.DUMMYFUNCTION("LOWER(REGEXREPLACE(B4&amp;"" ""&amp;C4,""[^а-яa-z0-9 ]"","" ""))")," борудования игровое ")</f>
        <v> борудования игровое </v>
      </c>
    </row>
    <row r="5">
      <c r="A5" s="20" t="s">
        <v>12</v>
      </c>
      <c r="B5" s="15" t="s">
        <v>13</v>
      </c>
      <c r="C5" s="15"/>
      <c r="D5" s="21" t="s">
        <v>14</v>
      </c>
      <c r="E5" s="17"/>
      <c r="F5" s="16"/>
      <c r="G5" s="22">
        <v>235555.0</v>
      </c>
      <c r="H5" s="19" t="str">
        <f>IFERROR(__xludf.DUMMYFUNCTION("LOWER(REGEXREPLACE(B5&amp;"" ""&amp;C5,""[^а-яa-z0-9 ]"","" ""))")," ирма для кукольного театра ")</f>
        <v> ирма для кукольного театра </v>
      </c>
    </row>
    <row r="6">
      <c r="A6" s="20" t="s">
        <v>15</v>
      </c>
      <c r="B6" s="15" t="s">
        <v>16</v>
      </c>
      <c r="C6" s="15"/>
      <c r="D6" s="21" t="s">
        <v>14</v>
      </c>
      <c r="E6" s="17"/>
      <c r="F6" s="16"/>
      <c r="G6" s="18"/>
      <c r="H6" s="19" t="str">
        <f>IFERROR(__xludf.DUMMYFUNCTION("LOWER(REGEXREPLACE(B6&amp;"" ""&amp;C6,""[^а-яa-z0-9 ]"","" ""))")," анеж детский ")</f>
        <v> анеж детский </v>
      </c>
    </row>
    <row r="7">
      <c r="A7" s="14" t="s">
        <v>17</v>
      </c>
      <c r="B7" s="15" t="s">
        <v>18</v>
      </c>
      <c r="C7" s="15"/>
      <c r="D7" s="21" t="s">
        <v>14</v>
      </c>
      <c r="E7" s="17"/>
      <c r="F7" s="16"/>
      <c r="G7" s="22">
        <v>8482.0</v>
      </c>
      <c r="H7" s="19" t="str">
        <f>IFERROR(__xludf.DUMMYFUNCTION("LOWER(REGEXREPLACE(B7&amp;"" ""&amp;C7,""[^а-яa-z0-9 ]"","" ""))")," анеж детский размерами 830х680 мм ")</f>
        <v> анеж детский размерами 830х680 мм </v>
      </c>
    </row>
    <row r="8">
      <c r="A8" s="20" t="s">
        <v>19</v>
      </c>
      <c r="B8" s="15" t="s">
        <v>20</v>
      </c>
      <c r="C8" s="15"/>
      <c r="D8" s="21" t="s">
        <v>14</v>
      </c>
      <c r="E8" s="17"/>
      <c r="F8" s="16"/>
      <c r="G8" s="22">
        <v>8929.0</v>
      </c>
      <c r="H8" s="19" t="str">
        <f>IFERROR(__xludf.DUMMYFUNCTION("LOWER(REGEXREPLACE(B8&amp;"" ""&amp;C8,""[^а-яa-z0-9 ]"","" ""))")," анеж детский размерами 840х840х680 мм ")</f>
        <v> анеж детский размерами 840х840х680 мм </v>
      </c>
    </row>
    <row r="9">
      <c r="A9" s="20" t="s">
        <v>21</v>
      </c>
      <c r="B9" s="15" t="s">
        <v>22</v>
      </c>
      <c r="C9" s="15"/>
      <c r="D9" s="21" t="s">
        <v>14</v>
      </c>
      <c r="E9" s="17"/>
      <c r="F9" s="16"/>
      <c r="G9" s="22">
        <v>8482.0</v>
      </c>
      <c r="H9" s="19" t="str">
        <f>IFERROR(__xludf.DUMMYFUNCTION("LOWER(REGEXREPLACE(B9&amp;"" ""&amp;C9,""[^а-яa-z0-9 ]"","" ""))")," орзина для игрушек размерами 420х840х680 мм ")</f>
        <v> орзина для игрушек размерами 420х840х680 мм </v>
      </c>
    </row>
    <row r="10">
      <c r="A10" s="20" t="s">
        <v>23</v>
      </c>
      <c r="B10" s="15" t="s">
        <v>24</v>
      </c>
      <c r="C10" s="15"/>
      <c r="D10" s="16"/>
      <c r="E10" s="17"/>
      <c r="F10" s="16"/>
      <c r="G10" s="18"/>
      <c r="H10" s="19" t="str">
        <f>IFERROR(__xludf.DUMMYFUNCTION("LOWER(REGEXREPLACE(B10&amp;"" ""&amp;C10,""[^а-яa-z0-9 ]"","" ""))")," ебель для организации учебной деятельности ")</f>
        <v> ебель для организации учебной деятельности </v>
      </c>
    </row>
    <row r="11">
      <c r="A11" s="20" t="s">
        <v>25</v>
      </c>
      <c r="B11" s="15" t="s">
        <v>26</v>
      </c>
      <c r="C11" s="15"/>
      <c r="D11" s="21" t="s">
        <v>14</v>
      </c>
      <c r="E11" s="17"/>
      <c r="F11" s="16"/>
      <c r="G11" s="18"/>
      <c r="H11" s="19" t="str">
        <f>IFERROR(__xludf.DUMMYFUNCTION("LOWER(REGEXREPLACE(B11&amp;"" ""&amp;C11,""[^а-яa-z0-9 ]"","" ""))")," олка для книг ")</f>
        <v> олка для книг </v>
      </c>
    </row>
    <row r="12">
      <c r="A12" s="20" t="s">
        <v>27</v>
      </c>
      <c r="B12" s="15" t="s">
        <v>28</v>
      </c>
      <c r="C12" s="15"/>
      <c r="D12" s="21" t="s">
        <v>14</v>
      </c>
      <c r="E12" s="17"/>
      <c r="F12" s="16"/>
      <c r="G12" s="18">
        <v>9543.0</v>
      </c>
      <c r="H12" s="19" t="str">
        <f>IFERROR(__xludf.DUMMYFUNCTION("LOWER(REGEXREPLACE(B12&amp;"" ""&amp;C12,""[^а-яa-z0-9 ]"","" ""))")," олка книжная 1300х200х550 ")</f>
        <v> олка книжная 1300х200х550 </v>
      </c>
    </row>
    <row r="13">
      <c r="A13" s="20" t="s">
        <v>29</v>
      </c>
      <c r="B13" s="15" t="s">
        <v>30</v>
      </c>
      <c r="C13" s="15" t="s">
        <v>30</v>
      </c>
      <c r="D13" s="21" t="s">
        <v>14</v>
      </c>
      <c r="E13" s="23">
        <v>2.0</v>
      </c>
      <c r="F13" s="24">
        <v>10.0</v>
      </c>
      <c r="G13" s="18">
        <v>52197.0</v>
      </c>
      <c r="H13" s="19" t="str">
        <f>IFERROR(__xludf.DUMMYFUNCTION("LOWER(REGEXREPLACE(B13&amp;"" ""&amp;C13,""[^а-яa-z0-9 ]"","" ""))"),"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1"&amp;"8 мм")</f>
        <v>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18 мм</v>
      </c>
    </row>
    <row r="14">
      <c r="A14" s="20" t="s">
        <v>31</v>
      </c>
      <c r="B14" s="15" t="s">
        <v>32</v>
      </c>
      <c r="C14" s="15"/>
      <c r="D14" s="21" t="s">
        <v>14</v>
      </c>
      <c r="E14" s="17"/>
      <c r="F14" s="16"/>
      <c r="G14" s="18"/>
      <c r="H14" s="19" t="str">
        <f>IFERROR(__xludf.DUMMYFUNCTION("LOWER(REGEXREPLACE(B14&amp;"" ""&amp;C14,""[^а-яa-z0-9 ]"","" ""))")," тол для дидактических занятий ")</f>
        <v> тол для дидактических занятий </v>
      </c>
    </row>
    <row r="15">
      <c r="A15" s="20" t="s">
        <v>33</v>
      </c>
      <c r="B15" s="15" t="s">
        <v>34</v>
      </c>
      <c r="C15" s="15"/>
      <c r="D15" s="21" t="s">
        <v>14</v>
      </c>
      <c r="E15" s="17"/>
      <c r="F15" s="25"/>
      <c r="G15" s="18">
        <v>433006.0</v>
      </c>
      <c r="H15" s="19" t="str">
        <f>IFERROR(__xludf.DUMMYFUNCTION("LOWER(REGEXREPLACE(B15&amp;"" ""&amp;C15,""[^а-яa-z0-9 ]"","" ""))")," идактический стол с набором игрушек  размер   180  50  46 ")</f>
        <v> идактический стол с набором игрушек  размер   180  50  46 </v>
      </c>
    </row>
    <row r="16">
      <c r="A16" s="20" t="s">
        <v>35</v>
      </c>
      <c r="B16" s="15" t="s">
        <v>36</v>
      </c>
      <c r="C16" s="15"/>
      <c r="D16" s="21" t="s">
        <v>14</v>
      </c>
      <c r="E16" s="17"/>
      <c r="F16" s="16"/>
      <c r="G16" s="18"/>
      <c r="H16" s="19" t="str">
        <f>IFERROR(__xludf.DUMMYFUNCTION("LOWER(REGEXREPLACE(B16&amp;"" ""&amp;C16,""[^а-яa-z0-9 ]"","" ""))")," тенка для игрушек ")</f>
        <v> тенка для игрушек </v>
      </c>
    </row>
    <row r="17">
      <c r="A17" s="20" t="s">
        <v>37</v>
      </c>
      <c r="B17" s="15" t="s">
        <v>38</v>
      </c>
      <c r="C17" s="15"/>
      <c r="D17" s="21" t="s">
        <v>14</v>
      </c>
      <c r="E17" s="17"/>
      <c r="F17" s="16"/>
      <c r="G17" s="18">
        <v>98051.0</v>
      </c>
      <c r="H17" s="19" t="str">
        <f>IFERROR(__xludf.DUMMYFUNCTION("LOWER(REGEXREPLACE(B17&amp;"" ""&amp;C17,""[^а-яa-z0-9 ]"","" ""))")," тенка для игрушек   ирамида  2900 350 950 ")</f>
        <v> тенка для игрушек   ирамида  2900 350 950 </v>
      </c>
    </row>
    <row r="18">
      <c r="A18" s="20" t="s">
        <v>39</v>
      </c>
      <c r="B18" s="15" t="s">
        <v>40</v>
      </c>
      <c r="C18" s="15"/>
      <c r="D18" s="21" t="s">
        <v>14</v>
      </c>
      <c r="E18" s="17"/>
      <c r="F18" s="16"/>
      <c r="G18" s="18">
        <v>139972.0</v>
      </c>
      <c r="H18" s="19" t="str">
        <f>IFERROR(__xludf.DUMMYFUNCTION("LOWER(REGEXREPLACE(B18&amp;"" ""&amp;C18,""[^а-яa-z0-9 ]"","" ""))")," тенка для игрушек 1900 350 1200 ")</f>
        <v> тенка для игрушек 1900 350 1200 </v>
      </c>
    </row>
    <row r="19">
      <c r="A19" s="20" t="s">
        <v>41</v>
      </c>
      <c r="B19" s="15" t="s">
        <v>42</v>
      </c>
      <c r="C19" s="15"/>
      <c r="D19" s="21" t="s">
        <v>14</v>
      </c>
      <c r="E19" s="17"/>
      <c r="F19" s="16"/>
      <c r="G19" s="18">
        <v>76113.0</v>
      </c>
      <c r="H19" s="19" t="str">
        <f>IFERROR(__xludf.DUMMYFUNCTION("LOWER(REGEXREPLACE(B19&amp;"" ""&amp;C19,""[^а-яa-z0-9 ]"","" ""))")," тенка для игрушек   омик  1680 340 1200 ")</f>
        <v> тенка для игрушек   омик  1680 340 1200 </v>
      </c>
    </row>
    <row r="20">
      <c r="A20" s="20" t="s">
        <v>43</v>
      </c>
      <c r="B20" s="15" t="s">
        <v>44</v>
      </c>
      <c r="C20" s="15"/>
      <c r="D20" s="21" t="s">
        <v>14</v>
      </c>
      <c r="E20" s="17"/>
      <c r="F20" s="16"/>
      <c r="G20" s="18">
        <v>73341.0</v>
      </c>
      <c r="H20" s="19" t="str">
        <f>IFERROR(__xludf.DUMMYFUNCTION("LOWER(REGEXREPLACE(B20&amp;"" ""&amp;C20,""[^а-яa-z0-9 ]"","" ""))")," тенка для игрушек   омик  1185 350 1200 ")</f>
        <v> тенка для игрушек   омик  1185 350 1200 </v>
      </c>
    </row>
    <row r="21">
      <c r="A21" s="20" t="s">
        <v>45</v>
      </c>
      <c r="B21" s="15" t="s">
        <v>46</v>
      </c>
      <c r="C21" s="15"/>
      <c r="D21" s="21" t="s">
        <v>14</v>
      </c>
      <c r="E21" s="17"/>
      <c r="F21" s="16"/>
      <c r="G21" s="18">
        <v>71676.0</v>
      </c>
      <c r="H21" s="19" t="str">
        <f>IFERROR(__xludf.DUMMYFUNCTION("LOWER(REGEXREPLACE(B21&amp;"" ""&amp;C21,""[^а-яa-z0-9 ]"","" ""))")," тенка для игрушек   ухня  1200 400 1100 ")</f>
        <v> тенка для игрушек   ухня  1200 400 1100 </v>
      </c>
    </row>
    <row r="22">
      <c r="A22" s="20" t="s">
        <v>47</v>
      </c>
      <c r="B22" s="15" t="s">
        <v>48</v>
      </c>
      <c r="C22" s="15" t="s">
        <v>49</v>
      </c>
      <c r="D22" s="21" t="s">
        <v>14</v>
      </c>
      <c r="E22" s="23">
        <v>2.0</v>
      </c>
      <c r="F22" s="24">
        <v>62.0</v>
      </c>
      <c r="G22" s="18">
        <v>227221.0</v>
      </c>
      <c r="H22" s="19" t="str">
        <f>IFERROR(__xludf.DUMMYFUNCTION("LOWER(REGEXREPLACE(B22&amp;"" ""&amp;C22,""[^а-яa-z0-9 ]"","" ""))"),"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пласт"&amp;"иковых элементов   ручка 128 мм   без острых углов   навес мебельный типа       ножка мебельная   асады цветные      ")</f>
        <v>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3">
      <c r="A23" s="20" t="s">
        <v>50</v>
      </c>
      <c r="B23" s="15" t="s">
        <v>51</v>
      </c>
      <c r="C23" s="15" t="s">
        <v>52</v>
      </c>
      <c r="D23" s="21" t="s">
        <v>14</v>
      </c>
      <c r="E23" s="23">
        <v>2.0</v>
      </c>
      <c r="F23" s="24">
        <v>65.0</v>
      </c>
      <c r="G23" s="18">
        <v>147196.0</v>
      </c>
      <c r="H23" s="19" t="str">
        <f>IFERROR(__xludf.DUMMYFUNCTION("LOWER(REGEXREPLACE(B23&amp;"" ""&amp;C23,""[^а-яa-z0-9 ]"","" ""))"),"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ти"&amp;"па       полкодержатель металлический  без пластиковых элементов   ручка 128 мм   без острых углов   навес мебельный типа       ножка мебельная   асады цветные      ")</f>
        <v>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4">
      <c r="A24" s="20" t="s">
        <v>53</v>
      </c>
      <c r="B24" s="15" t="s">
        <v>54</v>
      </c>
      <c r="C24" s="15" t="s">
        <v>55</v>
      </c>
      <c r="D24" s="21" t="s">
        <v>14</v>
      </c>
      <c r="E24" s="23">
        <v>2.0</v>
      </c>
      <c r="F24" s="24">
        <v>64.0</v>
      </c>
      <c r="G24" s="18">
        <v>248542.0</v>
      </c>
      <c r="H24" s="19" t="str">
        <f>IFERROR(__xludf.DUMMYFUNCTION("LOWER(REGEXREPLACE(B24&amp;"" ""&amp;C24,""[^а-яa-z0-9 ]"","" ""))"),"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"&amp;"  полкодержатель металлический  без пластиковых элементов   ручка 128 мм   без острых углов   навес мебельный типа       ножка мебельная ")</f>
        <v>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v>
      </c>
    </row>
    <row r="25">
      <c r="A25" s="20" t="s">
        <v>56</v>
      </c>
      <c r="B25" s="15" t="s">
        <v>57</v>
      </c>
      <c r="C25" s="15" t="s">
        <v>58</v>
      </c>
      <c r="D25" s="21" t="s">
        <v>14</v>
      </c>
      <c r="E25" s="23">
        <v>2.0</v>
      </c>
      <c r="F25" s="24">
        <v>144.0</v>
      </c>
      <c r="G25" s="18">
        <v>298493.0</v>
      </c>
      <c r="H25" s="19" t="str">
        <f>IFERROR(__xludf.DUMMYFUNCTION("LOWER(REGEXREPLACE(B25&amp;"" ""&amp;C25,""[^а-яa-z0-9 ]"","" ""))"),"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м"&amp;"м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"&amp;"конфирматов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f>
        <v>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26">
      <c r="A26" s="20" t="s">
        <v>59</v>
      </c>
      <c r="B26" s="26" t="s">
        <v>60</v>
      </c>
      <c r="C26" s="15" t="s">
        <v>61</v>
      </c>
      <c r="D26" s="21" t="s">
        <v>14</v>
      </c>
      <c r="E26" s="23">
        <v>2.0</v>
      </c>
      <c r="F26" s="24">
        <v>69.0</v>
      </c>
      <c r="G26" s="18">
        <v>83634.0</v>
      </c>
      <c r="H26" s="19" t="str">
        <f>IFERROR(__xludf.DUMMYFUNCTION("LOWER(REGEXREPLACE(B26&amp;"" ""&amp;C26,""[^а-яa-z0-9 ]"","" ""))"),"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"&amp;"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радиусо"&amp;"м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f>
        <v>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v>
      </c>
    </row>
    <row r="27">
      <c r="A27" s="20" t="s">
        <v>62</v>
      </c>
      <c r="B27" s="15" t="s">
        <v>63</v>
      </c>
      <c r="C27" s="15" t="s">
        <v>64</v>
      </c>
      <c r="D27" s="21" t="s">
        <v>14</v>
      </c>
      <c r="E27" s="23">
        <v>2.0</v>
      </c>
      <c r="F27" s="24">
        <v>63.0</v>
      </c>
      <c r="G27" s="18">
        <v>87723.0</v>
      </c>
      <c r="H27" s="19" t="str">
        <f>IFERROR(__xludf.DUMMYFUNCTION("LOWER(REGEXREPLACE(B27&amp;"" ""&amp;C27,""[^а-яa-z0-9 ]"","" ""))"),"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ме"&amp;"нее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f>
        <v>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v>
      </c>
    </row>
    <row r="28">
      <c r="A28" s="20" t="s">
        <v>65</v>
      </c>
      <c r="B28" s="15" t="s">
        <v>66</v>
      </c>
      <c r="C28" s="15" t="s">
        <v>67</v>
      </c>
      <c r="D28" s="21" t="s">
        <v>68</v>
      </c>
      <c r="E28" s="23">
        <v>2.0</v>
      </c>
      <c r="F28" s="24">
        <v>55.0</v>
      </c>
      <c r="G28" s="18">
        <v>289784.0</v>
      </c>
      <c r="H28" s="19" t="str">
        <f>IFERROR(__xludf.DUMMYFUNCTION("LOWER(REGEXREPLACE(B28&amp;"" ""&amp;C28,""[^а-яa-z0-9 ]"","" ""))")," ебель для игрушек  ебель для игрушек   остоит из стеллажей с пластиковыми лотками  изготовлены из       задняя стенка      размеры 520 930 1340 930 520 2300 350мм ")</f>
        <v> ебель для игрушек  ебель для игрушек   остоит из стеллажей с пластиковыми лотками  изготовлены из       задняя стенка      размеры 520 930 1340 930 520 2300 350мм </v>
      </c>
    </row>
    <row r="29">
      <c r="A29" s="20" t="s">
        <v>69</v>
      </c>
      <c r="B29" s="15" t="s">
        <v>70</v>
      </c>
      <c r="C29" s="15"/>
      <c r="D29" s="21" t="s">
        <v>14</v>
      </c>
      <c r="E29" s="17"/>
      <c r="F29" s="16"/>
      <c r="G29" s="18"/>
      <c r="H29" s="19" t="str">
        <f>IFERROR(__xludf.DUMMYFUNCTION("LOWER(REGEXREPLACE(B29&amp;"" ""&amp;C29,""[^а-яa-z0-9 ]"","" ""))")," теллаж для игрушек и пособий ")</f>
        <v> теллаж для игрушек и пособий </v>
      </c>
    </row>
    <row r="30">
      <c r="A30" s="20" t="s">
        <v>71</v>
      </c>
      <c r="B30" s="26" t="s">
        <v>72</v>
      </c>
      <c r="C30" s="15" t="s">
        <v>73</v>
      </c>
      <c r="D30" s="21" t="s">
        <v>14</v>
      </c>
      <c r="E30" s="23">
        <v>2.0</v>
      </c>
      <c r="F30" s="24">
        <v>80.0</v>
      </c>
      <c r="G30" s="18">
        <v>111103.0</v>
      </c>
      <c r="H30" s="19" t="str">
        <f>IFERROR(__xludf.DUMMYFUNCTION("LOWER(REGEXREPLACE(B30&amp;"" ""&amp;C30,""[^а-яa-z0-9 ]"","" ""))")," каф стеллаж для игрушек и пособий       16 мм  размеры 2572х425х1230мм  каф стеллаж для игрушек и пособий       16 мм  ножки регулируемые   азмеры 2572х425х1230мм")</f>
        <v> каф стеллаж для игрушек и пособий       16 мм  размеры 2572х425х1230мм  каф стеллаж для игрушек и пособий       16 мм  ножки регулируемые   азмеры 2572х425х1230мм</v>
      </c>
    </row>
    <row r="31">
      <c r="A31" s="20" t="s">
        <v>74</v>
      </c>
      <c r="B31" s="15" t="s">
        <v>75</v>
      </c>
      <c r="C31" s="15"/>
      <c r="D31" s="16"/>
      <c r="E31" s="17"/>
      <c r="F31" s="16"/>
      <c r="G31" s="18"/>
      <c r="H31" s="19" t="str">
        <f>IFERROR(__xludf.DUMMYFUNCTION("LOWER(REGEXREPLACE(B31&amp;"" ""&amp;C31,""[^а-яa-z0-9 ]"","" ""))")," редства обучения технические ")</f>
        <v> редства обучения технические </v>
      </c>
    </row>
    <row r="32">
      <c r="A32" s="20" t="s">
        <v>76</v>
      </c>
      <c r="B32" s="26" t="s">
        <v>77</v>
      </c>
      <c r="C32" s="15"/>
      <c r="D32" s="16"/>
      <c r="E32" s="17"/>
      <c r="F32" s="16"/>
      <c r="G32" s="18"/>
      <c r="H32" s="19" t="str">
        <f>IFERROR(__xludf.DUMMYFUNCTION("LOWER(REGEXREPLACE(B32&amp;"" ""&amp;C32,""[^а-яa-z0-9 ]"","" ""))"),"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f>
        <v>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v>
      </c>
    </row>
    <row r="33">
      <c r="A33" s="20" t="s">
        <v>78</v>
      </c>
      <c r="B33" s="15" t="s">
        <v>79</v>
      </c>
      <c r="C33" s="15"/>
      <c r="D33" s="21" t="s">
        <v>14</v>
      </c>
      <c r="E33" s="17"/>
      <c r="F33" s="16"/>
      <c r="G33" s="18">
        <v>446339.0</v>
      </c>
      <c r="H33" s="19" t="str">
        <f>IFERROR(__xludf.DUMMYFUNCTION("LOWER(REGEXREPLACE(B33&amp;"" ""&amp;C33,""[^а-яa-z0-9 ]"","" ""))")," ерсональный компьютер  cer  spire    1660           005  ")</f>
        <v> ерсональный компьютер  cer  spire    1660           005  </v>
      </c>
    </row>
    <row r="34">
      <c r="A34" s="20" t="s">
        <v>80</v>
      </c>
      <c r="B34" s="15" t="s">
        <v>81</v>
      </c>
      <c r="C34" s="15"/>
      <c r="D34" s="21" t="s">
        <v>14</v>
      </c>
      <c r="E34" s="17"/>
      <c r="F34" s="16"/>
      <c r="G34" s="18">
        <v>90474.0</v>
      </c>
      <c r="H34" s="19" t="str">
        <f>IFERROR(__xludf.DUMMYFUNCTION("LOWER(REGEXREPLACE(B34&amp;"" ""&amp;C34,""[^а-яa-z0-9 ]"","" ""))")," атеринская плата    ock  470          1200 ")</f>
        <v> атеринская плата    ock  470          1200 </v>
      </c>
    </row>
    <row r="35">
      <c r="A35" s="20" t="s">
        <v>82</v>
      </c>
      <c r="B35" s="15" t="s">
        <v>83</v>
      </c>
      <c r="C35" s="15"/>
      <c r="D35" s="21" t="s">
        <v>14</v>
      </c>
      <c r="E35" s="17"/>
      <c r="F35" s="16"/>
      <c r="G35" s="18">
        <v>232054.0</v>
      </c>
      <c r="H35" s="19" t="str">
        <f>IFERROR(__xludf.DUMMYFUNCTION("LOWER(REGEXREPLACE(B35&amp;"" ""&amp;C35,""[^а-яa-z0-9 ]"","" ""))")," истемный блок  cer  eriton  4670   i3 10100  8        128             ")</f>
        <v> истемный блок  cer  eriton  4670   i3 10100  8        128             </v>
      </c>
    </row>
    <row r="36">
      <c r="A36" s="20" t="s">
        <v>84</v>
      </c>
      <c r="B36" s="26" t="s">
        <v>85</v>
      </c>
      <c r="C36" s="15"/>
      <c r="D36" s="21" t="s">
        <v>14</v>
      </c>
      <c r="E36" s="17"/>
      <c r="F36" s="16"/>
      <c r="G36" s="18">
        <v>379597.0</v>
      </c>
      <c r="H36" s="19" t="str">
        <f>IFERROR(__xludf.DUMMYFUNCTION("LOWER(REGEXREPLACE(B36&amp;"" ""&amp;C36,""[^а-яa-z0-9 ]"","" ""))")," истемный блок  cer  spire    1660   ore i3 10105 3 7  z 8 b 1 b    256 b        1650  4 b          ")</f>
        <v> истемный блок  cer  spire    1660   ore i3 10105 3 7  z 8 b 1 b    256 b        1650  4 b          </v>
      </c>
    </row>
    <row r="37">
      <c r="A37" s="20" t="s">
        <v>86</v>
      </c>
      <c r="B37" s="26" t="s">
        <v>87</v>
      </c>
      <c r="C37" s="15"/>
      <c r="D37" s="21" t="s">
        <v>14</v>
      </c>
      <c r="E37" s="17"/>
      <c r="F37" s="16"/>
      <c r="G37" s="18">
        <v>598125.0</v>
      </c>
      <c r="H37" s="19" t="str">
        <f>IFERROR(__xludf.DUMMYFUNCTION("LOWER(REGEXREPLACE(B37&amp;"" ""&amp;C37,""[^а-яa-z0-9 ]"","" ""))")," истемный блок     avilion  aming   01 2087ur  60 91          yzen 5 5600  3 9  z 16 b 512 b      6600   8  b     ")</f>
        <v> истемный блок     avilion  aming   01 2087ur  60 91          yzen 5 5600  3 9  z 16 b 512 b      6600   8  b     </v>
      </c>
    </row>
    <row r="38">
      <c r="A38" s="20" t="s">
        <v>88</v>
      </c>
      <c r="B38" s="26" t="s">
        <v>89</v>
      </c>
      <c r="C38" s="15"/>
      <c r="D38" s="21" t="s">
        <v>14</v>
      </c>
      <c r="E38" s="17"/>
      <c r="F38" s="16"/>
      <c r="G38" s="22">
        <v>598125.0</v>
      </c>
      <c r="H38" s="19" t="str">
        <f>IFERROR(__xludf.DUMMYFUNCTION("LOWER(REGEXREPLACE(B38&amp;"" ""&amp;C38,""[^а-яa-z0-9 ]"","" ""))")," истемный блок     avilion   01 2037ur  60 92      yzen 7 5700  3 8  z 16 b 256 b           3060 12 b           ")</f>
        <v> истемный блок     avilion   01 2037ur  60 92      yzen 7 5700  3 8  z 16 b 256 b           3060 12 b           </v>
      </c>
    </row>
    <row r="39">
      <c r="A39" s="20" t="s">
        <v>90</v>
      </c>
      <c r="B39" s="15" t="s">
        <v>91</v>
      </c>
      <c r="C39" s="15"/>
      <c r="D39" s="21" t="s">
        <v>14</v>
      </c>
      <c r="E39" s="17"/>
      <c r="F39" s="16"/>
      <c r="G39" s="18">
        <v>406718.0</v>
      </c>
      <c r="H39" s="19" t="str">
        <f>IFERROR(__xludf.DUMMYFUNCTION("LOWER(REGEXREPLACE(B39&amp;"" ""&amp;C39,""[^а-яa-z0-9 ]"","" ""))")," истемный блок  enovo  dea entre  5   ore i5 11400  2 6 z 16 b 512           1660   6 b                ")</f>
        <v> истемный блок  enovo  dea entre  5   ore i5 11400  2 6 z 16 b 512           1660   6 b                </v>
      </c>
    </row>
    <row r="40">
      <c r="A40" s="20" t="s">
        <v>92</v>
      </c>
      <c r="B40" s="15" t="s">
        <v>93</v>
      </c>
      <c r="C40" s="15"/>
      <c r="D40" s="21" t="s">
        <v>14</v>
      </c>
      <c r="E40" s="17"/>
      <c r="F40" s="16"/>
      <c r="G40" s="18">
        <v>374911.0</v>
      </c>
      <c r="H40" s="19" t="str">
        <f>IFERROR(__xludf.DUMMYFUNCTION("LOWER(REGEXREPLACE(B40&amp;"" ""&amp;C40,""[^а-яa-z0-9 ]"","" ""))")," истемный блок  enovo  dea entre  5   ore i5 11400  2 6 z 8 b 512 b          1650   4 b                ")</f>
        <v> истемный блок  enovo  dea entre  5   ore i5 11400  2 6 z 8 b 512 b          1650   4 b                </v>
      </c>
    </row>
    <row r="41">
      <c r="A41" s="20" t="s">
        <v>94</v>
      </c>
      <c r="B41" s="26" t="s">
        <v>95</v>
      </c>
      <c r="C41" s="15"/>
      <c r="D41" s="21" t="s">
        <v>14</v>
      </c>
      <c r="E41" s="17"/>
      <c r="F41" s="16"/>
      <c r="G41" s="18">
        <v>9031.0</v>
      </c>
      <c r="H41" s="19" t="str">
        <f>IFERROR(__xludf.DUMMYFUNCTION("LOWER(REGEXREPLACE(B41&amp;"" ""&amp;C41,""[^а-яa-z0-9 ]"","" ""))")," лавиатура  4 ech 3000     85  3 200     lack   ireless   ultimed   ouse  ireless 1000dpi       мышь ")</f>
        <v> лавиатура  4 ech 3000     85  3 200     lack   ireless   ultimed   ouse  ireless 1000dpi       мышь </v>
      </c>
    </row>
    <row r="42">
      <c r="A42" s="20" t="s">
        <v>96</v>
      </c>
      <c r="B42" s="15" t="s">
        <v>97</v>
      </c>
      <c r="C42" s="15"/>
      <c r="D42" s="21" t="s">
        <v>14</v>
      </c>
      <c r="E42" s="17"/>
      <c r="F42" s="16"/>
      <c r="G42" s="18">
        <v>7134.0</v>
      </c>
      <c r="H42" s="19" t="str">
        <f>IFERROR(__xludf.DUMMYFUNCTION("LOWER(REGEXREPLACE(B42&amp;"" ""&amp;C42,""[^а-яa-z0-9 ]"","" ""))")," лавиатура  efender  nnihilator    013   lack  rey   ired   aming   ultimedia      backlight      ")</f>
        <v> лавиатура  efender  nnihilator    013   lack  rey   ired   aming   ultimedia      backlight      </v>
      </c>
    </row>
    <row r="43">
      <c r="A43" s="20" t="s">
        <v>98</v>
      </c>
      <c r="B43" s="15" t="s">
        <v>99</v>
      </c>
      <c r="C43" s="15"/>
      <c r="D43" s="21" t="s">
        <v>14</v>
      </c>
      <c r="E43" s="17"/>
      <c r="F43" s="16"/>
      <c r="G43" s="18">
        <v>4059.0</v>
      </c>
      <c r="H43" s="19" t="str">
        <f>IFERROR(__xludf.DUMMYFUNCTION("LOWER(REGEXREPLACE(B43&amp;"" ""&amp;C43,""[^а-яa-z0-9 ]"","" ""))")," лавиатура  elux     150     ireless   lack  1x    ")</f>
        <v> лавиатура  elux     150     ireless   lack  1x    </v>
      </c>
    </row>
    <row r="44">
      <c r="A44" s="20" t="s">
        <v>100</v>
      </c>
      <c r="B44" s="26" t="s">
        <v>101</v>
      </c>
      <c r="C44" s="15"/>
      <c r="D44" s="21" t="s">
        <v>14</v>
      </c>
      <c r="E44" s="17"/>
      <c r="F44" s="16"/>
      <c r="G44" s="18">
        <v>6319.0</v>
      </c>
      <c r="H44" s="19" t="str">
        <f>IFERROR(__xludf.DUMMYFUNCTION("LOWER(REGEXREPLACE(B44&amp;"" ""&amp;C44,""[^а-яa-z0-9 ]"","" ""))")," лавиатура  enius    125   lack        мышь    120 ")</f>
        <v> лавиатура  enius    125   lack        мышь    120 </v>
      </c>
    </row>
    <row r="45">
      <c r="A45" s="20" t="s">
        <v>102</v>
      </c>
      <c r="B45" s="15" t="s">
        <v>103</v>
      </c>
      <c r="C45" s="15"/>
      <c r="D45" s="21" t="s">
        <v>14</v>
      </c>
      <c r="E45" s="17"/>
      <c r="F45" s="16"/>
      <c r="G45" s="18">
        <v>12938.0</v>
      </c>
      <c r="H45" s="19" t="str">
        <f>IFERROR(__xludf.DUMMYFUNCTION("LOWER(REGEXREPLACE(B45&amp;"" ""&amp;C45,""[^а-яa-z0-9 ]"","" ""))")," лавиатура  ogitech  230   ireless   lack       2 х     ")</f>
        <v> лавиатура  ogitech  230   ireless   lack       2 х     </v>
      </c>
    </row>
    <row r="46">
      <c r="A46" s="20" t="s">
        <v>104</v>
      </c>
      <c r="B46" s="15" t="s">
        <v>105</v>
      </c>
      <c r="C46" s="15"/>
      <c r="D46" s="21" t="s">
        <v>14</v>
      </c>
      <c r="E46" s="17"/>
      <c r="F46" s="16"/>
      <c r="G46" s="18">
        <v>2223.0</v>
      </c>
      <c r="H46" s="19" t="str">
        <f>IFERROR(__xludf.DUMMYFUNCTION("LOWER(REGEXREPLACE(B46&amp;"" ""&amp;C46,""[^а-яa-z0-9 ]"","" ""))")," ышь 2    110   hite   ired   ptical  3200dpi      ")</f>
        <v> ышь 2    110   hite   ired   ptical  3200dpi      </v>
      </c>
    </row>
    <row r="47">
      <c r="A47" s="20" t="s">
        <v>106</v>
      </c>
      <c r="B47" s="15" t="s">
        <v>107</v>
      </c>
      <c r="C47" s="15"/>
      <c r="D47" s="21" t="s">
        <v>14</v>
      </c>
      <c r="E47" s="17"/>
      <c r="F47" s="16"/>
      <c r="G47" s="18">
        <v>7134.0</v>
      </c>
      <c r="H47" s="19" t="str">
        <f>IFERROR(__xludf.DUMMYFUNCTION("LOWER(REGEXREPLACE(B47&amp;"" ""&amp;C47,""[^а-яa-z0-9 ]"","" ""))")," ышь  4 ech  loody  50   attlefield   ired   aming   ptical  3200dpi   eon backlight      ")</f>
        <v> ышь  4 ech  loody  50   attlefield   ired   aming   ptical  3200dpi   eon backlight      </v>
      </c>
    </row>
    <row r="48">
      <c r="A48" s="20" t="s">
        <v>108</v>
      </c>
      <c r="B48" s="15" t="s">
        <v>109</v>
      </c>
      <c r="C48" s="15"/>
      <c r="D48" s="21" t="s">
        <v>14</v>
      </c>
      <c r="E48" s="17"/>
      <c r="F48" s="16"/>
      <c r="G48" s="18">
        <v>4009.0</v>
      </c>
      <c r="H48" s="19" t="str">
        <f>IFERROR(__xludf.DUMMYFUNCTION("LOWER(REGEXREPLACE(B48&amp;"" ""&amp;C48,""[^а-яa-z0-9 ]"","" ""))")," ышь  anyon  clector    3   lack   ired   aming   ptical  3200dpi      backlight      ")</f>
        <v> ышь  anyon  clector    3   lack   ired   aming   ptical  3200dpi      backlight      </v>
      </c>
    </row>
    <row r="49">
      <c r="A49" s="20" t="s">
        <v>110</v>
      </c>
      <c r="B49" s="15" t="s">
        <v>111</v>
      </c>
      <c r="C49" s="15"/>
      <c r="D49" s="21" t="s">
        <v>14</v>
      </c>
      <c r="E49" s="17"/>
      <c r="F49" s="16"/>
      <c r="G49" s="18">
        <v>4545.0</v>
      </c>
      <c r="H49" s="19" t="str">
        <f>IFERROR(__xludf.DUMMYFUNCTION("LOWER(REGEXREPLACE(B49&amp;"" ""&amp;C49,""[^а-яa-z0-9 ]"","" ""))")," ышь  efender  illem  ll    480    lack   ired   aming   ptical  3200dpi   acklight      ")</f>
        <v> ышь  efender  illem  ll    480    lack   ired   aming   ptical  3200dpi   acklight      </v>
      </c>
    </row>
    <row r="50">
      <c r="A50" s="20" t="s">
        <v>112</v>
      </c>
      <c r="B50" s="15" t="s">
        <v>113</v>
      </c>
      <c r="C50" s="15"/>
      <c r="D50" s="21" t="s">
        <v>14</v>
      </c>
      <c r="E50" s="17"/>
      <c r="F50" s="16"/>
      <c r="G50" s="18">
        <v>4902.0</v>
      </c>
      <c r="H50" s="19" t="str">
        <f>IFERROR(__xludf.DUMMYFUNCTION("LOWER(REGEXREPLACE(B50&amp;"" ""&amp;C50,""[^а-яa-z0-9 ]"","" ""))")," ышь  enius    7005   lack   ireless   ptical  1600dpi  1 x         ")</f>
        <v> ышь  enius    7005   lack   ireless   ptical  1600dpi  1 x         </v>
      </c>
    </row>
    <row r="51">
      <c r="A51" s="20" t="s">
        <v>114</v>
      </c>
      <c r="B51" s="15" t="s">
        <v>115</v>
      </c>
      <c r="C51" s="15"/>
      <c r="D51" s="21" t="s">
        <v>14</v>
      </c>
      <c r="E51" s="17"/>
      <c r="F51" s="16"/>
      <c r="G51" s="18">
        <v>7580.0</v>
      </c>
      <c r="H51" s="19" t="str">
        <f>IFERROR(__xludf.DUMMYFUNCTION("LOWER(REGEXREPLACE(B51&amp;"" ""&amp;C51,""[^а-яa-z0-9 ]"","" ""))")," ышь  ogitech  110  ilent   lue   ired   ptical  1000dpi      ")</f>
        <v> ышь  ogitech  110  ilent   lue   ired   ptical  1000dpi      </v>
      </c>
    </row>
    <row r="52">
      <c r="A52" s="20" t="s">
        <v>116</v>
      </c>
      <c r="B52" s="15" t="s">
        <v>117</v>
      </c>
      <c r="C52" s="15"/>
      <c r="D52" s="21" t="s">
        <v>14</v>
      </c>
      <c r="E52" s="17"/>
      <c r="F52" s="16"/>
      <c r="G52" s="18">
        <v>12411.0</v>
      </c>
      <c r="H52" s="19" t="str">
        <f>IFERROR(__xludf.DUMMYFUNCTION("LOWER(REGEXREPLACE(B52&amp;"" ""&amp;C52,""[^а-яa-z0-9 ]"","" ""))")," олонки  ccesstyle  umpkin      1 0     lack  5 т      90 z 20k z       luetooth  backlight ")</f>
        <v> олонки  ccesstyle  umpkin      1 0     lack  5 т      90 z 20k z       luetooth  backlight </v>
      </c>
    </row>
    <row r="53">
      <c r="A53" s="20" t="s">
        <v>118</v>
      </c>
      <c r="B53" s="15" t="s">
        <v>119</v>
      </c>
      <c r="C53" s="15"/>
      <c r="D53" s="21" t="s">
        <v>14</v>
      </c>
      <c r="E53" s="17"/>
      <c r="F53" s="16"/>
      <c r="G53" s="18">
        <v>30268.0</v>
      </c>
      <c r="H53" s="19" t="str">
        <f>IFERROR(__xludf.DUMMYFUNCTION("LOWER(REGEXREPLACE(B53&amp;"" ""&amp;C53,""[^а-яa-z0-9 ]"","" ""))")," олонки  efender  clipse  2 1     lack  40 т  2х10 20       40 z 20k z                 3      ")</f>
        <v> олонки  efender  clipse  2 1     lack  40 т  2х10 20       40 z 20k z                 3      </v>
      </c>
    </row>
    <row r="54">
      <c r="A54" s="20" t="s">
        <v>120</v>
      </c>
      <c r="B54" s="26" t="s">
        <v>121</v>
      </c>
      <c r="C54" s="15"/>
      <c r="D54" s="21" t="s">
        <v>14</v>
      </c>
      <c r="E54" s="17"/>
      <c r="F54" s="16"/>
      <c r="G54" s="18">
        <v>49018.0</v>
      </c>
      <c r="H54" s="19" t="str">
        <f>IFERROR(__xludf.DUMMYFUNCTION("LOWER(REGEXREPLACE(B54&amp;"" ""&amp;C54,""[^а-яa-z0-9 ]"","" ""))")," олонки  efender  age  2 0     lack  50 т      45 z 22k z            micro         luetooth ")</f>
        <v> олонки  efender  age  2 0     lack  50 т      45 z 22k z            micro         luetooth </v>
      </c>
    </row>
    <row r="55">
      <c r="A55" s="20" t="s">
        <v>122</v>
      </c>
      <c r="B55" s="26" t="s">
        <v>123</v>
      </c>
      <c r="C55" s="15"/>
      <c r="D55" s="21" t="s">
        <v>14</v>
      </c>
      <c r="E55" s="17"/>
      <c r="F55" s="16"/>
      <c r="G55" s="18">
        <v>53482.0</v>
      </c>
      <c r="H55" s="19" t="str">
        <f>IFERROR(__xludf.DUMMYFUNCTION("LOWER(REGEXREPLACE(B55&amp;"" ""&amp;C55,""[^а-яa-z0-9 ]"","" ""))")," олонки  icrolab      one 530   2 1     ood  64 т 2х18 28      35 z 20k z              wireless    ")</f>
        <v> олонки  icrolab      one 530   2 1     ood  64 т 2х18 28      35 z 20k z              wireless    </v>
      </c>
    </row>
    <row r="56">
      <c r="A56" s="20" t="s">
        <v>124</v>
      </c>
      <c r="B56" s="15" t="s">
        <v>125</v>
      </c>
      <c r="C56" s="15"/>
      <c r="D56" s="21" t="s">
        <v>14</v>
      </c>
      <c r="E56" s="17"/>
      <c r="F56" s="16"/>
      <c r="G56" s="18">
        <v>23830.0</v>
      </c>
      <c r="H56" s="19" t="str">
        <f>IFERROR(__xludf.DUMMYFUNCTION("LOWER(REGEXREPLACE(B56&amp;"" ""&amp;C56,""[^а-яa-z0-9 ]"","" ""))")," сточник бесперебойного питания          600        600    360   1x12  7 5 h      138 292   2 розет   1x     13   lack ")</f>
        <v> сточник бесперебойного питания          600        600    360   1x12  7 5 h      138 292   2 розет   1x     13   lack </v>
      </c>
    </row>
    <row r="57">
      <c r="A57" s="20" t="s">
        <v>126</v>
      </c>
      <c r="B57" s="15" t="s">
        <v>127</v>
      </c>
      <c r="C57" s="15"/>
      <c r="D57" s="21" t="s">
        <v>14</v>
      </c>
      <c r="E57" s="17"/>
      <c r="F57" s="16"/>
      <c r="G57" s="18">
        <v>47232.0</v>
      </c>
      <c r="H57" s="19" t="str">
        <f>IFERROR(__xludf.DUMMYFUNCTION("LOWER(REGEXREPLACE(B57&amp;"" ""&amp;C57,""[^а-яa-z0-9 ]"","" ""))")," сточник бесперебойного питания          1200        1200    720   2x12  7  h      145 290   3 розет  ")</f>
        <v> сточник бесперебойного питания          1200        1200    720   2x12  7  h      145 290   3 розет  </v>
      </c>
    </row>
    <row r="58">
      <c r="A58" s="20" t="s">
        <v>128</v>
      </c>
      <c r="B58" s="26" t="s">
        <v>129</v>
      </c>
      <c r="C58" s="15"/>
      <c r="D58" s="21" t="s">
        <v>14</v>
      </c>
      <c r="E58" s="17"/>
      <c r="F58" s="16"/>
      <c r="G58" s="18">
        <v>53563.0</v>
      </c>
      <c r="H58" s="19" t="str">
        <f>IFERROR(__xludf.DUMMYFUNCTION("LOWER(REGEXREPLACE(B58&amp;"" ""&amp;C58,""[^а-яa-z0-9 ]"","" ""))")," сточник бесперебойного питания          1500    1500     900   2x12  9  h      145 290    3 розет  ")</f>
        <v> сточник бесперебойного питания          1500    1500     900   2x12  9  h      145 290    3 розет  </v>
      </c>
    </row>
    <row r="59">
      <c r="A59" s="20" t="s">
        <v>130</v>
      </c>
      <c r="B59" s="26" t="s">
        <v>131</v>
      </c>
      <c r="C59" s="15"/>
      <c r="D59" s="21" t="s">
        <v>14</v>
      </c>
      <c r="E59" s="17"/>
      <c r="F59" s="16"/>
      <c r="G59" s="18">
        <v>71339.0</v>
      </c>
      <c r="H59" s="19" t="str">
        <f>IFERROR(__xludf.DUMMYFUNCTION("LOWER(REGEXREPLACE(B59&amp;"" ""&amp;C59,""[^а-яa-z0-9 ]"","" ""))")," сточник бесперебойного питания          2000    2000    1200   2x12v 9  h      175 275   2 розет  ")</f>
        <v> сточник бесперебойного питания          2000    2000    1200   2x12v 9  h      175 275   2 розет  </v>
      </c>
    </row>
    <row r="60">
      <c r="A60" s="20" t="s">
        <v>132</v>
      </c>
      <c r="B60" s="15" t="s">
        <v>133</v>
      </c>
      <c r="C60" s="15" t="s">
        <v>134</v>
      </c>
      <c r="D60" s="21" t="s">
        <v>68</v>
      </c>
      <c r="E60" s="23">
        <v>1.0</v>
      </c>
      <c r="F60" s="24">
        <v>9.0</v>
      </c>
      <c r="G60" s="18">
        <v>600574.0</v>
      </c>
      <c r="H60" s="19" t="str">
        <f>IFERROR(__xludf.DUMMYFUNCTION("LOWER(REGEXREPLACE(B60&amp;"" ""&amp;C60,""[^а-яa-z0-9 ]"","" ""))"),"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"&amp;"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3"&amp;"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д"&amp;"анных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"&amp;"лока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"&amp;"энергосбережение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га"&amp;"рнитура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подклю"&amp;"чения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f>
        <v>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v>
      </c>
    </row>
    <row r="61">
      <c r="A61" s="20" t="s">
        <v>135</v>
      </c>
      <c r="B61" s="26" t="s">
        <v>136</v>
      </c>
      <c r="C61" s="15" t="s">
        <v>137</v>
      </c>
      <c r="D61" s="21" t="s">
        <v>68</v>
      </c>
      <c r="E61" s="23">
        <v>1.0</v>
      </c>
      <c r="F61" s="27">
        <v>5.31</v>
      </c>
      <c r="G61" s="18">
        <v>481520.0</v>
      </c>
      <c r="H61" s="19" t="str">
        <f>IFERROR(__xludf.DUMMYFUNCTION("LOWER(REGEXREPLACE(B61&amp;"" ""&amp;C61,""[^а-яa-z0-9 ]"","" ""))")," истемный блок     ro  ower 400  9   260     ntel  ore i3 14100 4 70  12    4 cores 65        8    1x8       5 4800        emory   256   2280    e    e  alue  olid  tate  rive    indows 11  ro 64      125      ired  eyboard       lack 125  ired  ouse     "&amp;" 3 year  ext  usiness  ay  nsite  esktop excl   xternal  onitor  ardware  upport    ерсональный компьютер     ro  ower 400  9 260     рограмное обеспечение       indows 11  ro    лавиатура    125      ired     омпьютерная мышь     lack 125  ired    ffice "&amp;"      rofessional  lus 2021    кустическая система  ogitech  150")</f>
        <v> истемный блок     ro  ower 400  9   260     ntel  ore i3 14100 4 70  12    4 cores 65        8    1x8       5 4800        emory   256   2280    e    e  alue  olid  tate  rive    indows 11  ro 64      125      ired  eyboard       lack 125  ired  ouse      3 year  ext  usiness  ay  nsite  esktop excl   xternal  onitor  ardware  upport    ерсональный компьютер     ro  ower 400  9 260     рограмное обеспечение       indows 11  ro    лавиатура    125      ired     омпьютерная мышь     lack 125  ired    ffice       rofessional  lus 2021    кустическая система  ogitech  150</v>
      </c>
    </row>
    <row r="62">
      <c r="A62" s="20" t="s">
        <v>138</v>
      </c>
      <c r="B62" s="26" t="s">
        <v>139</v>
      </c>
      <c r="C62" s="15" t="s">
        <v>140</v>
      </c>
      <c r="D62" s="21" t="s">
        <v>68</v>
      </c>
      <c r="E62" s="23">
        <v>1.0</v>
      </c>
      <c r="F62" s="28">
        <v>9.5</v>
      </c>
      <c r="G62" s="18">
        <v>476360.0</v>
      </c>
      <c r="H62" s="19" t="str">
        <f>IFERROR(__xludf.DUMMYFUNCTION("LOWER(REGEXREPLACE(B62&amp;"" ""&amp;C62,""[^а-яa-z0-9 ]"","" ""))")," enovo  eo 50s  ore  i5 12400  rocessor    cores 2 50   z up to 4 40   z  256          2 2280 4       4 3200  z  монитор  enovo  24 40   омпьютер  enovo  eo 50s   ore  i5 12400  rocessor    cores 2 50   z up to 4 40   z  256          2 2280 4       4 3200"&amp;"  z           онитор  enovo  24 40  23 8     1920x1080 16 9 75  z")</f>
        <v> enovo  eo 50s  ore  i5 12400  rocessor    cores 2 50   z up to 4 40   z  256          2 2280 4       4 3200  z  монитор  enovo  24 40   омпьютер  enovo  eo 50s   ore  i5 12400  rocessor    cores 2 50   z up to 4 40   z  256          2 2280 4       4 3200  z           онитор  enovo  24 40  23 8     1920x1080 16 9 75  z</v>
      </c>
    </row>
    <row r="63">
      <c r="A63" s="20" t="s">
        <v>141</v>
      </c>
      <c r="B63" s="15" t="s">
        <v>142</v>
      </c>
      <c r="C63" s="15"/>
      <c r="D63" s="21" t="s">
        <v>14</v>
      </c>
      <c r="E63" s="17"/>
      <c r="F63" s="28">
        <v>9.5</v>
      </c>
      <c r="G63" s="18">
        <v>4837.0</v>
      </c>
      <c r="H63" s="19" t="str">
        <f>IFERROR(__xludf.DUMMYFUNCTION("LOWER(REGEXREPLACE(B63&amp;"" ""&amp;C63,""[^а-яa-z0-9 ]"","" ""))")," арнитура  enius    400   тип крепления  дуговые  подключение 3 5  ini ack  длина кабеля 1 2 м ")</f>
        <v> арнитура  enius    400   тип крепления  дуговые  подключение 3 5  ini ack  длина кабеля 1 2 м </v>
      </c>
    </row>
    <row r="64">
      <c r="A64" s="20" t="s">
        <v>143</v>
      </c>
      <c r="B64" s="15" t="s">
        <v>144</v>
      </c>
      <c r="C64" s="15"/>
      <c r="D64" s="21" t="s">
        <v>14</v>
      </c>
      <c r="E64" s="17"/>
      <c r="F64" s="27">
        <v>0.39</v>
      </c>
      <c r="G64" s="18">
        <v>4413.0</v>
      </c>
      <c r="H64" s="19" t="str">
        <f>IFERROR(__xludf.DUMMYFUNCTION("LOWER(REGEXREPLACE(B64&amp;"" ""&amp;C64,""[^а-яa-z0-9 ]"","" ""))")," арнитура  apoo  100   тип крепления  дуговые  выходная мощность 50м т  3 5 ini ack  длина кабеля 2 2м ")</f>
        <v> арнитура  apoo  100   тип крепления  дуговые  выходная мощность 50м т  3 5 ini ack  длина кабеля 2 2м </v>
      </c>
    </row>
    <row r="65">
      <c r="A65" s="20" t="s">
        <v>145</v>
      </c>
      <c r="B65" s="15" t="s">
        <v>146</v>
      </c>
      <c r="C65" s="15"/>
      <c r="D65" s="21" t="s">
        <v>14</v>
      </c>
      <c r="E65" s="17"/>
      <c r="F65" s="27">
        <v>0.22</v>
      </c>
      <c r="G65" s="18">
        <v>7589.0</v>
      </c>
      <c r="H65" s="19" t="str">
        <f>IFERROR(__xludf.DUMMYFUNCTION("LOWER(REGEXREPLACE(B65&amp;"" ""&amp;C65,""[^а-яa-z0-9 ]"","" ""))")," арнитура  enius    05   тип крепления  дуговые  подключение 3 5  ini ack ")</f>
        <v> арнитура  enius    05   тип крепления  дуговые  подключение 3 5  ini ack </v>
      </c>
    </row>
    <row r="66">
      <c r="A66" s="20" t="s">
        <v>147</v>
      </c>
      <c r="B66" s="15" t="s">
        <v>148</v>
      </c>
      <c r="C66" s="15"/>
      <c r="D66" s="21" t="s">
        <v>14</v>
      </c>
      <c r="E66" s="17"/>
      <c r="F66" s="27">
        <v>0.43</v>
      </c>
      <c r="G66" s="18">
        <v>2444.0</v>
      </c>
      <c r="H66" s="19" t="str">
        <f>IFERROR(__xludf.DUMMYFUNCTION("LOWER(REGEXREPLACE(B66&amp;"" ""&amp;C66,""[^а-яa-z0-9 ]"","" ""))")," етевой фильтр       4  50   5 м 220 в  4 розетки  5 метров  220 250   10  ")</f>
        <v> етевой фильтр       4  50   5 м 220 в  4 розетки  5 метров  220 250   10  </v>
      </c>
    </row>
    <row r="67">
      <c r="A67" s="20" t="s">
        <v>149</v>
      </c>
      <c r="B67" s="15" t="s">
        <v>150</v>
      </c>
      <c r="C67" s="15"/>
      <c r="D67" s="21" t="s">
        <v>14</v>
      </c>
      <c r="E67" s="17"/>
      <c r="F67" s="24">
        <v>6.0</v>
      </c>
      <c r="G67" s="18">
        <v>520953.0</v>
      </c>
      <c r="H67" s="19" t="str">
        <f>IFERROR(__xludf.DUMMYFUNCTION("LOWER(REGEXREPLACE(B67&amp;"" ""&amp;C67,""[^а-яa-z0-9 ]"","" ""))")," истемный блок       xpert  enter  5    ntel   ore  i3 13100   8 b    4   256  b       1 b        in 11  du          ")</f>
        <v> истемный блок       xpert  enter  5    ntel   ore  i3 13100   8 b    4   256  b       1 b        in 11  du          </v>
      </c>
    </row>
    <row r="68">
      <c r="A68" s="20" t="s">
        <v>151</v>
      </c>
      <c r="B68" s="15" t="s">
        <v>152</v>
      </c>
      <c r="C68" s="15"/>
      <c r="D68" s="21" t="s">
        <v>14</v>
      </c>
      <c r="E68" s="17"/>
      <c r="F68" s="24">
        <v>6.0</v>
      </c>
      <c r="G68" s="18">
        <v>590651.0</v>
      </c>
      <c r="H68" s="19" t="str">
        <f>IFERROR(__xludf.DUMMYFUNCTION("LOWER(REGEXREPLACE(B68&amp;"" ""&amp;C68,""[^а-яa-z0-9 ]"","" ""))")," истемный блок       xpert  enter  5    ntel   ore  i5 13400   8 b    4   256  b       1 b        in 11  du          ")</f>
        <v> истемный блок       xpert  enter  5    ntel   ore  i5 13400   8 b    4   256  b       1 b        in 11  du          </v>
      </c>
    </row>
    <row r="69">
      <c r="A69" s="20" t="s">
        <v>153</v>
      </c>
      <c r="B69" s="15" t="s">
        <v>154</v>
      </c>
      <c r="C69" s="15"/>
      <c r="D69" s="21" t="s">
        <v>14</v>
      </c>
      <c r="E69" s="17"/>
      <c r="F69" s="24">
        <v>6.0</v>
      </c>
      <c r="G69" s="18">
        <v>387307.0</v>
      </c>
      <c r="H69" s="19" t="str">
        <f>IFERROR(__xludf.DUMMYFUNCTION("LOWER(REGEXREPLACE(B69&amp;"" ""&amp;C69,""[^а-яa-z0-9 ]"","" ""))")," истемный блок       xpert  enter  7    ntel   ore  i3 13100   8 b    4   256  b       1 b        in 11  du          ")</f>
        <v> истемный блок       xpert  enter  7    ntel   ore  i3 13100   8 b    4   256  b       1 b        in 11  du          </v>
      </c>
    </row>
    <row r="70">
      <c r="A70" s="20" t="s">
        <v>155</v>
      </c>
      <c r="B70" s="15" t="s">
        <v>156</v>
      </c>
      <c r="C70" s="15"/>
      <c r="D70" s="21" t="s">
        <v>14</v>
      </c>
      <c r="E70" s="17"/>
      <c r="F70" s="24">
        <v>6.0</v>
      </c>
      <c r="G70" s="18">
        <v>531731.0</v>
      </c>
      <c r="H70" s="19" t="str">
        <f>IFERROR(__xludf.DUMMYFUNCTION("LOWER(REGEXREPLACE(B70&amp;"" ""&amp;C70,""[^а-яa-z0-9 ]"","" ""))")," истемный блок       xpert  enter  7    ntel   ore  i5 13400   8 b    4   256  b       1 b        in 11 du          ")</f>
        <v> истемный блок       xpert  enter  7    ntel   ore  i5 13400   8 b    4   256  b       1 b        in 11 du          </v>
      </c>
    </row>
    <row r="71">
      <c r="A71" s="20" t="s">
        <v>157</v>
      </c>
      <c r="B71" s="26" t="s">
        <v>158</v>
      </c>
      <c r="C71" s="15"/>
      <c r="D71" s="21" t="s">
        <v>14</v>
      </c>
      <c r="E71" s="17"/>
      <c r="F71" s="24">
        <v>6.0</v>
      </c>
      <c r="G71" s="18">
        <v>671845.0</v>
      </c>
      <c r="H71" s="19" t="str">
        <f>IFERROR(__xludf.DUMMYFUNCTION("LOWER(REGEXREPLACE(B71&amp;"" ""&amp;C71,""[^а-яa-z0-9 ]"","" ""))")," истемный блок       xpert  enter  5    ntel   ore  i3 12100         3050   8 b    4   256  b       1 b        in 11  du          ")</f>
        <v> истемный блок       xpert  enter  5    ntel   ore  i3 12100         3050   8 b    4   256  b       1 b        in 11  du          </v>
      </c>
    </row>
    <row r="72">
      <c r="A72" s="20" t="s">
        <v>159</v>
      </c>
      <c r="B72" s="26" t="s">
        <v>160</v>
      </c>
      <c r="C72" s="15"/>
      <c r="D72" s="21" t="s">
        <v>14</v>
      </c>
      <c r="E72" s="17"/>
      <c r="F72" s="24">
        <v>6.0</v>
      </c>
      <c r="G72" s="18">
        <v>826328.0</v>
      </c>
      <c r="H72" s="19" t="str">
        <f>IFERROR(__xludf.DUMMYFUNCTION("LOWER(REGEXREPLACE(B72&amp;"" ""&amp;C72,""[^а-яa-z0-9 ]"","" ""))")," истемный блок       xpert  enter  5    ntel   ore  i5 12400         3060   16 b    4   256  b       1 b        in 11  du          ")</f>
        <v> истемный блок       xpert  enter  5    ntel   ore  i5 12400         3060   16 b    4   256  b       1 b        in 11  du          </v>
      </c>
    </row>
    <row r="73">
      <c r="A73" s="20" t="s">
        <v>161</v>
      </c>
      <c r="B73" s="26" t="s">
        <v>162</v>
      </c>
      <c r="C73" s="15"/>
      <c r="D73" s="21" t="s">
        <v>14</v>
      </c>
      <c r="E73" s="17"/>
      <c r="F73" s="24">
        <v>6.0</v>
      </c>
      <c r="G73" s="18">
        <v>1476597.0</v>
      </c>
      <c r="H73" s="19" t="str">
        <f>IFERROR(__xludf.DUMMYFUNCTION("LOWER(REGEXREPLACE(B73&amp;"" ""&amp;C73,""[^а-яa-z0-9 ]"","" ""))")," истемный блок       orkstation   5    ntel   ore  i7 13700         4070   32 b    4   512  b       2 b        in 11  ro          ")</f>
        <v> истемный блок       orkstation   5    ntel   ore  i7 13700         4070   32 b    4   512  b       2 b        in 11  ro          </v>
      </c>
    </row>
    <row r="74">
      <c r="A74" s="20" t="s">
        <v>163</v>
      </c>
      <c r="B74" s="26" t="s">
        <v>164</v>
      </c>
      <c r="C74" s="15"/>
      <c r="D74" s="21" t="s">
        <v>14</v>
      </c>
      <c r="E74" s="23">
        <v>1.0</v>
      </c>
      <c r="F74" s="24">
        <v>5.0</v>
      </c>
      <c r="G74" s="18">
        <v>451843.0</v>
      </c>
      <c r="H74" s="19" t="str">
        <f>IFERROR(__xludf.DUMMYFUNCTION("LOWER(REGEXREPLACE(B74&amp;"" ""&amp;C74,""[^а-яa-z0-9 ]"","" ""))")," истемный блок  cer  eriton  2720    истемный блок  eriton  2720   клавиатура  мышь   конфигурация компьютера  процессор i5 13400      16      4  диск 512            in11 ro du  и  cer  lassroom  anager  ")</f>
        <v> истемный блок  cer  eriton  2720    истемный блок  eriton  2720   клавиатура  мышь   конфигурация компьютера  процессор i5 13400      16      4  диск 512            in11 ro du  и  cer  lassroom  anager  </v>
      </c>
    </row>
    <row r="75">
      <c r="A75" s="20" t="s">
        <v>165</v>
      </c>
      <c r="B75" s="15" t="s">
        <v>166</v>
      </c>
      <c r="C75" s="15"/>
      <c r="D75" s="21" t="s">
        <v>14</v>
      </c>
      <c r="E75" s="23">
        <v>1.0</v>
      </c>
      <c r="F75" s="28">
        <v>4.7</v>
      </c>
      <c r="G75" s="18">
        <v>451842.0</v>
      </c>
      <c r="H75" s="19" t="str">
        <f>IFERROR(__xludf.DUMMYFUNCTION("LOWER(REGEXREPLACE(B75&amp;"" ""&amp;C75,""[^а-яa-z0-9 ]"","" ""))")," истемный блок  cer  eriton  2720    истемный блок  eriton  2720   клавиатура  мышь  конфигурация компьютера  процессор i5 13400      16      4  диск 512            in11 ro du  и  cer  lassroom  anager ")</f>
        <v> истемный блок  cer  eriton  2720    истемный блок  eriton  2720   клавиатура  мышь  конфигурация компьютера  процессор i5 13400      16      4  диск 512            in11 ro du  и  cer  lassroom  anager </v>
      </c>
    </row>
    <row r="76">
      <c r="A76" s="20" t="s">
        <v>167</v>
      </c>
      <c r="B76" s="26" t="s">
        <v>168</v>
      </c>
      <c r="C76" s="15"/>
      <c r="D76" s="21" t="s">
        <v>14</v>
      </c>
      <c r="E76" s="23">
        <v>1.0</v>
      </c>
      <c r="F76" s="24">
        <v>5.0</v>
      </c>
      <c r="G76" s="18">
        <v>612414.0</v>
      </c>
      <c r="H76" s="19" t="str">
        <f>IFERROR(__xludf.DUMMYFUNCTION("LOWER(REGEXREPLACE(B76&amp;"" ""&amp;C76,""[^а-яa-z0-9 ]"","" ""))")," ортативный компьютер  cer  eriton  4690   ore i3 12100 8гб 256 гб       онитор  ero  247 23 8         in11  ro 64 с клавиатурой и сенсорной мышкой ")</f>
        <v> ортативный компьютер  cer  eriton  4690   ore i3 12100 8гб 256 гб       онитор  ero  247 23 8         in11  ro 64 с клавиатурой и сенсорной мышкой </v>
      </c>
    </row>
    <row r="77">
      <c r="A77" s="20" t="s">
        <v>169</v>
      </c>
      <c r="B77" s="26" t="s">
        <v>170</v>
      </c>
      <c r="C77" s="15"/>
      <c r="D77" s="21" t="s">
        <v>14</v>
      </c>
      <c r="E77" s="23">
        <v>1.0</v>
      </c>
      <c r="F77" s="27">
        <v>6.83</v>
      </c>
      <c r="G77" s="18">
        <v>534648.0</v>
      </c>
      <c r="H77" s="19" t="str">
        <f>IFERROR(__xludf.DUMMYFUNCTION("LOWER(REGEXREPLACE(B77&amp;"" ""&amp;C77,""[^а-яa-z0-9 ]"","" ""))")," истемный блок     90t  3  1  ntel  ore  i5 12500  rocessor    cores 3 00   z up to 4 60   z   16         3060 12   512         indows 11 для образовательныхучреждений ")</f>
        <v> истемный блок     90t  3  1  ntel  ore  i5 12500  rocessor    cores 3 00   z up to 4 60   z   16         3060 12   512         indows 11 для образовательныхучреждений </v>
      </c>
    </row>
    <row r="78">
      <c r="A78" s="20" t="s">
        <v>171</v>
      </c>
      <c r="B78" s="15" t="s">
        <v>172</v>
      </c>
      <c r="C78" s="15"/>
      <c r="D78" s="21" t="s">
        <v>14</v>
      </c>
      <c r="E78" s="23">
        <v>1.0</v>
      </c>
      <c r="F78" s="27">
        <v>6.95</v>
      </c>
      <c r="G78" s="18">
        <v>535637.0</v>
      </c>
      <c r="H78" s="19" t="str">
        <f>IFERROR(__xludf.DUMMYFUNCTION("LOWER(REGEXREPLACE(B78&amp;"" ""&amp;C78,""[^а-яa-z0-9 ]"","" ""))")," истемный блок     90t  3  2  ntel   ore  i7 12700  rocessor    cores up to 3 60   z   cores up to 4 80   z  16         3060 12   256         indows 11 для образовательных учреждений ")</f>
        <v> истемный блок     90t  3  2  ntel   ore  i7 12700  rocessor    cores up to 3 60   z   cores up to 4 80   z  16         3060 12   256         indows 11 для образовательных учреждений </v>
      </c>
    </row>
    <row r="79">
      <c r="A79" s="20" t="s">
        <v>173</v>
      </c>
      <c r="B79" s="26" t="s">
        <v>174</v>
      </c>
      <c r="C79" s="15"/>
      <c r="D79" s="21" t="s">
        <v>14</v>
      </c>
      <c r="E79" s="23">
        <v>1.0</v>
      </c>
      <c r="F79" s="27">
        <v>6.83</v>
      </c>
      <c r="G79" s="18">
        <v>454432.0</v>
      </c>
      <c r="H79" s="19" t="str">
        <f>IFERROR(__xludf.DUMMYFUNCTION("LOWER(REGEXREPLACE(B79&amp;"" ""&amp;C79,""[^а-яa-z0-9 ]"","" ""))")," истемный блок  enovo  eo 50t  4  1  ntel   ore  i5 12500  rocessor    cores 3 00   z up to 4 60   z  4    256         indows 11 для образовательных учреждений ")</f>
        <v> истемный блок  enovo  eo 50t  4  1  ntel   ore  i5 12500  rocessor    cores 3 00   z up to 4 60   z  4    256         indows 11 для образовательных учреждений </v>
      </c>
    </row>
    <row r="80">
      <c r="A80" s="20" t="s">
        <v>175</v>
      </c>
      <c r="B80" s="26" t="s">
        <v>176</v>
      </c>
      <c r="C80" s="15"/>
      <c r="D80" s="21" t="s">
        <v>14</v>
      </c>
      <c r="E80" s="23">
        <v>1.0</v>
      </c>
      <c r="F80" s="27">
        <v>6.76</v>
      </c>
      <c r="G80" s="18">
        <v>431949.0</v>
      </c>
      <c r="H80" s="19" t="str">
        <f>IFERROR(__xludf.DUMMYFUNCTION("LOWER(REGEXREPLACE(B80&amp;"" ""&amp;C80,""[^а-яa-z0-9 ]"","" ""))")," истемный блок  enovo  eo 50t  4  2  ntel   ore  i3 12100  rocessor    cores 3 30   z up to 4 30   z  8    256         indows 11 для образовательных учреждений ")</f>
        <v> истемный блок  enovo  eo 50t  4  2  ntel   ore  i3 12100  rocessor    cores 3 30   z up to 4 30   z  8    256         indows 11 для образовательных учреждений </v>
      </c>
    </row>
    <row r="81">
      <c r="A81" s="20" t="s">
        <v>177</v>
      </c>
      <c r="B81" s="26" t="s">
        <v>178</v>
      </c>
      <c r="C81" s="15"/>
      <c r="D81" s="21" t="s">
        <v>14</v>
      </c>
      <c r="E81" s="23">
        <v>1.0</v>
      </c>
      <c r="F81" s="27">
        <v>6.76</v>
      </c>
      <c r="G81" s="18">
        <v>459135.0</v>
      </c>
      <c r="H81" s="19" t="str">
        <f>IFERROR(__xludf.DUMMYFUNCTION("LOWER(REGEXREPLACE(B81&amp;"" ""&amp;C81,""[^а-яa-z0-9 ]"","" ""))")," истемный блок  enovo     hink entre  eo 50t  4  3  ntel   ore  i3 13100  rocessor    cores 3 40   z up to 4 50   z  8       4 3200  z         1    7200rpm     3 5       256          2 2280    e  en4      pal      indows 11 для образовательных учреждений ")</f>
        <v> истемный блок  enovo     hink entre  eo 50t  4  3  ntel   ore  i3 13100  rocessor    cores 3 40   z up to 4 50   z  8       4 3200  z         1    7200rpm     3 5       256          2 2280    e  en4      pal      indows 11 для образовательных учреждений </v>
      </c>
    </row>
    <row r="82">
      <c r="A82" s="20" t="s">
        <v>179</v>
      </c>
      <c r="B82" s="26" t="s">
        <v>180</v>
      </c>
      <c r="C82" s="15"/>
      <c r="D82" s="21" t="s">
        <v>14</v>
      </c>
      <c r="E82" s="23">
        <v>1.0</v>
      </c>
      <c r="F82" s="27">
        <v>6.78</v>
      </c>
      <c r="G82" s="18">
        <v>522142.0</v>
      </c>
      <c r="H82" s="19" t="str">
        <f>IFERROR(__xludf.DUMMYFUNCTION("LOWER(REGEXREPLACE(B82&amp;"" ""&amp;C82,""[^а-яa-z0-9 ]"","" ""))")," истемный блок  enovo     hink entre  eo 50t  4  4   ntel   ore  i5 13400  rocessor    cores up to 3 30   z   cores up to 4 60   z  8       4 3200  z         1    7200rpm     3 5       256          2 2280    e  en4      pal      indows 11 для образователь"&amp;"ных учреждений ")</f>
        <v> истемный блок  enovo     hink entre  eo 50t  4  4   ntel   ore  i5 13400  rocessor    cores up to 3 30   z   cores up to 4 60   z  8       4 3200  z         1    7200rpm     3 5       256          2 2280    e  en4      pal      indows 11 для образовательных учреждений </v>
      </c>
    </row>
    <row r="83">
      <c r="A83" s="20" t="s">
        <v>181</v>
      </c>
      <c r="B83" s="26" t="s">
        <v>182</v>
      </c>
      <c r="C83" s="15"/>
      <c r="D83" s="21" t="s">
        <v>14</v>
      </c>
      <c r="E83" s="23">
        <v>1.0</v>
      </c>
      <c r="F83" s="27">
        <v>6.76</v>
      </c>
      <c r="G83" s="18">
        <v>337524.0</v>
      </c>
      <c r="H83" s="19" t="str">
        <f>IFERROR(__xludf.DUMMYFUNCTION("LOWER(REGEXREPLACE(B83&amp;"" ""&amp;C83,""[^а-яa-z0-9 ]"","" ""))")," истемный блок  enovo  70t  4  1  ntel   ore  i3 13100  rocessor    cores 3 40   z up to 4 50   z  8       4 3200  z         256          2 2280    e  en4      pal 1    7200rpm     3 5       1x       4x        ront  4x        ear  orts  indows 11 для обра"&amp;"зовательных учреждений ")</f>
        <v> истемный блок  enovo  70t  4  1  ntel   ore  i3 13100  rocessor    cores 3 40   z up to 4 50   z  8       4 3200  z         256          2 2280    e  en4      pal 1    7200rpm     3 5       1x       4x        ront  4x        ear  orts  indows 11 для образовательных учреждений </v>
      </c>
    </row>
    <row r="84">
      <c r="A84" s="20" t="s">
        <v>183</v>
      </c>
      <c r="B84" s="26" t="s">
        <v>184</v>
      </c>
      <c r="C84" s="15"/>
      <c r="D84" s="21" t="s">
        <v>14</v>
      </c>
      <c r="E84" s="23">
        <v>1.0</v>
      </c>
      <c r="F84" s="27">
        <v>6.68</v>
      </c>
      <c r="G84" s="18">
        <v>467166.0</v>
      </c>
      <c r="H84" s="19" t="str">
        <f>IFERROR(__xludf.DUMMYFUNCTION("LOWER(REGEXREPLACE(B84&amp;"" ""&amp;C84,""[^а-яa-z0-9 ]"","" ""))")," истемный блок  enovo  70t  4  2  ntel   ore  i5 13400  rocessor    cores up to 3 30   z   cores up to 4 60   z  8       4 3200  z         256          2 2280    e  en4      pal 1    7200rpm     3 5       1x       4x        ront  4x        ear  orts  indo"&amp;"ws 11 для образовательных учреждений ")</f>
        <v> истемный блок  enovo  70t  4  2  ntel   ore  i5 13400  rocessor    cores up to 3 30   z   cores up to 4 60   z  8       4 3200  z         256          2 2280    e  en4      pal 1    7200rpm     3 5       1x       4x        ront  4x        ear  orts  indows 11 для образовательных учреждений </v>
      </c>
    </row>
    <row r="85">
      <c r="A85" s="20" t="s">
        <v>185</v>
      </c>
      <c r="B85" s="26" t="s">
        <v>186</v>
      </c>
      <c r="C85" s="15"/>
      <c r="D85" s="21" t="s">
        <v>14</v>
      </c>
      <c r="E85" s="23">
        <v>1.0</v>
      </c>
      <c r="F85" s="27">
        <v>6.76</v>
      </c>
      <c r="G85" s="18">
        <v>593059.0</v>
      </c>
      <c r="H85" s="19" t="str">
        <f>IFERROR(__xludf.DUMMYFUNCTION("LOWER(REGEXREPLACE(B85&amp;"" ""&amp;C85,""[^а-яa-z0-9 ]"","" ""))")," истемный блок  enovo  70t  4  3  ntel   ore  i3 13100  rocessor    cores 3 40   z up to 4 50   z  8       4 3200  z         8       4 3200  z         1    7200rpm     3 5        e orce      3050 8       6 1x       4x        ront  4x        ear  orts  ind"&amp;"ows 11 для образовательных учреждений ")</f>
        <v> истемный блок  enovo  70t  4  3  ntel   ore  i3 13100  rocessor    cores 3 40   z up to 4 50   z  8       4 3200  z         8       4 3200  z         1    7200rpm     3 5        e orce      3050 8       6 1x       4x        ront  4x        ear  orts  indows 11 для образовательных учреждений </v>
      </c>
    </row>
    <row r="86">
      <c r="A86" s="20" t="s">
        <v>187</v>
      </c>
      <c r="B86" s="26" t="s">
        <v>188</v>
      </c>
      <c r="C86" s="15"/>
      <c r="D86" s="21" t="s">
        <v>14</v>
      </c>
      <c r="E86" s="23">
        <v>1.0</v>
      </c>
      <c r="F86" s="28">
        <v>7.8</v>
      </c>
      <c r="G86" s="18">
        <v>396026.0</v>
      </c>
      <c r="H86" s="19" t="str">
        <f>IFERROR(__xludf.DUMMYFUNCTION("LOWER(REGEXREPLACE(B86&amp;"" ""&amp;C86,""[^а-яa-z0-9 ]"","" ""))")," истемный блок  enovo  90t  3  4  ntel   ore  i5 12400   rocessor    cores 2 50   z up to 4 40   z  16       5 4400  z         1    7200rpm     3 5       256          2 2280    e  en4      pal  e orce      1660        6       6 1x       4x        ront  4x"&amp;"        ear  orts  indows 11 для образовательных учреждений ")</f>
        <v> истемный блок  enovo  90t  3  4  ntel   ore  i5 12400   rocessor    cores 2 50   z up to 4 40   z  16       5 4400  z         1    7200rpm     3 5       256          2 2280    e  en4      pal  e orce      1660        6       6 1x       4x        ront  4x        ear  orts  indows 11 для образовательных учреждений </v>
      </c>
    </row>
    <row r="87">
      <c r="A87" s="20" t="s">
        <v>189</v>
      </c>
      <c r="B87" s="26" t="s">
        <v>190</v>
      </c>
      <c r="C87" s="15"/>
      <c r="D87" s="21" t="s">
        <v>14</v>
      </c>
      <c r="E87" s="23">
        <v>1.0</v>
      </c>
      <c r="F87" s="28">
        <v>7.8</v>
      </c>
      <c r="G87" s="18">
        <v>208660.0</v>
      </c>
      <c r="H87" s="19" t="str">
        <f>IFERROR(__xludf.DUMMYFUNCTION("LOWER(REGEXREPLACE(B87&amp;"" ""&amp;C87,""[^а-яa-z0-9 ]"","" ""))")," истемный блок  enovo  90q  4  1  ntel   ore  i3 13100  rocessor    cores 3 40   z up to 4 50   z  8       5 4800  z          256          2 2280    e  en4      pal  ntegrated  raphics 1 x        2 x  ront      4 x  ear      indows 11 для образовательных "&amp;"учреждений ")</f>
        <v> истемный блок  enovo  90q  4  1  ntel   ore  i3 13100  rocessor    cores 3 40   z up to 4 50   z  8       5 4800  z          256          2 2280    e  en4      pal  ntegrated  raphics 1 x        2 x  ront      4 x  ear      indows 11 для образовательных учреждений </v>
      </c>
    </row>
    <row r="88">
      <c r="A88" s="20" t="s">
        <v>191</v>
      </c>
      <c r="B88" s="26" t="s">
        <v>192</v>
      </c>
      <c r="C88" s="15"/>
      <c r="D88" s="21" t="s">
        <v>14</v>
      </c>
      <c r="E88" s="23">
        <v>1.0</v>
      </c>
      <c r="F88" s="27">
        <v>6.76</v>
      </c>
      <c r="G88" s="18">
        <v>332758.0</v>
      </c>
      <c r="H88" s="19" t="str">
        <f>IFERROR(__xludf.DUMMYFUNCTION("LOWER(REGEXREPLACE(B88&amp;"" ""&amp;C88,""[^а-яa-z0-9 ]"","" ""))")," истемный блок  enovo  eo 50t  4  5  ntel   ore  i3 13100  rocessor    cores 3 40   z up to 4 50   z  8       4 3200  z         1    7200rpm     3 5       256          2 2280    e  en4      pal      adeon     6400 4       6  indows 11 для образовательных "&amp;"учреждений ")</f>
        <v> истемный блок  enovo  eo 50t  4  5  ntel   ore  i3 13100  rocessor    cores 3 40   z up to 4 50   z  8       4 3200  z         1    7200rpm     3 5       256          2 2280    e  en4      pal      adeon     6400 4       6  indows 11 для образовательных учреждений </v>
      </c>
    </row>
    <row r="89">
      <c r="A89" s="20" t="s">
        <v>193</v>
      </c>
      <c r="B89" s="26" t="s">
        <v>194</v>
      </c>
      <c r="C89" s="15"/>
      <c r="D89" s="21" t="s">
        <v>14</v>
      </c>
      <c r="E89" s="23">
        <v>1.0</v>
      </c>
      <c r="F89" s="27">
        <v>6.83</v>
      </c>
      <c r="G89" s="18">
        <v>508226.0</v>
      </c>
      <c r="H89" s="19" t="str">
        <f>IFERROR(__xludf.DUMMYFUNCTION("LOWER(REGEXREPLACE(B89&amp;"" ""&amp;C89,""[^а-яa-z0-9 ]"","" ""))")," истемный блок  enovo  70t  4  4  ntel   ore  i5 13400  rocessor    cores up to 3 30   z   cores up to 4 60   z  8       4 3200  z         512          2 2280    e  en4      pal  e orce      3050 8       6 1x       4x        ront  4x        ear  orts  ind"&amp;"ows 11 для образовательных учреждений ")</f>
        <v> истемный блок  enovo  70t  4  4  ntel   ore  i5 13400  rocessor    cores up to 3 30   z   cores up to 4 60   z  8       4 3200  z         512          2 2280    e  en4      pal  e orce      3050 8       6 1x       4x        ront  4x        ear  orts  indows 11 для образовательных учреждений </v>
      </c>
    </row>
    <row r="90">
      <c r="A90" s="20" t="s">
        <v>195</v>
      </c>
      <c r="B90" s="26" t="s">
        <v>196</v>
      </c>
      <c r="C90" s="15"/>
      <c r="D90" s="21" t="s">
        <v>14</v>
      </c>
      <c r="E90" s="23">
        <v>1.0</v>
      </c>
      <c r="F90" s="27">
        <v>10.65</v>
      </c>
      <c r="G90" s="18">
        <v>428419.0</v>
      </c>
      <c r="H90" s="19" t="str">
        <f>IFERROR(__xludf.DUMMYFUNCTION("LOWER(REGEXREPLACE(B90&amp;"" ""&amp;C90,""[^а-яa-z0-9 ]"","" ""))")," истемный блок  enovo  eo 50s  4  1  ntel   ore  i5 12400  rocessor    cores 2 50   z up to 4 40   z  4       4 3200  z         256          2 2280    e  en4      pal  ntegrated  raphics 1 x        2 x  ront      4 x  ear      indows 11 для образовательны"&amp;"х учреждений  онитор 23 8   enovo  24 40 1920x1080     75 z 250 nits 16 9 1x      1 4  1x      ремя отклика 4ms ")</f>
        <v> истемный блок  enovo  eo 50s  4  1  ntel   ore  i5 12400  rocessor    cores 2 50   z up to 4 40   z  4       4 3200  z         256          2 2280    e  en4      pal  ntegrated  raphics 1 x        2 x  ront      4 x  ear      indows 11 для образовательных учреждений  онитор 23 8   enovo  24 40 1920x1080     75 z 250 nits 16 9 1x      1 4  1x      ремя отклика 4ms </v>
      </c>
    </row>
    <row r="91">
      <c r="A91" s="20" t="s">
        <v>197</v>
      </c>
      <c r="B91" s="26" t="s">
        <v>198</v>
      </c>
      <c r="C91" s="15"/>
      <c r="D91" s="21" t="s">
        <v>14</v>
      </c>
      <c r="E91" s="23">
        <v>1.0</v>
      </c>
      <c r="F91" s="28">
        <v>6.5</v>
      </c>
      <c r="G91" s="18">
        <v>357937.0</v>
      </c>
      <c r="H91" s="19" t="str">
        <f>IFERROR(__xludf.DUMMYFUNCTION("LOWER(REGEXREPLACE(B91&amp;"" ""&amp;C91,""[^а-яa-z0-9 ]"","" ""))")," истемный блок          ntel  ore i3 8       256     indows 10 ")</f>
        <v> истемный блок          ntel  ore i3 8       256     indows 10 </v>
      </c>
    </row>
    <row r="92">
      <c r="A92" s="20" t="s">
        <v>199</v>
      </c>
      <c r="B92" s="15" t="s">
        <v>200</v>
      </c>
      <c r="C92" s="15"/>
      <c r="D92" s="21" t="s">
        <v>14</v>
      </c>
      <c r="E92" s="23">
        <v>1.0</v>
      </c>
      <c r="F92" s="28">
        <v>3.5</v>
      </c>
      <c r="G92" s="18">
        <v>152890.0</v>
      </c>
      <c r="H92" s="19" t="str">
        <f>IFERROR(__xludf.DUMMYFUNCTION("LOWER(REGEXREPLACE(B92&amp;"" ""&amp;C92,""[^а-яa-z0-9 ]"","" ""))")," онитор          40     23   1920х1080     60  ц 5 мс 3000 1               ub  ")</f>
        <v> онитор          40     23   1920х1080     60  ц 5 мс 3000 1               ub  </v>
      </c>
    </row>
    <row r="93">
      <c r="A93" s="20" t="s">
        <v>201</v>
      </c>
      <c r="B93" s="15" t="s">
        <v>202</v>
      </c>
      <c r="C93" s="15"/>
      <c r="D93" s="21" t="s">
        <v>14</v>
      </c>
      <c r="E93" s="17"/>
      <c r="F93" s="28">
        <v>0.3</v>
      </c>
      <c r="G93" s="18">
        <v>17087.0</v>
      </c>
      <c r="H93" s="19" t="str">
        <f>IFERROR(__xludf.DUMMYFUNCTION("LOWER(REGEXREPLACE(B93&amp;"" ""&amp;C93,""[^а-яa-z0-9 ]"","" ""))")," лавиатура мышь         304 ")</f>
        <v> лавиатура мышь         304 </v>
      </c>
    </row>
    <row r="94">
      <c r="A94" s="20" t="s">
        <v>203</v>
      </c>
      <c r="B94" s="26" t="s">
        <v>204</v>
      </c>
      <c r="C94" s="15"/>
      <c r="D94" s="21" t="s">
        <v>14</v>
      </c>
      <c r="E94" s="17"/>
      <c r="F94" s="28">
        <v>0.3</v>
      </c>
      <c r="G94" s="18">
        <v>3148.0</v>
      </c>
      <c r="H94" s="19" t="str">
        <f>IFERROR(__xludf.DUMMYFUNCTION("LOWER(REGEXREPLACE(B94&amp;"" ""&amp;C94,""[^а-яa-z0-9 ]"","" ""))")," етевой фильтр  efender  518  1 8 м  5 розеток ")</f>
        <v> етевой фильтр  efender  518  1 8 м  5 розеток </v>
      </c>
    </row>
    <row r="95">
      <c r="A95" s="20" t="s">
        <v>205</v>
      </c>
      <c r="B95" s="26" t="s">
        <v>206</v>
      </c>
      <c r="C95" s="15"/>
      <c r="D95" s="21" t="s">
        <v>14</v>
      </c>
      <c r="E95" s="23">
        <v>1.0</v>
      </c>
      <c r="F95" s="24">
        <v>5.0</v>
      </c>
      <c r="G95" s="18">
        <v>516506.0</v>
      </c>
      <c r="H95" s="19" t="str">
        <f>IFERROR(__xludf.DUMMYFUNCTION("LOWER(REGEXREPLACE(B95&amp;"" ""&amp;C95,""[^а-яa-z0-9 ]"","" ""))")," истемный блок     ro  ower 400  9   260     ntel  ore i5 14500 5 00  24    14 cores 65         8    1x8       5 4800        emory   256   2280    e    e  alue  olid  tate  rive    indows 11  ro 64      125      ired  eyboard       lack 125  ired  ouse   "&amp;"   3 year  ext  usiness  ay  nsite  esktop excl   xternal  onitor  ardware  upport ")</f>
        <v> истемный блок     ro  ower 400  9   260     ntel  ore i5 14500 5 00  24    14 cores 65         8    1x8       5 4800        emory   256   2280    e    e  alue  olid  tate  rive    indows 11  ro 64      125      ired  eyboard       lack 125  ired  ouse      3 year  ext  usiness  ay  nsite  esktop excl   xternal  onitor  ardware  upport </v>
      </c>
    </row>
    <row r="96">
      <c r="A96" s="20" t="s">
        <v>207</v>
      </c>
      <c r="B96" s="15" t="s">
        <v>208</v>
      </c>
      <c r="C96" s="15" t="s">
        <v>209</v>
      </c>
      <c r="D96" s="21" t="s">
        <v>14</v>
      </c>
      <c r="E96" s="23">
        <v>1.0</v>
      </c>
      <c r="F96" s="24">
        <v>9.0</v>
      </c>
      <c r="G96" s="18">
        <v>469638.0</v>
      </c>
      <c r="H96" s="19" t="str">
        <f>IFERROR(__xludf.DUMMYFUNCTION("LOWER(REGEXREPLACE(B96&amp;"" ""&amp;C96,""[^а-яa-z0-9 ]"","" ""))"),"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процес"&amp;"сора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серв"&amp;"ис ")</f>
        <v>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сервис </v>
      </c>
    </row>
    <row r="97">
      <c r="A97" s="20" t="s">
        <v>210</v>
      </c>
      <c r="B97" s="15" t="s">
        <v>211</v>
      </c>
      <c r="C97" s="15" t="s">
        <v>212</v>
      </c>
      <c r="D97" s="21" t="s">
        <v>14</v>
      </c>
      <c r="E97" s="17"/>
      <c r="F97" s="28">
        <v>0.7</v>
      </c>
      <c r="G97" s="18">
        <v>7950.0</v>
      </c>
      <c r="H97" s="19" t="str">
        <f>IFERROR(__xludf.DUMMYFUNCTION("LOWER(REGEXREPLACE(B97&amp;"" ""&amp;C97,""[^а-яa-z0-9 ]"","" ""))"),"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0"&amp;" 700 ")</f>
        <v>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0 700 </v>
      </c>
    </row>
    <row r="98">
      <c r="A98" s="20" t="s">
        <v>213</v>
      </c>
      <c r="B98" s="26" t="s">
        <v>214</v>
      </c>
      <c r="C98" s="15"/>
      <c r="D98" s="21" t="s">
        <v>14</v>
      </c>
      <c r="E98" s="23">
        <v>2.0</v>
      </c>
      <c r="F98" s="27">
        <v>5.31</v>
      </c>
      <c r="G98" s="18">
        <v>528288.0</v>
      </c>
      <c r="H98" s="19" t="str">
        <f>IFERROR(__xludf.DUMMYFUNCTION("LOWER(REGEXREPLACE(B98&amp;"" ""&amp;C98,""[^а-яa-z0-9 ]"","" ""))")," истемный блок     ro  ower 400  9   260     ntel  ore i5 14500 5 00  24    14 cores 65        16    1x16       5 4800        emory   512   2280    e    e  alue  olid  tate  rive    indows 11  ro 64      125      ired  eyboard       lack 125  ired  ouse  "&amp;"    3 year  ext  usiness  ay  nsite  esktop excl   xternal  onitor  ardware  upport ")</f>
        <v> истемный блок     ro  ower 400  9   260     ntel  ore i5 14500 5 00  24    14 cores 65        16    1x16       5 4800        emory   512   2280    e    e  alue  olid  tate  rive    indows 11  ro 64      125      ired  eyboard       lack 125  ired  ouse      3 year  ext  usiness  ay  nsite  esktop excl   xternal  onitor  ardware  upport </v>
      </c>
    </row>
    <row r="99">
      <c r="A99" s="20" t="s">
        <v>215</v>
      </c>
      <c r="B99" s="26" t="s">
        <v>216</v>
      </c>
      <c r="C99" s="15"/>
      <c r="D99" s="21" t="s">
        <v>14</v>
      </c>
      <c r="E99" s="23">
        <v>2.0</v>
      </c>
      <c r="F99" s="28">
        <v>5.7</v>
      </c>
      <c r="G99" s="18">
        <v>944937.0</v>
      </c>
      <c r="H99" s="19" t="str">
        <f>IFERROR(__xludf.DUMMYFUNCTION("LOWER(REGEXREPLACE(B99&amp;"" ""&amp;C99,""[^а-яa-z0-9 ]"","" ""))")," ерсональный компьютер     1      ntel  ore i7 13700 2 10  30   16 cores 65        16    1x16       5 4800        emory   512   2280    e   e  alue  olid  tate  rive    indows 11  ro 64           e orce     3070 3         raphics          125      ired  e"&amp;"yboard       lack 125  ired  ouse ")</f>
        <v> ерсональный компьютер     1      ntel  ore i7 13700 2 10  30   16 cores 65        16    1x16       5 4800        emory   512   2280    e   e  alue  olid  tate  rive    indows 11  ro 64           e orce     3070 3         raphics          125      ired  eyboard       lack 125  ired  ouse </v>
      </c>
    </row>
    <row r="100">
      <c r="A100" s="20" t="s">
        <v>217</v>
      </c>
      <c r="B100" s="15" t="s">
        <v>218</v>
      </c>
      <c r="C100" s="15"/>
      <c r="D100" s="21" t="s">
        <v>14</v>
      </c>
      <c r="E100" s="23">
        <v>2.0</v>
      </c>
      <c r="F100" s="29">
        <v>0.197</v>
      </c>
      <c r="G100" s="18">
        <v>16780.0</v>
      </c>
      <c r="H100" s="19" t="str">
        <f>IFERROR(__xludf.DUMMYFUNCTION("LOWER(REGEXREPLACE(B100&amp;"" ""&amp;C100,""[^а-яa-z0-9 ]"","" ""))")," арнитура  ogitech  390       элементы управления на кабеле  кабель 2 33м  ")</f>
        <v> арнитура  ogitech  390       элементы управления на кабеле  кабель 2 33м  </v>
      </c>
    </row>
    <row r="101">
      <c r="A101" s="20" t="s">
        <v>219</v>
      </c>
      <c r="B101" s="15" t="s">
        <v>220</v>
      </c>
      <c r="C101" s="15"/>
      <c r="D101" s="21" t="s">
        <v>14</v>
      </c>
      <c r="E101" s="23">
        <v>2.0</v>
      </c>
      <c r="F101" s="28">
        <v>0.8</v>
      </c>
      <c r="G101" s="18">
        <v>2555.0</v>
      </c>
      <c r="H101" s="19" t="str">
        <f>IFERROR(__xludf.DUMMYFUNCTION("LOWER(REGEXREPLACE(B101&amp;"" ""&amp;C101,""[^а-яa-z0-9 ]"","" ""))")," ышь    125  ired  ouse ")</f>
        <v> ышь    125  ired  ouse </v>
      </c>
    </row>
    <row r="102">
      <c r="A102" s="20" t="s">
        <v>221</v>
      </c>
      <c r="B102" s="26" t="s">
        <v>222</v>
      </c>
      <c r="C102" s="15"/>
      <c r="D102" s="21" t="s">
        <v>68</v>
      </c>
      <c r="E102" s="23">
        <v>2.0</v>
      </c>
      <c r="F102" s="24">
        <v>12.0</v>
      </c>
      <c r="G102" s="18">
        <v>2166133.0</v>
      </c>
      <c r="H102" s="19" t="str">
        <f>IFERROR(__xludf.DUMMYFUNCTION("LOWER(REGEXREPLACE(B102&amp;"" ""&amp;C102,""[^а-яa-z0-9 ]"","" ""))"),"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"&amp;" клавиатура  мышь  гарнитура  сетевой фильтр   indows 11  ro   ffice 2021 ")</f>
        <v>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клавиатура  мышь  гарнитура  сетевой фильтр   indows 11  ro   ffice 2021 </v>
      </c>
    </row>
    <row r="103">
      <c r="A103" s="20" t="s">
        <v>223</v>
      </c>
      <c r="B103" s="26" t="s">
        <v>224</v>
      </c>
      <c r="C103" s="15"/>
      <c r="D103" s="21" t="s">
        <v>68</v>
      </c>
      <c r="E103" s="23">
        <v>2.0</v>
      </c>
      <c r="F103" s="24">
        <v>9.0</v>
      </c>
      <c r="G103" s="18">
        <v>557623.0</v>
      </c>
      <c r="H103" s="19" t="str">
        <f>IFERROR(__xludf.DUMMYFUNCTION("LOWER(REGEXREPLACE(B103&amp;"" ""&amp;C103,""[^а-яa-z0-9 ]"","" ""))"),"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фил"&amp;"ьтр 5 м  6 розеток    indows 11  ro   ffice 2021 ")</f>
        <v>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фильтр 5 м  6 розеток    indows 11  ro   ffice 2021 </v>
      </c>
    </row>
    <row r="104">
      <c r="A104" s="20" t="s">
        <v>225</v>
      </c>
      <c r="B104" s="26" t="s">
        <v>226</v>
      </c>
      <c r="C104" s="15"/>
      <c r="D104" s="21" t="s">
        <v>68</v>
      </c>
      <c r="E104" s="23">
        <v>2.0</v>
      </c>
      <c r="F104" s="24">
        <v>12.0</v>
      </c>
      <c r="G104" s="18">
        <v>1477611.0</v>
      </c>
      <c r="H104" s="19" t="str">
        <f>IFERROR(__xludf.DUMMYFUNCTION("LOWER(REGEXREPLACE(B104&amp;"" ""&amp;C104,""[^а-яa-z0-9 ]"","" ""))"),"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"&amp;"клавиатура  мышь  гарнитура  сетевой фильтр 5 м  6 розеток    indows 11  ro   ffice 2021 ")</f>
        <v>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клавиатура  мышь  гарнитура  сетевой фильтр 5 м  6 розеток    indows 11  ro   ffice 2021 </v>
      </c>
    </row>
    <row r="105">
      <c r="A105" s="20" t="s">
        <v>227</v>
      </c>
      <c r="B105" s="26" t="s">
        <v>228</v>
      </c>
      <c r="C105" s="15"/>
      <c r="D105" s="21" t="s">
        <v>68</v>
      </c>
      <c r="E105" s="23">
        <v>2.0</v>
      </c>
      <c r="F105" s="24">
        <v>9.0</v>
      </c>
      <c r="G105" s="18">
        <v>681820.0</v>
      </c>
      <c r="H105" s="19" t="str">
        <f>IFERROR(__xludf.DUMMYFUNCTION("LOWER(REGEXREPLACE(B105&amp;"" ""&amp;C105,""[^а-яa-z0-9 ]"","" ""))"),"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сетев"&amp;"ой фильтр 5 м  6 розеток    indows 11  ro   ffice 2021 ")</f>
        <v>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сетевой фильтр 5 м  6 розеток    indows 11  ro   ffice 2021 </v>
      </c>
    </row>
    <row r="106">
      <c r="A106" s="20" t="s">
        <v>229</v>
      </c>
      <c r="B106" s="26" t="s">
        <v>230</v>
      </c>
      <c r="C106" s="15" t="s">
        <v>231</v>
      </c>
      <c r="D106" s="21" t="s">
        <v>68</v>
      </c>
      <c r="E106" s="23">
        <v>2.0</v>
      </c>
      <c r="F106" s="28">
        <v>8.8</v>
      </c>
      <c r="G106" s="18">
        <v>408794.0</v>
      </c>
      <c r="H106" s="19" t="str">
        <f>IFERROR(__xludf.DUMMYFUNCTION("LOWER(REGEXREPLACE(B106&amp;"" ""&amp;C106,""[^а-яa-z0-9 ]"","" ""))"),"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пр"&amp;"оцессора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п"&amp;"орта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ра"&amp;"зрешение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инима"&amp;"льная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заво"&amp;"дским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комб"&amp;"инированный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f>
        <v>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v>
      </c>
    </row>
    <row r="107">
      <c r="A107" s="20" t="s">
        <v>232</v>
      </c>
      <c r="B107" s="15" t="s">
        <v>233</v>
      </c>
      <c r="C107" s="15"/>
      <c r="D107" s="21" t="s">
        <v>14</v>
      </c>
      <c r="E107" s="17"/>
      <c r="F107" s="16"/>
      <c r="G107" s="18"/>
      <c r="H107" s="19" t="str">
        <f>IFERROR(__xludf.DUMMYFUNCTION("LOWER(REGEXREPLACE(B107&amp;"" ""&amp;C107,""[^а-яa-z0-9 ]"","" ""))")," роектор ")</f>
        <v> роектор </v>
      </c>
    </row>
    <row r="108">
      <c r="A108" s="20" t="s">
        <v>234</v>
      </c>
      <c r="B108" s="26" t="s">
        <v>235</v>
      </c>
      <c r="C108" s="15"/>
      <c r="D108" s="21" t="s">
        <v>14</v>
      </c>
      <c r="E108" s="17"/>
      <c r="F108" s="16"/>
      <c r="G108" s="18">
        <v>234954.0</v>
      </c>
      <c r="H108" s="19" t="str">
        <f>IFERROR(__xludf.DUMMYFUNCTION("LOWER(REGEXREPLACE(B108&amp;"" ""&amp;C108,""[^а-яa-z0-9 ]"","" ""))")," роектор  pson     01       3300lm  15000 1       1024x768  6000hr  0 58 8 89m  2 37kg ")</f>
        <v> роектор  pson     01       3300lm  15000 1       1024x768  6000hr  0 58 8 89m  2 37kg </v>
      </c>
    </row>
    <row r="109" ht="66.75" customHeight="1">
      <c r="A109" s="20" t="s">
        <v>236</v>
      </c>
      <c r="B109" s="26" t="s">
        <v>237</v>
      </c>
      <c r="C109" s="15"/>
      <c r="D109" s="21" t="s">
        <v>14</v>
      </c>
      <c r="E109" s="17"/>
      <c r="F109" s="16"/>
      <c r="G109" s="18">
        <v>474519.0</v>
      </c>
      <c r="H109" s="19" t="str">
        <f>IFERROR(__xludf.DUMMYFUNCTION("LOWER(REGEXREPLACE(B109&amp;"" ""&amp;C109,""[^а-яa-z0-9 ]"","" ""))")," роектор  cer  6200      3   5000lm       1024x768  0 43 7 62m  3000hr  1 11 4m  4 6kg ")</f>
        <v> роектор  cer  6200      3   5000lm       1024x768  0 43 7 62m  3000hr  1 11 4m  4 6kg </v>
      </c>
    </row>
    <row r="110">
      <c r="A110" s="20" t="s">
        <v>238</v>
      </c>
      <c r="B110" s="26" t="s">
        <v>239</v>
      </c>
      <c r="C110" s="15"/>
      <c r="D110" s="21" t="s">
        <v>14</v>
      </c>
      <c r="E110" s="17"/>
      <c r="F110" s="16"/>
      <c r="G110" s="18">
        <v>571339.0</v>
      </c>
      <c r="H110" s="19" t="str">
        <f>IFERROR(__xludf.DUMMYFUNCTION("LOWER(REGEXREPLACE(B110&amp;"" ""&amp;C110,""[^а-яa-z0-9 ]"","" ""))")," роектор  cer  redator  650      3   2200lm 20000 1   ull     1920x1080  0 9 4 6m  3000hr  3 6kg ")</f>
        <v> роектор  cer  redator  650      3   2200lm 20000 1   ull     1920x1080  0 9 4 6m  3000hr  3 6kg </v>
      </c>
    </row>
    <row r="111">
      <c r="A111" s="20" t="s">
        <v>240</v>
      </c>
      <c r="B111" s="15" t="s">
        <v>241</v>
      </c>
      <c r="C111" s="15"/>
      <c r="D111" s="21" t="s">
        <v>14</v>
      </c>
      <c r="E111" s="17"/>
      <c r="F111" s="16"/>
      <c r="G111" s="18">
        <v>803482.0</v>
      </c>
      <c r="H111" s="19" t="str">
        <f>IFERROR(__xludf.DUMMYFUNCTION("LOWER(REGEXREPLACE(B111&amp;"" ""&amp;C111,""[^а-яa-z0-9 ]"","" ""))")," роектор  iaomi  i 4   aser  roject 150    ull    1920x1080 ")</f>
        <v> роектор  iaomi  i 4   aser  roject 150    ull    1920x1080 </v>
      </c>
    </row>
    <row r="112">
      <c r="A112" s="20" t="s">
        <v>242</v>
      </c>
      <c r="B112" s="15" t="s">
        <v>243</v>
      </c>
      <c r="C112" s="15"/>
      <c r="D112" s="21" t="s">
        <v>14</v>
      </c>
      <c r="E112" s="17"/>
      <c r="F112" s="16"/>
      <c r="G112" s="18">
        <v>54151.0</v>
      </c>
      <c r="H112" s="19" t="str">
        <f>IFERROR(__xludf.DUMMYFUNCTION("LOWER(REGEXREPLACE(B112&amp;"" ""&amp;C112,""[^а-яa-z0-9 ]"","" ""))")," кран проекционный моторизованный  eluxe        203x   1 1  195 x 195 см ")</f>
        <v> кран проекционный моторизованный  eluxe        203x   1 1  195 x 195 см </v>
      </c>
    </row>
    <row r="113">
      <c r="A113" s="20" t="s">
        <v>244</v>
      </c>
      <c r="B113" s="15" t="s">
        <v>245</v>
      </c>
      <c r="C113" s="15"/>
      <c r="D113" s="21" t="s">
        <v>14</v>
      </c>
      <c r="E113" s="17"/>
      <c r="F113" s="16"/>
      <c r="G113" s="18">
        <v>68615.0</v>
      </c>
      <c r="H113" s="19" t="str">
        <f>IFERROR(__xludf.DUMMYFUNCTION("LOWER(REGEXREPLACE(B113&amp;"" ""&amp;C113,""[^а-яa-z0-9 ]"","" ""))")," кран проекционный моторизованный  r  ixel       135 2  1 1  244x244 см ")</f>
        <v> кран проекционный моторизованный  r  ixel       135 2  1 1  244x244 см </v>
      </c>
    </row>
    <row r="114">
      <c r="A114" s="20" t="s">
        <v>246</v>
      </c>
      <c r="B114" s="26" t="s">
        <v>247</v>
      </c>
      <c r="C114" s="15"/>
      <c r="D114" s="21" t="s">
        <v>14</v>
      </c>
      <c r="E114" s="17"/>
      <c r="F114" s="16"/>
      <c r="G114" s="18">
        <v>151696.0</v>
      </c>
      <c r="H114" s="19" t="str">
        <f>IFERROR(__xludf.DUMMYFUNCTION("LOWER(REGEXREPLACE(B114&amp;"" ""&amp;C114,""[^а-яa-z0-9 ]"","" ""))")," кран проекционный моторизованный  eluxe        350x270   16 9  342 x 262 см  белый матовый ")</f>
        <v> кран проекционный моторизованный  eluxe        350x270   16 9  342 x 262 см  белый матовый </v>
      </c>
    </row>
    <row r="115">
      <c r="A115" s="20" t="s">
        <v>248</v>
      </c>
      <c r="B115" s="15" t="s">
        <v>249</v>
      </c>
      <c r="C115" s="15"/>
      <c r="D115" s="21" t="s">
        <v>14</v>
      </c>
      <c r="E115" s="17"/>
      <c r="F115" s="16"/>
      <c r="G115" s="18">
        <v>321339.0</v>
      </c>
      <c r="H115" s="19" t="str">
        <f>IFERROR(__xludf.DUMMYFUNCTION("LOWER(REGEXREPLACE(B115&amp;"" ""&amp;C115,""[^а-яa-z0-9 ]"","" ""))")," кран проекционный настенный  iaomi  i  mbient  ight  ejecting  rojector  creen 100  ")</f>
        <v> кран проекционный настенный  iaomi  i  mbient  ight  ejecting  rojector  creen 100  </v>
      </c>
    </row>
    <row r="116">
      <c r="A116" s="20" t="s">
        <v>250</v>
      </c>
      <c r="B116" s="15" t="s">
        <v>251</v>
      </c>
      <c r="C116" s="15"/>
      <c r="D116" s="21" t="s">
        <v>14</v>
      </c>
      <c r="E116" s="23">
        <v>2.0</v>
      </c>
      <c r="F116" s="27">
        <v>3.69</v>
      </c>
      <c r="G116" s="18">
        <v>311739.0</v>
      </c>
      <c r="H116" s="19" t="str">
        <f>IFERROR(__xludf.DUMMYFUNCTION("LOWER(REGEXREPLACE(B116&amp;"" ""&amp;C116,""[^а-яa-z0-9 ]"","" ""))")," роектор  pson      01  3     3000       m  1080p  300 1 ")</f>
        <v> роектор  pson      01  3     3000       m  1080p  300 1 </v>
      </c>
    </row>
    <row r="117">
      <c r="A117" s="20" t="s">
        <v>252</v>
      </c>
      <c r="B117" s="15" t="s">
        <v>253</v>
      </c>
      <c r="C117" s="15"/>
      <c r="D117" s="21" t="s">
        <v>14</v>
      </c>
      <c r="E117" s="23">
        <v>2.0</v>
      </c>
      <c r="F117" s="27">
        <v>3.47</v>
      </c>
      <c r="G117" s="18">
        <v>268467.0</v>
      </c>
      <c r="H117" s="19" t="str">
        <f>IFERROR(__xludf.DUMMYFUNCTION("LOWER(REGEXREPLACE(B117&amp;"" ""&amp;C117,""[^а-яa-z0-9 ]"","" ""))")," роектор  pson      01  3     3000       m        300 1 ")</f>
        <v> роектор  pson      01  3     3000       m        300 1 </v>
      </c>
    </row>
    <row r="118">
      <c r="A118" s="20" t="s">
        <v>254</v>
      </c>
      <c r="B118" s="15" t="s">
        <v>255</v>
      </c>
      <c r="C118" s="15"/>
      <c r="D118" s="21" t="s">
        <v>14</v>
      </c>
      <c r="E118" s="23">
        <v>2.0</v>
      </c>
      <c r="F118" s="29">
        <v>18.806</v>
      </c>
      <c r="G118" s="18">
        <v>791320.0</v>
      </c>
      <c r="H118" s="19" t="str">
        <f>IFERROR(__xludf.DUMMYFUNCTION("LOWER(REGEXREPLACE(B118&amp;"" ""&amp;C118,""[^а-яa-z0-9 ]"","" ""))")," роектор  pson    685   3     3500       m        14000 1 ")</f>
        <v> роектор  pson    685   3     3500       m        14000 1 </v>
      </c>
    </row>
    <row r="119">
      <c r="A119" s="20" t="s">
        <v>256</v>
      </c>
      <c r="B119" s="15" t="s">
        <v>257</v>
      </c>
      <c r="C119" s="15"/>
      <c r="D119" s="21" t="s">
        <v>14</v>
      </c>
      <c r="E119" s="23">
        <v>2.0</v>
      </c>
      <c r="F119" s="29">
        <v>8.733</v>
      </c>
      <c r="G119" s="18">
        <v>1310543.0</v>
      </c>
      <c r="H119" s="19" t="str">
        <f>IFERROR(__xludf.DUMMYFUNCTION("LOWER(REGEXREPLACE(B119&amp;"" ""&amp;C119,""[^а-яa-z0-9 ]"","" ""))")," роектор  pson    770   3     4100       m  1080p  2500000 1 ")</f>
        <v> роектор  pson    770   3     4100       m  1080p  2500000 1 </v>
      </c>
    </row>
    <row r="120">
      <c r="A120" s="20" t="s">
        <v>258</v>
      </c>
      <c r="B120" s="15" t="s">
        <v>259</v>
      </c>
      <c r="C120" s="15"/>
      <c r="D120" s="21" t="s">
        <v>14</v>
      </c>
      <c r="E120" s="23">
        <v>2.0</v>
      </c>
      <c r="F120" s="29">
        <v>9.153</v>
      </c>
      <c r="G120" s="18">
        <v>1622278.0</v>
      </c>
      <c r="H120" s="19" t="str">
        <f>IFERROR(__xludf.DUMMYFUNCTION("LOWER(REGEXREPLACE(B120&amp;"" ""&amp;C120,""[^а-яa-z0-9 ]"","" ""))")," нтерактивный проектор  pson    770 i  3     4100       m  1080p  2500000 1 ")</f>
        <v> нтерактивный проектор  pson    770 i  3     4100       m  1080p  2500000 1 </v>
      </c>
    </row>
    <row r="121">
      <c r="A121" s="20" t="s">
        <v>260</v>
      </c>
      <c r="B121" s="15" t="s">
        <v>261</v>
      </c>
      <c r="C121" s="15"/>
      <c r="D121" s="21" t="s">
        <v>14</v>
      </c>
      <c r="E121" s="23">
        <v>2.0</v>
      </c>
      <c r="F121" s="29">
        <v>16.934</v>
      </c>
      <c r="G121" s="18">
        <v>2571639.0</v>
      </c>
      <c r="H121" s="19" t="str">
        <f>IFERROR(__xludf.DUMMYFUNCTION("LOWER(REGEXREPLACE(B121&amp;"" ""&amp;C121,""[^а-яa-z0-9 ]"","" ""))")," роектор  pson    810   3     5000       m  4   2500000 1 ")</f>
        <v> роектор  pson    810   3     5000       m  4   2500000 1 </v>
      </c>
    </row>
    <row r="122">
      <c r="A122" s="20" t="s">
        <v>262</v>
      </c>
      <c r="B122" s="15" t="s">
        <v>263</v>
      </c>
      <c r="C122" s="15"/>
      <c r="D122" s="21" t="s">
        <v>14</v>
      </c>
      <c r="E122" s="23">
        <v>2.0</v>
      </c>
      <c r="F122" s="27">
        <v>4.01</v>
      </c>
      <c r="G122" s="18">
        <v>271118.0</v>
      </c>
      <c r="H122" s="19" t="str">
        <f>IFERROR(__xludf.DUMMYFUNCTION("LOWER(REGEXREPLACE(B122&amp;"" ""&amp;C122,""[^а-яa-z0-9 ]"","" ""))")," роектор  pson     20  3     3400       m       15000 1 ")</f>
        <v> роектор  pson     20  3     3400       m       15000 1 </v>
      </c>
    </row>
    <row r="123">
      <c r="A123" s="20" t="s">
        <v>264</v>
      </c>
      <c r="B123" s="15" t="s">
        <v>265</v>
      </c>
      <c r="C123" s="15"/>
      <c r="D123" s="21" t="s">
        <v>14</v>
      </c>
      <c r="E123" s="23">
        <v>2.0</v>
      </c>
      <c r="F123" s="27">
        <v>4.01</v>
      </c>
      <c r="G123" s="18">
        <v>377973.0</v>
      </c>
      <c r="H123" s="19" t="str">
        <f>IFERROR(__xludf.DUMMYFUNCTION("LOWER(REGEXREPLACE(B123&amp;"" ""&amp;C123,""[^а-яa-z0-9 ]"","" ""))")," роектор  pson     49  3     3800       m        16000 1 ")</f>
        <v> роектор  pson     49  3     3800       m        16000 1 </v>
      </c>
    </row>
    <row r="124">
      <c r="A124" s="20" t="s">
        <v>266</v>
      </c>
      <c r="B124" s="15" t="s">
        <v>267</v>
      </c>
      <c r="C124" s="15"/>
      <c r="D124" s="21" t="s">
        <v>14</v>
      </c>
      <c r="E124" s="23">
        <v>2.0</v>
      </c>
      <c r="F124" s="27">
        <v>4.12</v>
      </c>
      <c r="G124" s="18">
        <v>313507.0</v>
      </c>
      <c r="H124" s="19" t="str">
        <f>IFERROR(__xludf.DUMMYFUNCTION("LOWER(REGEXREPLACE(B124&amp;"" ""&amp;C124,""[^а-яa-z0-9 ]"","" ""))")," роектор  pson     49  3     3600       m       16000 1 ")</f>
        <v> роектор  pson     49  3     3600       m       16000 1 </v>
      </c>
    </row>
    <row r="125">
      <c r="A125" s="20" t="s">
        <v>268</v>
      </c>
      <c r="B125" s="15" t="s">
        <v>269</v>
      </c>
      <c r="C125" s="15"/>
      <c r="D125" s="21" t="s">
        <v>14</v>
      </c>
      <c r="E125" s="23">
        <v>2.0</v>
      </c>
      <c r="F125" s="28">
        <v>2.8</v>
      </c>
      <c r="G125" s="18">
        <v>571367.0</v>
      </c>
      <c r="H125" s="19" t="str">
        <f>IFERROR(__xludf.DUMMYFUNCTION("LOWER(REGEXREPLACE(B125&amp;"" ""&amp;C125,""[^а-яa-z0-9 ]"","" ""))")," роектор  pson    11  3     2000       m  1080p  2500000 1 ")</f>
        <v> роектор  pson    11  3     2000       m  1080p  2500000 1 </v>
      </c>
    </row>
    <row r="126">
      <c r="A126" s="20" t="s">
        <v>270</v>
      </c>
      <c r="B126" s="15" t="s">
        <v>271</v>
      </c>
      <c r="C126" s="15"/>
      <c r="D126" s="21" t="s">
        <v>14</v>
      </c>
      <c r="E126" s="23">
        <v>2.0</v>
      </c>
      <c r="F126" s="28">
        <v>4.6</v>
      </c>
      <c r="G126" s="18">
        <v>1027053.0</v>
      </c>
      <c r="H126" s="19" t="str">
        <f>IFERROR(__xludf.DUMMYFUNCTION("LOWER(REGEXREPLACE(B126&amp;"" ""&amp;C126,""[^а-яa-z0-9 ]"","" ""))")," роектор  pson    2250   3     5000       m         15000 1 ")</f>
        <v> роектор  pson    2250   3     5000       m         15000 1 </v>
      </c>
    </row>
    <row r="127">
      <c r="A127" s="20" t="s">
        <v>272</v>
      </c>
      <c r="B127" s="15" t="s">
        <v>273</v>
      </c>
      <c r="C127" s="15"/>
      <c r="D127" s="21" t="s">
        <v>14</v>
      </c>
      <c r="E127" s="23">
        <v>2.0</v>
      </c>
      <c r="F127" s="28">
        <v>4.2</v>
      </c>
      <c r="G127" s="18">
        <v>1050012.0</v>
      </c>
      <c r="H127" s="19" t="str">
        <f>IFERROR(__xludf.DUMMYFUNCTION("LOWER(REGEXREPLACE(B127&amp;"" ""&amp;C127,""[^а-яa-z0-9 ]"","" ""))")," роектор  pson     260  3     4600       m  1080p  2500000 1 ")</f>
        <v> роектор  pson     260  3     4600       m  1080p  2500000 1 </v>
      </c>
    </row>
    <row r="128">
      <c r="A128" s="20" t="s">
        <v>274</v>
      </c>
      <c r="B128" s="15" t="s">
        <v>275</v>
      </c>
      <c r="C128" s="15"/>
      <c r="D128" s="21" t="s">
        <v>14</v>
      </c>
      <c r="E128" s="23">
        <v>2.0</v>
      </c>
      <c r="F128" s="28">
        <v>7.7</v>
      </c>
      <c r="G128" s="18">
        <v>1572819.0</v>
      </c>
      <c r="H128" s="19" t="str">
        <f>IFERROR(__xludf.DUMMYFUNCTION("LOWER(REGEXREPLACE(B128&amp;"" ""&amp;C128,""[^а-яa-z0-9 ]"","" ""))")," роектор  pson     520   3     5200       m         2500000 1 ")</f>
        <v> роектор  pson     520   3     5200       m         2500000 1 </v>
      </c>
    </row>
    <row r="129">
      <c r="A129" s="20" t="s">
        <v>276</v>
      </c>
      <c r="B129" s="15" t="s">
        <v>277</v>
      </c>
      <c r="C129" s="15"/>
      <c r="D129" s="21" t="s">
        <v>14</v>
      </c>
      <c r="E129" s="23">
        <v>2.0</v>
      </c>
      <c r="F129" s="28">
        <v>7.7</v>
      </c>
      <c r="G129" s="18">
        <v>2890402.0</v>
      </c>
      <c r="H129" s="19" t="str">
        <f>IFERROR(__xludf.DUMMYFUNCTION("LOWER(REGEXREPLACE(B129&amp;"" ""&amp;C129,""[^а-яa-z0-9 ]"","" ""))")," роектор  pson     720   3     7000       m         2500000 1 ")</f>
        <v> роектор  pson     720   3     7000       m         2500000 1 </v>
      </c>
    </row>
    <row r="130">
      <c r="A130" s="20" t="s">
        <v>278</v>
      </c>
      <c r="B130" s="26" t="s">
        <v>279</v>
      </c>
      <c r="C130" s="15"/>
      <c r="D130" s="21" t="s">
        <v>14</v>
      </c>
      <c r="E130" s="23">
        <v>2.0</v>
      </c>
      <c r="F130" s="28">
        <v>19.8</v>
      </c>
      <c r="G130" s="18">
        <v>9005898.0</v>
      </c>
      <c r="H130" s="19" t="str">
        <f>IFERROR(__xludf.DUMMYFUNCTION("LOWER(REGEXREPLACE(B130&amp;"" ""&amp;C130,""[^а-яa-z0-9 ]"","" ""))")," роектор  pson      1008   3     8500      m          4    nhancement  2500000 1 с ультракороткофокусным объективом  pson     01    0 35 1  ")</f>
        <v> роектор  pson      1008   3     8500      m          4    nhancement  2500000 1 с ультракороткофокусным объективом  pson     01    0 35 1  </v>
      </c>
    </row>
    <row r="131">
      <c r="A131" s="20" t="s">
        <v>280</v>
      </c>
      <c r="B131" s="15" t="s">
        <v>281</v>
      </c>
      <c r="C131" s="15"/>
      <c r="D131" s="21" t="s">
        <v>14</v>
      </c>
      <c r="E131" s="23">
        <v>2.0</v>
      </c>
      <c r="F131" s="28">
        <v>19.1</v>
      </c>
      <c r="G131" s="18">
        <v>9557832.0</v>
      </c>
      <c r="H131" s="19" t="str">
        <f>IFERROR(__xludf.DUMMYFUNCTION("LOWER(REGEXREPLACE(B131&amp;"" ""&amp;C131,""[^а-яa-z0-9 ]"","" ""))")," роектор  pson      2010   3     10000       m          4   nhancement  2500000 1 с короткофокусным объективом  pson      03   0 48 0 57 1 ")</f>
        <v> роектор  pson      2010   3     10000       m          4   nhancement  2500000 1 с короткофокусным объективом  pson      03   0 48 0 57 1 </v>
      </c>
    </row>
    <row r="132">
      <c r="A132" s="20" t="s">
        <v>282</v>
      </c>
      <c r="B132" s="15" t="s">
        <v>283</v>
      </c>
      <c r="C132" s="15"/>
      <c r="D132" s="21" t="s">
        <v>14</v>
      </c>
      <c r="E132" s="23">
        <v>2.0</v>
      </c>
      <c r="F132" s="28">
        <v>25.7</v>
      </c>
      <c r="G132" s="18">
        <v>8532580.0</v>
      </c>
      <c r="H132" s="19" t="str">
        <f>IFERROR(__xludf.DUMMYFUNCTION("LOWER(REGEXREPLACE(B132&amp;"" ""&amp;C132,""[^а-яa-z0-9 ]"","" ""))")," роектор  pson      2113   3     13000       m          4   nhancement  2500000 1 со среднефокусным объективом  pson      15  1 57 2 56 1 ")</f>
        <v> роектор  pson      2113   3     13000       m          4   nhancement  2500000 1 со среднефокусным объективом  pson      15  1 57 2 56 1 </v>
      </c>
    </row>
    <row r="133">
      <c r="A133" s="20" t="s">
        <v>284</v>
      </c>
      <c r="B133" s="15" t="s">
        <v>285</v>
      </c>
      <c r="C133" s="15"/>
      <c r="D133" s="21" t="s">
        <v>14</v>
      </c>
      <c r="E133" s="17"/>
      <c r="F133" s="16"/>
      <c r="G133" s="18"/>
      <c r="H133" s="19" t="str">
        <f>IFERROR(__xludf.DUMMYFUNCTION("LOWER(REGEXREPLACE(B133&amp;"" ""&amp;C133,""[^а-яa-z0-9 ]"","" ""))")," оутбук ")</f>
        <v> оутбук </v>
      </c>
    </row>
    <row r="134">
      <c r="A134" s="20" t="s">
        <v>286</v>
      </c>
      <c r="B134" s="26" t="s">
        <v>287</v>
      </c>
      <c r="C134" s="15"/>
      <c r="D134" s="21" t="s">
        <v>14</v>
      </c>
      <c r="E134" s="17"/>
      <c r="F134" s="16"/>
      <c r="G134" s="18">
        <v>571420.0</v>
      </c>
      <c r="H134" s="19" t="str">
        <f>IFERROR(__xludf.DUMMYFUNCTION("LOWER(REGEXREPLACE(B134&amp;"" ""&amp;C134,""[^а-яa-z0-9 ]"","" ""))")," оутбук    16 d0000ur   ore i5 11400 2 7  z 16 1     512       8       1650  4          am     ")</f>
        <v> оутбук    16 d0000ur   ore i5 11400 2 7  z 16 1     512       8       1650  4          am     </v>
      </c>
    </row>
    <row r="135">
      <c r="A135" s="20" t="s">
        <v>288</v>
      </c>
      <c r="B135" s="26" t="s">
        <v>289</v>
      </c>
      <c r="C135" s="15"/>
      <c r="D135" s="21" t="s">
        <v>14</v>
      </c>
      <c r="E135" s="17"/>
      <c r="F135" s="16"/>
      <c r="G135" s="18">
        <v>482054.0</v>
      </c>
      <c r="H135" s="19" t="str">
        <f>IFERROR(__xludf.DUMMYFUNCTION("LOWER(REGEXREPLACE(B135&amp;"" ""&amp;C135,""[^а-яa-z0-9 ]"","" ""))")," оутбук         x360 15 es0009ur   ore i5 1135 7 2 4  z 15 6     512       16    ntel  ris  e     10 ")</f>
        <v> оутбук         x360 15 es0009ur   ore i5 1135 7 2 4  z 15 6     512       16    ntel  ris  e     10 </v>
      </c>
    </row>
    <row r="136">
      <c r="A136" s="20" t="s">
        <v>290</v>
      </c>
      <c r="B136" s="26" t="s">
        <v>291</v>
      </c>
      <c r="C136" s="15"/>
      <c r="D136" s="21" t="s">
        <v>14</v>
      </c>
      <c r="E136" s="17"/>
      <c r="F136" s="16"/>
      <c r="G136" s="18">
        <v>542320.0</v>
      </c>
      <c r="H136" s="19" t="str">
        <f>IFERROR(__xludf.DUMMYFUNCTION("LOWER(REGEXREPLACE(B136&amp;"" ""&amp;C136,""[^а-яa-z0-9 ]"","" ""))")," оутбук    16 d0021ur   ore i7 11800  2 3  z 16 1     1       16      3050 i  4          am     ")</f>
        <v> оутбук    16 d0021ur   ore i7 11800  2 3  z 16 1     1       16      3050 i  4          am     </v>
      </c>
    </row>
    <row r="137">
      <c r="A137" s="20" t="s">
        <v>292</v>
      </c>
      <c r="B137" s="26" t="s">
        <v>293</v>
      </c>
      <c r="C137" s="15"/>
      <c r="D137" s="21" t="s">
        <v>14</v>
      </c>
      <c r="E137" s="17"/>
      <c r="F137" s="28">
        <v>2.6</v>
      </c>
      <c r="G137" s="18">
        <v>566559.0</v>
      </c>
      <c r="H137" s="19" t="str">
        <f>IFERROR(__xludf.DUMMYFUNCTION("LOWER(REGEXREPLACE(B137&amp;"" ""&amp;C137,""[^а-яa-z0-9 ]"","" ""))")," оутбук  enovo ideapad 15   ore i5 1155 7 1920 1080  ull    2 5   z 4 5   z   urbo  max  indows 10     ffice  ot32    4 8            512     eb  amera 720  ")</f>
        <v> оутбук  enovo ideapad 15   ore i5 1155 7 1920 1080  ull    2 5   z 4 5   z   urbo  max  indows 10     ffice  ot32    4 8            512     eb  amera 720  </v>
      </c>
    </row>
    <row r="138">
      <c r="A138" s="20" t="s">
        <v>294</v>
      </c>
      <c r="B138" s="15" t="s">
        <v>295</v>
      </c>
      <c r="C138" s="15" t="s">
        <v>296</v>
      </c>
      <c r="D138" s="21" t="s">
        <v>68</v>
      </c>
      <c r="E138" s="17"/>
      <c r="F138" s="28">
        <v>3.6</v>
      </c>
      <c r="G138" s="18">
        <v>341181.0</v>
      </c>
      <c r="H138" s="19" t="str">
        <f>IFERROR(__xludf.DUMMYFUNCTION("LOWER(REGEXREPLACE(B138&amp;"" ""&amp;C138,""[^а-яa-z0-9 ]"","" ""))")," оутбук  enovo  hink ook 15  4  ore  i3 1215   rocessor 256        мышь  enovo  hink ad  ssential  ireless  ouse    оутбук   enovo  hink ook 15  4  ore  i3 1215   rocessor    cores up to 3 30   z   cores up to 4 40   z  256          2 2242    e  en4     8"&amp;"     8    nboard   0  o         4 3200  z    ицензия  ffice  ome and  tudent 2021                                                             indows 11  ro 64  cadem    ышь  enovo  hink ad  ssential  ireless  ouse")</f>
        <v> оутбук  enovo  hink ook 15  4  ore  i3 1215   rocessor 256        мышь  enovo  hink ad  ssential  ireless  ouse    оутбук   enovo  hink ook 15  4  ore  i3 1215   rocessor    cores up to 3 30   z   cores up to 4 40   z  256          2 2242    e  en4     8     8    nboard   0  o         4 3200  z    ицензия  ffice  ome and  tudent 2021                                                             indows 11  ro 64  cadem    ышь  enovo  hink ad  ssential  ireless  ouse</v>
      </c>
    </row>
    <row r="139">
      <c r="A139" s="20" t="s">
        <v>297</v>
      </c>
      <c r="B139" s="26" t="s">
        <v>298</v>
      </c>
      <c r="C139" s="15"/>
      <c r="D139" s="21" t="s">
        <v>14</v>
      </c>
      <c r="E139" s="17"/>
      <c r="F139" s="27">
        <v>1.28</v>
      </c>
      <c r="G139" s="18">
        <v>198892.0</v>
      </c>
      <c r="H139" s="19" t="str">
        <f>IFERROR(__xludf.DUMMYFUNCTION("LOWER(REGEXREPLACE(B139&amp;"" ""&amp;C139,""[^а-яa-z0-9 ]"","" ""))")," оутбук  actus t book   11 6    4 b         2 128   4 ядерный 4 потока   2 0   ц    i i 802 11b g n ac и wifi6 2 4  5    luetooth 4 2    батарея 37  т ч ")</f>
        <v> оутбук  actus t book   11 6    4 b         2 128   4 ядерный 4 потока   2 0   ц    i i 802 11b g n ac и wifi6 2 4  5    luetooth 4 2    батарея 37  т ч </v>
      </c>
    </row>
    <row r="140">
      <c r="A140" s="20" t="s">
        <v>299</v>
      </c>
      <c r="B140" s="26" t="s">
        <v>300</v>
      </c>
      <c r="C140" s="15"/>
      <c r="D140" s="21" t="s">
        <v>14</v>
      </c>
      <c r="E140" s="17"/>
      <c r="F140" s="27">
        <v>1.76</v>
      </c>
      <c r="G140" s="18">
        <v>262175.0</v>
      </c>
      <c r="H140" s="19" t="str">
        <f>IFERROR(__xludf.DUMMYFUNCTION("LOWER(REGEXREPLACE(B140&amp;"" ""&amp;C140,""[^а-яa-z0-9 ]"","" ""))")," оутбук  actus t book 15   15 6    8 b         2 256 b 2 ядерный  4 потока   3 4   ц    i i 2 4    luetooth   батарея 3600 м ч ")</f>
        <v> оутбук  actus t book 15   15 6    8 b         2 256 b 2 ядерный  4 потока   3 4   ц    i i 2 4    luetooth   батарея 3600 м ч </v>
      </c>
    </row>
    <row r="141">
      <c r="A141" s="20" t="s">
        <v>301</v>
      </c>
      <c r="B141" s="26" t="s">
        <v>302</v>
      </c>
      <c r="C141" s="15"/>
      <c r="D141" s="21" t="s">
        <v>14</v>
      </c>
      <c r="E141" s="17"/>
      <c r="F141" s="28">
        <v>1.5</v>
      </c>
      <c r="G141" s="18">
        <v>545369.0</v>
      </c>
      <c r="H141" s="19" t="str">
        <f>IFERROR(__xludf.DUMMYFUNCTION("LOWER(REGEXREPLACE(B141&amp;"" ""&amp;C141,""[^а-яa-z0-9 ]"","" ""))")," оутбук       1402      ore i3 1315  14     8   256        ntel            am  11 du ")</f>
        <v> оутбук       1402      ore i3 1315  14     8   256        ntel            am  11 du </v>
      </c>
    </row>
    <row r="142">
      <c r="A142" s="20" t="s">
        <v>303</v>
      </c>
      <c r="B142" s="26" t="s">
        <v>304</v>
      </c>
      <c r="C142" s="15"/>
      <c r="D142" s="21" t="s">
        <v>14</v>
      </c>
      <c r="E142" s="17"/>
      <c r="F142" s="28">
        <v>1.5</v>
      </c>
      <c r="G142" s="18">
        <v>624407.0</v>
      </c>
      <c r="H142" s="19" t="str">
        <f>IFERROR(__xludf.DUMMYFUNCTION("LOWER(REGEXREPLACE(B142&amp;"" ""&amp;C142,""[^а-яa-z0-9 ]"","" ""))")," оутбук       1402      ore i5 1335  14     8   256        ntel            am  11 du ")</f>
        <v> оутбук       1402      ore i5 1335  14     8   256        ntel            am  11 du </v>
      </c>
    </row>
    <row r="143">
      <c r="A143" s="20" t="s">
        <v>305</v>
      </c>
      <c r="B143" s="26" t="s">
        <v>306</v>
      </c>
      <c r="C143" s="15"/>
      <c r="D143" s="21" t="s">
        <v>14</v>
      </c>
      <c r="E143" s="17"/>
      <c r="F143" s="28">
        <v>1.5</v>
      </c>
      <c r="G143" s="18">
        <v>725001.0</v>
      </c>
      <c r="H143" s="19" t="str">
        <f>IFERROR(__xludf.DUMMYFUNCTION("LOWER(REGEXREPLACE(B143&amp;"" ""&amp;C143,""[^а-яa-z0-9 ]"","" ""))")," оутбук       1402      ore i7 1355  14     8   256        ntel            am  11 ro ")</f>
        <v> оутбук       1402      ore i7 1355  14     8   256        ntel            am  11 ro </v>
      </c>
    </row>
    <row r="144">
      <c r="A144" s="20" t="s">
        <v>307</v>
      </c>
      <c r="B144" s="26" t="s">
        <v>308</v>
      </c>
      <c r="C144" s="15"/>
      <c r="D144" s="21" t="s">
        <v>14</v>
      </c>
      <c r="E144" s="17"/>
      <c r="F144" s="28">
        <v>1.5</v>
      </c>
      <c r="G144" s="18">
        <v>552554.0</v>
      </c>
      <c r="H144" s="19" t="str">
        <f>IFERROR(__xludf.DUMMYFUNCTION("LOWER(REGEXREPLACE(B144&amp;"" ""&amp;C144,""[^а-яa-z0-9 ]"","" ""))")," оутбук       1502      ore i3 1315  15 6     8   256        ntel            am  11 ro ")</f>
        <v> оутбук       1502      ore i3 1315  15 6     8   256        ntel            am  11 ro </v>
      </c>
    </row>
    <row r="145">
      <c r="A145" s="20" t="s">
        <v>309</v>
      </c>
      <c r="B145" s="26" t="s">
        <v>310</v>
      </c>
      <c r="C145" s="15"/>
      <c r="D145" s="21" t="s">
        <v>14</v>
      </c>
      <c r="E145" s="17"/>
      <c r="F145" s="28">
        <v>1.5</v>
      </c>
      <c r="G145" s="18">
        <v>624407.0</v>
      </c>
      <c r="H145" s="19" t="str">
        <f>IFERROR(__xludf.DUMMYFUNCTION("LOWER(REGEXREPLACE(B145&amp;"" ""&amp;C145,""[^а-яa-z0-9 ]"","" ""))")," оутбук       1502      ore i5 1335  15 6     8   256        ntel            am  11 ro ")</f>
        <v> оутбук       1502      ore i5 1335  15 6     8   256        ntel            am  11 ro </v>
      </c>
    </row>
    <row r="146">
      <c r="A146" s="20" t="s">
        <v>311</v>
      </c>
      <c r="B146" s="26" t="s">
        <v>312</v>
      </c>
      <c r="C146" s="15"/>
      <c r="D146" s="21" t="s">
        <v>14</v>
      </c>
      <c r="E146" s="17"/>
      <c r="F146" s="28">
        <v>1.5</v>
      </c>
      <c r="G146" s="18">
        <v>732186.0</v>
      </c>
      <c r="H146" s="19" t="str">
        <f>IFERROR(__xludf.DUMMYFUNCTION("LOWER(REGEXREPLACE(B146&amp;"" ""&amp;C146,""[^а-яa-z0-9 ]"","" ""))")," оутбук       1502      ore i7 1355  15 6     8   256        ntel            am  11 ro ")</f>
        <v> оутбук       1502      ore i7 1355  15 6     8   256        ntel            am  11 ro </v>
      </c>
    </row>
    <row r="147">
      <c r="A147" s="20" t="s">
        <v>313</v>
      </c>
      <c r="B147" s="15" t="s">
        <v>314</v>
      </c>
      <c r="C147" s="15"/>
      <c r="D147" s="21" t="s">
        <v>14</v>
      </c>
      <c r="E147" s="23">
        <v>1.0</v>
      </c>
      <c r="F147" s="27">
        <v>1.78</v>
      </c>
      <c r="G147" s="18">
        <v>340829.0</v>
      </c>
      <c r="H147" s="19" t="str">
        <f>IFERROR(__xludf.DUMMYFUNCTION("LOWER(REGEXREPLACE(B147&amp;"" ""&amp;C147,""[^а-яa-z0-9 ]"","" ""))")," оутбук   215 33 15 6      i3  305  8гб    4  256 b        in11 ro  cer  lassroom  anager ")</f>
        <v> оутбук   215 33 15 6      i3  305  8гб    4  256 b        in11 ro  cer  lassroom  anager </v>
      </c>
    </row>
    <row r="148">
      <c r="A148" s="20" t="s">
        <v>315</v>
      </c>
      <c r="B148" s="26" t="s">
        <v>316</v>
      </c>
      <c r="C148" s="15"/>
      <c r="D148" s="21" t="s">
        <v>14</v>
      </c>
      <c r="E148" s="23">
        <v>1.0</v>
      </c>
      <c r="F148" s="28">
        <v>1.7</v>
      </c>
      <c r="G148" s="18">
        <v>439751.0</v>
      </c>
      <c r="H148" s="19" t="str">
        <f>IFERROR(__xludf.DUMMYFUNCTION("LOWER(REGEXREPLACE(B148&amp;"" ""&amp;C148,""[^а-яa-z0-9 ]"","" ""))")," оутбук    215 54 15 6         i3 1215   8 гб    4  256          in11 ro      cer  lassroom  anager ")</f>
        <v> оутбук    215 54 15 6         i3 1215   8 гб    4  256          in11 ro      cer  lassroom  anager </v>
      </c>
    </row>
    <row r="149">
      <c r="A149" s="20" t="s">
        <v>317</v>
      </c>
      <c r="B149" s="15" t="s">
        <v>318</v>
      </c>
      <c r="C149" s="15"/>
      <c r="D149" s="21" t="s">
        <v>14</v>
      </c>
      <c r="E149" s="23">
        <v>1.0</v>
      </c>
      <c r="F149" s="24">
        <v>2.0</v>
      </c>
      <c r="G149" s="18">
        <v>358096.0</v>
      </c>
      <c r="H149" s="19" t="str">
        <f>IFERROR(__xludf.DUMMYFUNCTION("LOWER(REGEXREPLACE(B149&amp;"" ""&amp;C149,""[^а-яa-z0-9 ]"","" ""))")," оутбук  cer   215 55  15 6         i3 1215   8  256       in11       ffice   d      cer  lassroom  anager ")</f>
        <v> оутбук  cer   215 55  15 6         i3 1215   8  256       in11       ffice   d      cer  lassroom  anager </v>
      </c>
    </row>
    <row r="150">
      <c r="A150" s="20" t="s">
        <v>319</v>
      </c>
      <c r="B150" s="15" t="s">
        <v>320</v>
      </c>
      <c r="C150" s="15"/>
      <c r="D150" s="21" t="s">
        <v>14</v>
      </c>
      <c r="E150" s="23">
        <v>1.0</v>
      </c>
      <c r="F150" s="28">
        <v>1.7</v>
      </c>
      <c r="G150" s="18">
        <v>412053.0</v>
      </c>
      <c r="H150" s="19" t="str">
        <f>IFERROR(__xludf.DUMMYFUNCTION("LOWER(REGEXREPLACE(B150&amp;"" ""&amp;C150,""[^а-яa-z0-9 ]"","" ""))")," оутбук  cer    514 31  14          i3  305   8 b   256 b        in11 ro      cer  lassroom  anager ")</f>
        <v> оутбук  cer    514 31  14          i3  305   8 b   256 b        in11 ro      cer  lassroom  anager </v>
      </c>
    </row>
    <row r="151">
      <c r="A151" s="20" t="s">
        <v>321</v>
      </c>
      <c r="B151" s="26" t="s">
        <v>322</v>
      </c>
      <c r="C151" s="15"/>
      <c r="D151" s="21" t="s">
        <v>14</v>
      </c>
      <c r="E151" s="23">
        <v>1.0</v>
      </c>
      <c r="F151" s="28">
        <v>1.7</v>
      </c>
      <c r="G151" s="18">
        <v>442449.0</v>
      </c>
      <c r="H151" s="19" t="str">
        <f>IFERROR(__xludf.DUMMYFUNCTION("LOWER(REGEXREPLACE(B151&amp;"" ""&amp;C151,""[^а-яa-z0-9 ]"","" ""))")," оутбук  cer    215 54  15 6          i3 1215    8 b   128 b      1 b       in11 ro      cer  lassroom  anager ")</f>
        <v> оутбук  cer    215 54  15 6          i3 1215    8 b   128 b      1 b       in11 ro      cer  lassroom  anager </v>
      </c>
    </row>
    <row r="152">
      <c r="A152" s="20" t="s">
        <v>323</v>
      </c>
      <c r="B152" s="15" t="s">
        <v>324</v>
      </c>
      <c r="C152" s="15"/>
      <c r="D152" s="21" t="s">
        <v>14</v>
      </c>
      <c r="E152" s="23">
        <v>1.0</v>
      </c>
      <c r="F152" s="28">
        <v>1.6</v>
      </c>
      <c r="G152" s="18">
        <v>442449.0</v>
      </c>
      <c r="H152" s="19" t="str">
        <f>IFERROR(__xludf.DUMMYFUNCTION("LOWER(REGEXREPLACE(B152&amp;"" ""&amp;C152,""[^а-яa-z0-9 ]"","" ""))")," оутбук  cer    214 54  15 6          i3 1215    8 b   256 b      ype   65    in11 ro      ype   65   cer  lassroom  anager ")</f>
        <v> оутбук  cer    214 54  15 6          i3 1215    8 b   256 b      ype   65    in11 ro      ype   65   cer  lassroom  anager </v>
      </c>
    </row>
    <row r="153">
      <c r="A153" s="20" t="s">
        <v>325</v>
      </c>
      <c r="B153" s="26" t="s">
        <v>326</v>
      </c>
      <c r="C153" s="15"/>
      <c r="D153" s="21" t="s">
        <v>14</v>
      </c>
      <c r="E153" s="23">
        <v>1.0</v>
      </c>
      <c r="F153" s="28">
        <v>1.7</v>
      </c>
      <c r="G153" s="18">
        <v>555315.0</v>
      </c>
      <c r="H153" s="19" t="str">
        <f>IFERROR(__xludf.DUMMYFUNCTION("LOWER(REGEXREPLACE(B153&amp;"" ""&amp;C153,""[^а-яa-z0-9 ]"","" ""))")," оутбук    215 54 15 6        i5 1235  8  б    4  512         in11 ro  du  cer  lassroom  anager ")</f>
        <v> оутбук    215 54 15 6        i5 1235  8  б    4  512         in11 ro  du  cer  lassroom  anager </v>
      </c>
    </row>
    <row r="154">
      <c r="A154" s="20" t="s">
        <v>327</v>
      </c>
      <c r="B154" s="26" t="s">
        <v>328</v>
      </c>
      <c r="C154" s="15"/>
      <c r="D154" s="21" t="s">
        <v>14</v>
      </c>
      <c r="E154" s="23">
        <v>1.0</v>
      </c>
      <c r="F154" s="27">
        <v>1.74</v>
      </c>
      <c r="G154" s="18">
        <v>483847.0</v>
      </c>
      <c r="H154" s="19" t="str">
        <f>IFERROR(__xludf.DUMMYFUNCTION("LOWER(REGEXREPLACE(B154&amp;"" ""&amp;C154,""[^а-яa-z0-9 ]"","" ""))")," оутбук    250  10       i3 1315  250  10   15 6            250   8   1     4 3200   256      e    e  alue    11p64   1yw    lint  paque kbd     magepad num kypd kbd    i  i 6     5 3 with 1  ntenna for  lastic  over    urbo  ilver  w     ebcam no  ingerp"&amp;"rint      3 year  ext  usiness  ay  esponse  nsite  otebook  ardware  upport ")</f>
        <v> оутбук    250  10       i3 1315  250  10   15 6            250   8   1     4 3200   256      e    e  alue    11p64   1yw    lint  paque kbd     magepad num kypd kbd    i  i 6     5 3 with 1  ntenna for  lastic  over    urbo  ilver  w     ebcam no  ingerprint      3 year  ext  usiness  ay  esponse  nsite  otebook  ardware  upport </v>
      </c>
    </row>
    <row r="155">
      <c r="A155" s="20" t="s">
        <v>329</v>
      </c>
      <c r="B155" s="15" t="s">
        <v>330</v>
      </c>
      <c r="C155" s="15"/>
      <c r="D155" s="21" t="s">
        <v>14</v>
      </c>
      <c r="E155" s="23">
        <v>1.0</v>
      </c>
      <c r="F155" s="24">
        <v>3.0</v>
      </c>
      <c r="G155" s="18">
        <v>875914.0</v>
      </c>
      <c r="H155" s="19" t="str">
        <f>IFERROR(__xludf.DUMMYFUNCTION("LOWER(REGEXREPLACE(B155&amp;"" ""&amp;C155,""[^а-яa-z0-9 ]"","" ""))")," ележка  cer  harging  ar для хранения и зарядки до 32 ноутбуков ")</f>
        <v> ележка  cer  harging  ar для хранения и зарядки до 32 ноутбуков </v>
      </c>
    </row>
    <row r="156">
      <c r="A156" s="20" t="s">
        <v>331</v>
      </c>
      <c r="B156" s="26" t="s">
        <v>332</v>
      </c>
      <c r="C156" s="15"/>
      <c r="D156" s="21" t="s">
        <v>14</v>
      </c>
      <c r="E156" s="23">
        <v>1.0</v>
      </c>
      <c r="F156" s="28">
        <v>2.4</v>
      </c>
      <c r="G156" s="18">
        <v>679328.0</v>
      </c>
      <c r="H156" s="19" t="str">
        <f>IFERROR(__xludf.DUMMYFUNCTION("LOWER(REGEXREPLACE(B156&amp;"" ""&amp;C156,""[^а-яa-z0-9 ]"","" ""))")," оутбук  enovo  16v  1   ntel   ore  i7 13700   rocessor    cores up to 3 70   z   cores up to 5 00   z  16     512         8            500  aptop     4          am 1080       indows 11 для образовательных учреждений ")</f>
        <v> оутбук  enovo  16v  1   ntel   ore  i7 13700   rocessor    cores up to 3 70   z   cores up to 5 00   z  16     512         8            500  aptop     4          am 1080       indows 11 для образовательных учреждений </v>
      </c>
    </row>
    <row r="157">
      <c r="A157" s="20" t="s">
        <v>333</v>
      </c>
      <c r="B157" s="26" t="s">
        <v>334</v>
      </c>
      <c r="C157" s="15"/>
      <c r="D157" s="21" t="s">
        <v>14</v>
      </c>
      <c r="E157" s="23">
        <v>1.0</v>
      </c>
      <c r="F157" s="28">
        <v>2.3</v>
      </c>
      <c r="G157" s="18">
        <v>427186.0</v>
      </c>
      <c r="H157" s="19" t="str">
        <f>IFERROR(__xludf.DUMMYFUNCTION("LOWER(REGEXREPLACE(B157&amp;"" ""&amp;C157,""[^а-яa-z0-9 ]"","" ""))")," оутбук  enovo  13  oga  4  1   ntel   ore  i5 1335   rocessor    cores up to 3 40   z   cores up to 4 60   z  13 3     512        16     nabled  iscrete    2 0        indows 11 для образовательных учреждений ")</f>
        <v> оутбук  enovo  13  oga  4  1   ntel   ore  i5 1335   rocessor    cores up to 3 40   z   cores up to 4 60   z  13 3     512        16     nabled  iscrete    2 0        indows 11 для образовательных учреждений </v>
      </c>
    </row>
    <row r="158">
      <c r="A158" s="20" t="s">
        <v>335</v>
      </c>
      <c r="B158" s="26" t="s">
        <v>336</v>
      </c>
      <c r="C158" s="15"/>
      <c r="D158" s="21" t="s">
        <v>14</v>
      </c>
      <c r="E158" s="23">
        <v>1.0</v>
      </c>
      <c r="F158" s="28">
        <v>2.4</v>
      </c>
      <c r="G158" s="18">
        <v>708632.0</v>
      </c>
      <c r="H158" s="19" t="str">
        <f>IFERROR(__xludf.DUMMYFUNCTION("LOWER(REGEXREPLACE(B158&amp;"" ""&amp;C158,""[^а-яa-z0-9 ]"","" ""))")," оутбук  enovo  16v  2  ntel   ore  i7 13700   rocessor    cores up to 3 70   z   cores up to 5 00   z  16      1        16          1000  aptop     6          am      indows 11 для образовательныхучреждений ")</f>
        <v> оутбук  enovo  16v  2  ntel   ore  i7 13700   rocessor    cores up to 3 70   z   cores up to 5 00   z  16      1        16          1000  aptop     6          am      indows 11 для образовательныхучреждений </v>
      </c>
    </row>
    <row r="159">
      <c r="A159" s="20" t="s">
        <v>337</v>
      </c>
      <c r="B159" s="15" t="s">
        <v>338</v>
      </c>
      <c r="C159" s="15"/>
      <c r="D159" s="21" t="s">
        <v>14</v>
      </c>
      <c r="E159" s="23">
        <v>1.0</v>
      </c>
      <c r="F159" s="28">
        <v>2.2</v>
      </c>
      <c r="G159" s="18">
        <v>347760.0</v>
      </c>
      <c r="H159" s="19" t="str">
        <f>IFERROR(__xludf.DUMMYFUNCTION("LOWER(REGEXREPLACE(B159&amp;"" ""&amp;C159,""[^а-яa-z0-9 ]"","" ""))")," оутбук  enovo  hink ook 16  6  1  ntel   ore  i3 1315   rocessor    cores up to 3 30   z   cores up to 4 50   z  16     8    256         ntegrated  ntel       raphics        am      indows 11 для образовательных учреждений ")</f>
        <v> оутбук  enovo  hink ook 16  6  1  ntel   ore  i3 1315   rocessor    cores up to 3 30   z   cores up to 4 50   z  16     8    256         ntegrated  ntel       raphics        am      indows 11 для образовательных учреждений </v>
      </c>
    </row>
    <row r="160">
      <c r="A160" s="20" t="s">
        <v>339</v>
      </c>
      <c r="B160" s="26" t="s">
        <v>340</v>
      </c>
      <c r="C160" s="15"/>
      <c r="D160" s="21" t="s">
        <v>14</v>
      </c>
      <c r="E160" s="23">
        <v>1.0</v>
      </c>
      <c r="F160" s="28">
        <v>2.2</v>
      </c>
      <c r="G160" s="18">
        <v>488826.0</v>
      </c>
      <c r="H160" s="19" t="str">
        <f>IFERROR(__xludf.DUMMYFUNCTION("LOWER(REGEXREPLACE(B160&amp;"" ""&amp;C160,""[^а-яa-z0-9 ]"","" ""))")," оутбук  enovo  hink ook 14  6  1  ntel   ore  i3 1315   rocessor    cores up to 3 30   z   cores up to 4 50   z  14      8       5 5200  z          256          2 2242    e  en4      ntel       raphics        am      indows 11 для образовательных учрежде"&amp;"ний ")</f>
        <v> оутбук  enovo  hink ook 14  6  1  ntel   ore  i3 1315   rocessor    cores up to 3 30   z   cores up to 4 50   z  14      8       5 5200  z          256          2 2242    e  en4      ntel       raphics        am      indows 11 для образовательных учреждений </v>
      </c>
    </row>
    <row r="161">
      <c r="A161" s="20" t="s">
        <v>341</v>
      </c>
      <c r="B161" s="26" t="s">
        <v>342</v>
      </c>
      <c r="C161" s="15"/>
      <c r="D161" s="21" t="s">
        <v>14</v>
      </c>
      <c r="E161" s="23">
        <v>1.0</v>
      </c>
      <c r="F161" s="28">
        <v>2.3</v>
      </c>
      <c r="G161" s="18">
        <v>549022.0</v>
      </c>
      <c r="H161" s="19" t="str">
        <f>IFERROR(__xludf.DUMMYFUNCTION("LOWER(REGEXREPLACE(B161&amp;"" ""&amp;C161,""[^а-яa-z0-9 ]"","" ""))")," оутбук  enovo  hink ook 14  6  2  ntel   ore  i5 1335   rocessor    cores up to 3 40   z   cores up to 4 60   z  14      8       5 5200  z          256          2 2242    e  en4      ntegrated  ntel       raphics        am      indows 11 для образователь"&amp;"ных учреждений ")</f>
        <v> оутбук  enovo  hink ook 14  6  2  ntel   ore  i5 1335   rocessor    cores up to 3 40   z   cores up to 4 60   z  14      8       5 5200  z          256          2 2242    e  en4      ntegrated  ntel       raphics        am      indows 11 для образовательных учреждений </v>
      </c>
    </row>
    <row r="162">
      <c r="A162" s="20" t="s">
        <v>343</v>
      </c>
      <c r="B162" s="26" t="s">
        <v>344</v>
      </c>
      <c r="C162" s="15"/>
      <c r="D162" s="21" t="s">
        <v>14</v>
      </c>
      <c r="E162" s="23">
        <v>1.0</v>
      </c>
      <c r="F162" s="28">
        <v>2.4</v>
      </c>
      <c r="G162" s="18">
        <v>638501.0</v>
      </c>
      <c r="H162" s="19" t="str">
        <f>IFERROR(__xludf.DUMMYFUNCTION("LOWER(REGEXREPLACE(B162&amp;"" ""&amp;C162,""[^а-яa-z0-9 ]"","" ""))")," оутбук  enovo  hink ook 14  6  3  ntel   ore  i7 13700   rocessor    cores up to 3 70   z   cores up to 5 00   z  14      8       5 5200  z          256          2 2242    e  en4      ntegrated  ntel       raphics        am      indows 11 для образовател"&amp;"ьных учреждений ")</f>
        <v> оутбук  enovo  hink ook 14  6  3  ntel   ore  i7 13700   rocessor    cores up to 3 70   z   cores up to 5 00   z  14      8       5 5200  z          256          2 2242    e  en4      ntegrated  ntel       raphics        am      indows 11 для образовательных учреждений </v>
      </c>
    </row>
    <row r="163">
      <c r="A163" s="20" t="s">
        <v>345</v>
      </c>
      <c r="B163" s="26" t="s">
        <v>346</v>
      </c>
      <c r="C163" s="15"/>
      <c r="D163" s="21" t="s">
        <v>14</v>
      </c>
      <c r="E163" s="23">
        <v>1.0</v>
      </c>
      <c r="F163" s="28">
        <v>2.3</v>
      </c>
      <c r="G163" s="18">
        <v>552169.0</v>
      </c>
      <c r="H163" s="19" t="str">
        <f>IFERROR(__xludf.DUMMYFUNCTION("LOWER(REGEXREPLACE(B163&amp;"" ""&amp;C163,""[^а-яa-z0-9 ]"","" ""))")," оутбук  enovo  hink ook 16  6  2  ntel   ore  i5 1335   rocessor    cores up to 3 40   z   cores up to 4 60   z  16      8       5 5200  z          256          2 2242    e  en4      ntegrated  ntel       raphics        am      indows 11 для образователь"&amp;"ных учреждений ")</f>
        <v> оутбук  enovo  hink ook 16  6  2  ntel   ore  i5 1335   rocessor    cores up to 3 40   z   cores up to 4 60   z  16      8       5 5200  z          256          2 2242    e  en4      ntegrated  ntel       raphics        am      indows 11 для образовательных учреждений </v>
      </c>
    </row>
    <row r="164">
      <c r="A164" s="20" t="s">
        <v>347</v>
      </c>
      <c r="B164" s="26" t="s">
        <v>348</v>
      </c>
      <c r="C164" s="15"/>
      <c r="D164" s="21" t="s">
        <v>14</v>
      </c>
      <c r="E164" s="23">
        <v>1.0</v>
      </c>
      <c r="F164" s="28">
        <v>2.4</v>
      </c>
      <c r="G164" s="18">
        <v>649382.0</v>
      </c>
      <c r="H164" s="19" t="str">
        <f>IFERROR(__xludf.DUMMYFUNCTION("LOWER(REGEXREPLACE(B164&amp;"" ""&amp;C164,""[^а-яa-z0-9 ]"","" ""))")," оутбук  enovo  hink ook 16  6  3  ntel   ore  i7 13700   rocessor    cores up to 3 70   z   cores up to 5 00   z  16      8       5 5200  z          256          2 2242    e  en4      ntegrated  ntel       raphics        am      indows 11 для образовател"&amp;"ьных учреждений ")</f>
        <v> оутбук  enovo  hink ook 16  6  3  ntel   ore  i7 13700   rocessor    cores up to 3 70   z   cores up to 5 00   z  16      8       5 5200  z          256          2 2242    e  en4      ntegrated  ntel       raphics        am      indows 11 для образовательных учреждений </v>
      </c>
    </row>
    <row r="165">
      <c r="A165" s="20" t="s">
        <v>349</v>
      </c>
      <c r="B165" s="15" t="s">
        <v>350</v>
      </c>
      <c r="C165" s="15"/>
      <c r="D165" s="21" t="s">
        <v>14</v>
      </c>
      <c r="E165" s="23">
        <v>1.0</v>
      </c>
      <c r="F165" s="28">
        <v>2.2</v>
      </c>
      <c r="G165" s="18">
        <v>491287.0</v>
      </c>
      <c r="H165" s="19" t="str">
        <f>IFERROR(__xludf.DUMMYFUNCTION("LOWER(REGEXREPLACE(B165&amp;"" ""&amp;C165,""[^а-яa-z0-9 ]"","" ""))")," оутбук  enovo  hink ook 16  6  1  ntel   ore  i3 1315   rocessor    cores up to 3 30   z   cores up to 4 50   z  16      8    256         ntegrated  ntel       raphics        am      enovo  hink ad  ssential  ireless  ouse  indows 11 для образовательных "&amp;"учреждений ")</f>
        <v> оутбук  enovo  hink ook 16  6  1  ntel   ore  i3 1315   rocessor    cores up to 3 30   z   cores up to 4 50   z  16      8    256         ntegrated  ntel       raphics        am      enovo  hink ad  ssential  ireless  ouse  indows 11 для образовательных учреждений </v>
      </c>
    </row>
    <row r="166">
      <c r="A166" s="20" t="s">
        <v>351</v>
      </c>
      <c r="B166" s="26" t="s">
        <v>352</v>
      </c>
      <c r="C166" s="15"/>
      <c r="D166" s="21" t="s">
        <v>14</v>
      </c>
      <c r="E166" s="23">
        <v>1.0</v>
      </c>
      <c r="F166" s="28">
        <v>2.3</v>
      </c>
      <c r="G166" s="18">
        <v>411653.0</v>
      </c>
      <c r="H166" s="19" t="str">
        <f>IFERROR(__xludf.DUMMYFUNCTION("LOWER(REGEXREPLACE(B166&amp;"" ""&amp;C166,""[^а-яa-z0-9 ]"","" ""))")," оутбук  enovo  90t  3  5  ntel   ore  i5 12400   rocessor    cores 2 50   z up to 4 40   z  16       5 4400  z         512          2 2280    e  en4      pal  e orce      1660        6       6        indows 11 для образовательных учреждений ")</f>
        <v> оутбук  enovo  90t  3  5  ntel   ore  i5 12400   rocessor    cores 2 50   z up to 4 40   z  16       5 4400  z         512          2 2280    e  en4      pal  e orce      1660        6       6        indows 11 для образовательных учреждений </v>
      </c>
    </row>
    <row r="167">
      <c r="A167" s="20" t="s">
        <v>353</v>
      </c>
      <c r="B167" s="26" t="s">
        <v>354</v>
      </c>
      <c r="C167" s="15"/>
      <c r="D167" s="21" t="s">
        <v>14</v>
      </c>
      <c r="E167" s="23">
        <v>1.0</v>
      </c>
      <c r="F167" s="24">
        <v>2.0</v>
      </c>
      <c r="G167" s="18">
        <v>345194.0</v>
      </c>
      <c r="H167" s="19" t="str">
        <f>IFERROR(__xludf.DUMMYFUNCTION("LOWER(REGEXREPLACE(B167&amp;"" ""&amp;C167,""[^а-яa-z0-9 ]"","" ""))")," оутбук  book  book  ite 15 6           i5 1240    8 b   256 b        in11 du ")</f>
        <v> оутбук  book  book  ite 15 6           i5 1240    8 b   256 b        in11 du </v>
      </c>
    </row>
    <row r="168">
      <c r="A168" s="20" t="s">
        <v>355</v>
      </c>
      <c r="B168" s="26" t="s">
        <v>356</v>
      </c>
      <c r="C168" s="15"/>
      <c r="D168" s="21" t="s">
        <v>14</v>
      </c>
      <c r="E168" s="23">
        <v>1.0</v>
      </c>
      <c r="F168" s="24">
        <v>2.0</v>
      </c>
      <c r="G168" s="18">
        <v>357885.0</v>
      </c>
      <c r="H168" s="19" t="str">
        <f>IFERROR(__xludf.DUMMYFUNCTION("LOWER(REGEXREPLACE(B168&amp;"" ""&amp;C168,""[^а-яa-z0-9 ]"","" ""))")," оутбук  book  book  ro 15 6           i5 1240    16 b   512 b        in11 du ")</f>
        <v> оутбук  book  book  ro 15 6           i5 1240    16 b   512 b        in11 du </v>
      </c>
    </row>
    <row r="169">
      <c r="A169" s="20" t="s">
        <v>357</v>
      </c>
      <c r="B169" s="26" t="s">
        <v>358</v>
      </c>
      <c r="C169" s="15"/>
      <c r="D169" s="21" t="s">
        <v>14</v>
      </c>
      <c r="E169" s="23">
        <v>1.0</v>
      </c>
      <c r="F169" s="24">
        <v>2.0</v>
      </c>
      <c r="G169" s="18">
        <v>403572.0</v>
      </c>
      <c r="H169" s="19" t="str">
        <f>IFERROR(__xludf.DUMMYFUNCTION("LOWER(REGEXREPLACE(B169&amp;"" ""&amp;C169,""[^а-яa-z0-9 ]"","" ""))")," оутбук  book  uantumflare 15 6           i7 1260    8 b   256 b        in11 du ")</f>
        <v> оутбук  book  uantumflare 15 6           i7 1260    8 b   256 b        in11 du </v>
      </c>
    </row>
    <row r="170">
      <c r="A170" s="20" t="s">
        <v>359</v>
      </c>
      <c r="B170" s="26" t="s">
        <v>360</v>
      </c>
      <c r="C170" s="15"/>
      <c r="D170" s="21" t="s">
        <v>14</v>
      </c>
      <c r="E170" s="23">
        <v>1.0</v>
      </c>
      <c r="F170" s="24">
        <v>2.0</v>
      </c>
      <c r="G170" s="18">
        <v>421338.0</v>
      </c>
      <c r="H170" s="19" t="str">
        <f>IFERROR(__xludf.DUMMYFUNCTION("LOWER(REGEXREPLACE(B170&amp;"" ""&amp;C170,""[^а-яa-z0-9 ]"","" ""))")," оутбук  book  hundercore  15 6           i7 1260    16 b   512 b        in11 du ")</f>
        <v> оутбук  book  hundercore  15 6           i7 1260    16 b   512 b        in11 du </v>
      </c>
    </row>
    <row r="171">
      <c r="A171" s="20" t="s">
        <v>361</v>
      </c>
      <c r="B171" s="26" t="s">
        <v>362</v>
      </c>
      <c r="C171" s="15"/>
      <c r="D171" s="21" t="s">
        <v>14</v>
      </c>
      <c r="E171" s="23">
        <v>1.0</v>
      </c>
      <c r="F171" s="24">
        <v>2.0</v>
      </c>
      <c r="G171" s="18">
        <v>289355.0</v>
      </c>
      <c r="H171" s="19" t="str">
        <f>IFERROR(__xludf.DUMMYFUNCTION("LOWER(REGEXREPLACE(B171&amp;"" ""&amp;C171,""[^а-яa-z0-9 ]"","" ""))")," оутбук  book  ova pectre 15 6            3 1135 4   8 b   256 b        in11 du ")</f>
        <v> оутбук  book  ova pectre 15 6            3 1135 4   8 b   256 b        in11 du </v>
      </c>
    </row>
    <row r="172">
      <c r="A172" s="20" t="s">
        <v>363</v>
      </c>
      <c r="B172" s="26" t="s">
        <v>364</v>
      </c>
      <c r="C172" s="15"/>
      <c r="D172" s="21" t="s">
        <v>14</v>
      </c>
      <c r="E172" s="23">
        <v>1.0</v>
      </c>
      <c r="F172" s="24">
        <v>2.0</v>
      </c>
      <c r="G172" s="18">
        <v>307122.0</v>
      </c>
      <c r="H172" s="19" t="str">
        <f>IFERROR(__xludf.DUMMYFUNCTION("LOWER(REGEXREPLACE(B172&amp;"" ""&amp;C172,""[^а-яa-z0-9 ]"","" ""))")," оутбук  book  ova pectre   15 6            3 1135 4   16 b   512 b        in11 du ")</f>
        <v> оутбук  book  ova pectre   15 6            3 1135 4   16 b   512 b        in11 du </v>
      </c>
    </row>
    <row r="173">
      <c r="A173" s="20" t="s">
        <v>365</v>
      </c>
      <c r="B173" s="26" t="s">
        <v>366</v>
      </c>
      <c r="C173" s="15"/>
      <c r="D173" s="21" t="s">
        <v>14</v>
      </c>
      <c r="E173" s="23">
        <v>1.0</v>
      </c>
      <c r="F173" s="28">
        <v>1.7</v>
      </c>
      <c r="G173" s="18">
        <v>554253.0</v>
      </c>
      <c r="H173" s="19" t="str">
        <f>IFERROR(__xludf.DUMMYFUNCTION("LOWER(REGEXREPLACE(B173&amp;"" ""&amp;C173,""[^а-яa-z0-9 ]"","" ""))")," оутбук     ro ook 450  10       i5 1335   ealtek      450  10   15 6             250     arrow ezel bent   8   1     4 3200   256      e    e  alue    11p64   1yw    ual  ry ic   2      amera    lickpad with numeric keypad    ntel   211  i  i 6  160   z "&amp;"     3 year  ext  usiness  ay  esponse  nsite  otebook  ardware  upport ")</f>
        <v> оутбук     ro ook 450  10       i5 1335   ealtek      450  10   15 6             250     arrow ezel bent   8   1     4 3200   256      e    e  alue    11p64   1yw    ual  ry ic   2      amera    lickpad with numeric keypad    ntel   211  i  i 6  160   z      3 year  ext  usiness  ay  esponse  nsite  otebook  ardware  upport </v>
      </c>
    </row>
    <row r="174">
      <c r="A174" s="20" t="s">
        <v>367</v>
      </c>
      <c r="B174" s="26" t="s">
        <v>368</v>
      </c>
      <c r="C174" s="15"/>
      <c r="D174" s="21" t="s">
        <v>14</v>
      </c>
      <c r="E174" s="23">
        <v>1.0</v>
      </c>
      <c r="F174" s="28">
        <v>1.7</v>
      </c>
      <c r="G174" s="18">
        <v>478044.0</v>
      </c>
      <c r="H174" s="19" t="str">
        <f>IFERROR(__xludf.DUMMYFUNCTION("LOWER(REGEXREPLACE(B174&amp;"" ""&amp;C174,""[^а-яa-z0-9 ]"","" ""))")," оутбук    250  10       i5 1334  250  10   15 6             250   8   1     4 3200   512      e    e  alue    11p64   1yw    lint  paque kbd     magepad num kypd  kbd    i  i 6     5 3 with 2  ntenna for  lastic  over    urbo  ilver  w     ebcam no  inge"&amp;"rprint  eader       o      3 year  ext  usiness  ay  esponse  nsite  otebook  ardware  upport ")</f>
        <v> оутбук    250  10       i5 1334  250  10   15 6             250   8   1     4 3200   512      e    e  alue    11p64   1yw    lint  paque kbd     magepad num kypd  kbd    i  i 6     5 3 with 2  ntenna for  lastic  over    urbo  ilver  w     ebcam no  ingerprint  eader       o      3 year  ext  usiness  ay  esponse  nsite  otebook  ardware  upport </v>
      </c>
    </row>
    <row r="175">
      <c r="A175" s="20" t="s">
        <v>369</v>
      </c>
      <c r="B175" s="15" t="s">
        <v>370</v>
      </c>
      <c r="C175" s="15" t="s">
        <v>371</v>
      </c>
      <c r="D175" s="21" t="s">
        <v>68</v>
      </c>
      <c r="E175" s="23">
        <v>2.0</v>
      </c>
      <c r="F175" s="28">
        <v>2.3</v>
      </c>
      <c r="G175" s="18">
        <v>329094.0</v>
      </c>
      <c r="H175" s="19" t="str">
        <f>IFERROR(__xludf.DUMMYFUNCTION("LOWER(REGEXREPLACE(B175&amp;"" ""&amp;C175,""[^а-яa-z0-9 ]"","" ""))"),"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кам"&amp;"ера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стройства"&amp;"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перифе"&amp;"рии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"&amp;"т")</f>
        <v>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т</v>
      </c>
    </row>
    <row r="176">
      <c r="A176" s="20" t="s">
        <v>372</v>
      </c>
      <c r="B176" s="15" t="s">
        <v>373</v>
      </c>
      <c r="C176" s="15"/>
      <c r="D176" s="21" t="s">
        <v>14</v>
      </c>
      <c r="E176" s="17"/>
      <c r="F176" s="16"/>
      <c r="G176" s="18"/>
      <c r="H176" s="19" t="str">
        <f>IFERROR(__xludf.DUMMYFUNCTION("LOWER(REGEXREPLACE(B176&amp;"" ""&amp;C176,""[^а-яa-z0-9 ]"","" ""))")," онитор ")</f>
        <v> онитор </v>
      </c>
    </row>
    <row r="177">
      <c r="A177" s="20" t="s">
        <v>374</v>
      </c>
      <c r="B177" s="15" t="s">
        <v>375</v>
      </c>
      <c r="C177" s="15"/>
      <c r="D177" s="21" t="s">
        <v>14</v>
      </c>
      <c r="E177" s="17"/>
      <c r="F177" s="16"/>
      <c r="G177" s="18">
        <v>160625.0</v>
      </c>
      <c r="H177" s="19" t="str">
        <f>IFERROR(__xludf.DUMMYFUNCTION("LOWER(REGEXREPLACE(B177&amp;"" ""&amp;C177,""[^а-яa-z0-9 ]"","" ""))")," онитор 27   cer   272   bmiiipx   lack    2560x1440 144 z 320кд м2   10 0  1   178   178 4m 3        ")</f>
        <v> онитор 27   cer   272   bmiiipx   lack    2560x1440 144 z 320кд м2   10 0  1   178   178 4m 3        </v>
      </c>
    </row>
    <row r="178">
      <c r="A178" s="20" t="s">
        <v>376</v>
      </c>
      <c r="B178" s="26" t="s">
        <v>377</v>
      </c>
      <c r="C178" s="15"/>
      <c r="D178" s="21" t="s">
        <v>14</v>
      </c>
      <c r="E178" s="17"/>
      <c r="F178" s="16"/>
      <c r="G178" s="18">
        <v>285705.0</v>
      </c>
      <c r="H178" s="19" t="str">
        <f>IFERROR(__xludf.DUMMYFUNCTION("LOWER(REGEXREPLACE(B178&amp;"" ""&amp;C178,""[^а-яa-z0-9 ]"","" ""))")," онитор 27        ro rt   278     lack  ilver     2560x1440 75 z 350кд м2      178 5ms 2x        ")</f>
        <v> онитор 27        ro rt   278     lack  ilver     2560x1440 75 z 350кд м2      178 5ms 2x        </v>
      </c>
    </row>
    <row r="179">
      <c r="A179" s="20" t="s">
        <v>378</v>
      </c>
      <c r="B179" s="15" t="s">
        <v>379</v>
      </c>
      <c r="C179" s="15"/>
      <c r="D179" s="21" t="s">
        <v>14</v>
      </c>
      <c r="E179" s="17"/>
      <c r="F179" s="16"/>
      <c r="G179" s="18">
        <v>177589.0</v>
      </c>
      <c r="H179" s="19" t="str">
        <f>IFERROR(__xludf.DUMMYFUNCTION("LOWER(REGEXREPLACE(B179&amp;"" ""&amp;C179,""[^а-яa-z0-9 ]"","" ""))")," онитор 27   ell  2722      lack      2560x1440 165 z  350кд м2 3000 1      178  2ms  2x        ")</f>
        <v> онитор 27   ell  2722      lack      2560x1440 165 z  350кд м2 3000 1      178  2ms  2x        </v>
      </c>
    </row>
    <row r="180">
      <c r="A180" s="20" t="s">
        <v>380</v>
      </c>
      <c r="B180" s="26" t="s">
        <v>381</v>
      </c>
      <c r="C180" s="15"/>
      <c r="D180" s="21" t="s">
        <v>14</v>
      </c>
      <c r="E180" s="17"/>
      <c r="F180" s="16"/>
      <c r="G180" s="18">
        <v>210546.0</v>
      </c>
      <c r="H180" s="19" t="str">
        <f>IFERROR(__xludf.DUMMYFUNCTION("LOWER(REGEXREPLACE(B180&amp;"" ""&amp;C180,""[^а-яa-z0-9 ]"","" ""))")," онитор 27      27 4   ireless   ilver  lack  3840x2160 60 z 300кд м2    10  1      178  5ms         ")</f>
        <v> онитор 27      27 4   ireless   ilver  lack  3840x2160 60 z 300кд м2    10  1      178  5ms         </v>
      </c>
    </row>
    <row r="181">
      <c r="A181" s="20" t="s">
        <v>382</v>
      </c>
      <c r="B181" s="15" t="s">
        <v>383</v>
      </c>
      <c r="C181" s="15"/>
      <c r="D181" s="21" t="s">
        <v>14</v>
      </c>
      <c r="E181" s="17"/>
      <c r="F181" s="16"/>
      <c r="G181" s="18">
        <v>103872.0</v>
      </c>
      <c r="H181" s="19" t="str">
        <f>IFERROR(__xludf.DUMMYFUNCTION("LOWER(REGEXREPLACE(B181&amp;"" ""&amp;C181,""[^а-яa-z0-9 ]"","" ""))")," онитор 27   hilips 272 1     lack       1920x1080 75 z  300кд м2  1000 1  1ms                  udio ")</f>
        <v> онитор 27   hilips 272 1     lack       1920x1080 75 z  300кд м2  1000 1  1ms                  udio </v>
      </c>
    </row>
    <row r="182">
      <c r="A182" s="20" t="s">
        <v>384</v>
      </c>
      <c r="B182" s="26" t="s">
        <v>385</v>
      </c>
      <c r="C182" s="15"/>
      <c r="D182" s="21" t="s">
        <v>14</v>
      </c>
      <c r="E182" s="17"/>
      <c r="F182" s="16"/>
      <c r="G182" s="18">
        <v>165345.0</v>
      </c>
      <c r="H182" s="19" t="str">
        <f>IFERROR(__xludf.DUMMYFUNCTION("LOWER(REGEXREPLACE(B182&amp;"" ""&amp;C182,""[^а-яa-z0-9 ]"","" ""))")," онитор 27           27 850      lack       2560x1440 75 z  350кд м2      178  4ms            3x    ")</f>
        <v> онитор 27           27 850      lack       2560x1440 75 z  350кд м2      178  4ms            3x    </v>
      </c>
    </row>
    <row r="183">
      <c r="A183" s="20" t="s">
        <v>386</v>
      </c>
      <c r="B183" s="15" t="s">
        <v>387</v>
      </c>
      <c r="C183" s="15"/>
      <c r="D183" s="21" t="s">
        <v>14</v>
      </c>
      <c r="E183" s="17"/>
      <c r="F183" s="27">
        <v>3.25</v>
      </c>
      <c r="G183" s="18">
        <v>59333.0</v>
      </c>
      <c r="H183" s="19" t="str">
        <f>IFERROR(__xludf.DUMMYFUNCTION("LOWER(REGEXREPLACE(B183&amp;"" ""&amp;C183,""[^а-яa-z0-9 ]"","" ""))")," онитор     eries 3  ro 21 5 inch      onitor   322pf ")</f>
        <v> онитор     eries 3  ro 21 5 inch      onitor   322pf </v>
      </c>
    </row>
    <row r="184">
      <c r="A184" s="20" t="s">
        <v>388</v>
      </c>
      <c r="B184" s="15" t="s">
        <v>389</v>
      </c>
      <c r="C184" s="15"/>
      <c r="D184" s="21" t="s">
        <v>14</v>
      </c>
      <c r="E184" s="17"/>
      <c r="F184" s="27">
        <v>3.78</v>
      </c>
      <c r="G184" s="18">
        <v>68861.0</v>
      </c>
      <c r="H184" s="19" t="str">
        <f>IFERROR(__xludf.DUMMYFUNCTION("LOWER(REGEXREPLACE(B184&amp;"" ""&amp;C184,""[^а-яa-z0-9 ]"","" ""))")," онитор     eries 3  ro 23 8 inch      onitor   324pf ")</f>
        <v> онитор     eries 3  ro 23 8 inch      onitor   324pf </v>
      </c>
    </row>
    <row r="185">
      <c r="A185" s="20" t="s">
        <v>390</v>
      </c>
      <c r="B185" s="15" t="s">
        <v>391</v>
      </c>
      <c r="C185" s="15"/>
      <c r="D185" s="21" t="s">
        <v>14</v>
      </c>
      <c r="E185" s="17"/>
      <c r="F185" s="24">
        <v>4.0</v>
      </c>
      <c r="G185" s="18">
        <v>85814.0</v>
      </c>
      <c r="H185" s="19" t="str">
        <f>IFERROR(__xludf.DUMMYFUNCTION("LOWER(REGEXREPLACE(B185&amp;"" ""&amp;C185,""[^а-яa-z0-9 ]"","" ""))")," онитор 23 8         24     black       1920x1080  16 9    75  ц  250cd m2   178   178   1000 1  8  1  5ms                   ")</f>
        <v> онитор 23 8         24     black       1920x1080  16 9    75  ц  250cd m2   178   178   1000 1  8  1  5ms                   </v>
      </c>
    </row>
    <row r="186">
      <c r="A186" s="20" t="s">
        <v>392</v>
      </c>
      <c r="B186" s="15" t="s">
        <v>393</v>
      </c>
      <c r="C186" s="15"/>
      <c r="D186" s="21" t="s">
        <v>14</v>
      </c>
      <c r="E186" s="17"/>
      <c r="F186" s="24">
        <v>4.0</v>
      </c>
      <c r="G186" s="18">
        <v>85814.0</v>
      </c>
      <c r="H186" s="19" t="str">
        <f>IFERROR(__xludf.DUMMYFUNCTION("LOWER(REGEXREPLACE(B186&amp;"" ""&amp;C186,""[^а-яa-z0-9 ]"","" ""))")," онитор 23 8         24     black       1920x1080  16 9    100  ц  250cd m2   178   178   1000 1  8  1  5ms 1x            ")</f>
        <v> онитор 23 8         24     black       1920x1080  16 9    100  ц  250cd m2   178   178   1000 1  8  1  5ms 1x            </v>
      </c>
    </row>
    <row r="187">
      <c r="A187" s="20" t="s">
        <v>394</v>
      </c>
      <c r="B187" s="15" t="s">
        <v>395</v>
      </c>
      <c r="C187" s="15"/>
      <c r="D187" s="21" t="s">
        <v>14</v>
      </c>
      <c r="E187" s="17"/>
      <c r="F187" s="24">
        <v>4.0</v>
      </c>
      <c r="G187" s="18">
        <v>106525.0</v>
      </c>
      <c r="H187" s="19" t="str">
        <f>IFERROR(__xludf.DUMMYFUNCTION("LOWER(REGEXREPLACE(B187&amp;"" ""&amp;C187,""[^а-яa-z0-9 ]"","" ""))")," онитор 23 8         24    black       1920x1080  16 9    75  250cd m2   178   178   1000 1  8  1  5ms                  ")</f>
        <v> онитор 23 8         24    black       1920x1080  16 9    75  250cd m2   178   178   1000 1  8  1  5ms                  </v>
      </c>
    </row>
    <row r="188">
      <c r="A188" s="20" t="s">
        <v>396</v>
      </c>
      <c r="B188" s="26" t="s">
        <v>397</v>
      </c>
      <c r="C188" s="15"/>
      <c r="D188" s="21" t="s">
        <v>14</v>
      </c>
      <c r="E188" s="17"/>
      <c r="F188" s="24">
        <v>8.0</v>
      </c>
      <c r="G188" s="18">
        <v>250328.0</v>
      </c>
      <c r="H188" s="19" t="str">
        <f>IFERROR(__xludf.DUMMYFUNCTION("LOWER(REGEXREPLACE(B188&amp;"" ""&amp;C188,""[^а-яa-z0-9 ]"","" ""))")," онитор 27        ro rt   278     lack  ilver     2560x1440 60 z 350кд м2      178 5ms      ini               4x    3 0  2x2   udio ")</f>
        <v> онитор 27        ro rt   278     lack  ilver     2560x1440 60 z 350кд м2      178 5ms      ini               4x    3 0  2x2   udio </v>
      </c>
    </row>
    <row r="189">
      <c r="A189" s="20" t="s">
        <v>398</v>
      </c>
      <c r="B189" s="26" t="s">
        <v>399</v>
      </c>
      <c r="C189" s="15"/>
      <c r="D189" s="21" t="s">
        <v>14</v>
      </c>
      <c r="E189" s="17"/>
      <c r="F189" s="24">
        <v>8.0</v>
      </c>
      <c r="G189" s="18">
        <v>217783.0</v>
      </c>
      <c r="H189" s="19" t="str">
        <f>IFERROR(__xludf.DUMMYFUNCTION("LOWER(REGEXREPLACE(B189&amp;"" ""&amp;C189,""[^а-яa-z0-9 ]"","" ""))")," онитор 27         27       lack     2560x1440 75 z 350кд м2      178 5ms         2x    2 0  2x2   udio ")</f>
        <v> онитор 27         27       lack     2560x1440 75 z 350кд м2      178 5ms         2x    2 0  2x2   udio </v>
      </c>
    </row>
    <row r="190">
      <c r="A190" s="20" t="s">
        <v>400</v>
      </c>
      <c r="B190" s="26" t="s">
        <v>401</v>
      </c>
      <c r="C190" s="15"/>
      <c r="D190" s="21" t="s">
        <v>14</v>
      </c>
      <c r="E190" s="17"/>
      <c r="F190" s="24">
        <v>8.0</v>
      </c>
      <c r="G190" s="18">
        <v>163936.0</v>
      </c>
      <c r="H190" s="19" t="str">
        <f>IFERROR(__xludf.DUMMYFUNCTION("LOWER(REGEXREPLACE(B190&amp;"" ""&amp;C190,""[^а-яa-z0-9 ]"","" ""))")," онитор 27         27     lack     1920x1080 75 z 250кд м2      178 5ms             ub  2x2   udio ")</f>
        <v> онитор 27         27     lack     1920x1080 75 z 250кд м2      178 5ms             ub  2x2   udio </v>
      </c>
    </row>
    <row r="191">
      <c r="A191" s="20" t="s">
        <v>402</v>
      </c>
      <c r="B191" s="26" t="s">
        <v>403</v>
      </c>
      <c r="C191" s="15"/>
      <c r="D191" s="21" t="s">
        <v>14</v>
      </c>
      <c r="E191" s="17"/>
      <c r="F191" s="24">
        <v>8.0</v>
      </c>
      <c r="G191" s="18">
        <v>76951.0</v>
      </c>
      <c r="H191" s="19" t="str">
        <f>IFERROR(__xludf.DUMMYFUNCTION("LOWER(REGEXREPLACE(B191&amp;"" ""&amp;C191,""[^а-яa-z0-9 ]"","" ""))")," онитор 27         27      lack    1920x1080 75 z 250кд м2      178 5ms           ub  2x2   udio ")</f>
        <v> онитор 27         27      lack    1920x1080 75 z 250кд м2      178 5ms           ub  2x2   udio </v>
      </c>
    </row>
    <row r="192">
      <c r="A192" s="20" t="s">
        <v>404</v>
      </c>
      <c r="B192" s="26" t="s">
        <v>405</v>
      </c>
      <c r="C192" s="15"/>
      <c r="D192" s="21" t="s">
        <v>14</v>
      </c>
      <c r="E192" s="23">
        <v>1.0</v>
      </c>
      <c r="F192" s="24">
        <v>6.0</v>
      </c>
      <c r="G192" s="18">
        <v>154677.0</v>
      </c>
      <c r="H192" s="19" t="str">
        <f>IFERROR(__xludf.DUMMYFUNCTION("LOWER(REGEXREPLACE(B192&amp;"" ""&amp;C192,""[^а-яa-z0-9 ]"","" ""))")," онитор 24   cer  ero  247 bmiprxv  16 10  ero rame         4ms 100  1     300nits             udio  ut  eight adj   ivot             lack  cer  co isplay ")</f>
        <v> онитор 24   cer  ero  247 bmiprxv  16 10  ero rame         4ms 100  1     300nits             udio  ut  eight adj   ivot             lack  cer  co isplay </v>
      </c>
    </row>
    <row r="193">
      <c r="A193" s="20" t="s">
        <v>406</v>
      </c>
      <c r="B193" s="26" t="s">
        <v>407</v>
      </c>
      <c r="C193" s="15"/>
      <c r="D193" s="21" t="s">
        <v>14</v>
      </c>
      <c r="E193" s="17"/>
      <c r="F193" s="27">
        <v>6.23</v>
      </c>
      <c r="G193" s="18">
        <v>220548.0</v>
      </c>
      <c r="H193" s="19" t="str">
        <f>IFERROR(__xludf.DUMMYFUNCTION("LOWER(REGEXREPLACE(B193&amp;"" ""&amp;C193,""[^а-яa-z0-9 ]"","" ""))")," онитор 27   enovo   hink ision  27p 30 4   ireless 3840x2160 60 z 350 nits 16 9          1300 1 4ms ")</f>
        <v> онитор 27   enovo   hink ision  27p 30 4   ireless 3840x2160 60 z 350 nits 16 9          1300 1 4ms </v>
      </c>
    </row>
    <row r="194">
      <c r="A194" s="20" t="s">
        <v>408</v>
      </c>
      <c r="B194" s="26" t="s">
        <v>409</v>
      </c>
      <c r="C194" s="15"/>
      <c r="D194" s="21" t="s">
        <v>14</v>
      </c>
      <c r="E194" s="17"/>
      <c r="F194" s="27">
        <v>3.14</v>
      </c>
      <c r="G194" s="18">
        <v>66724.0</v>
      </c>
      <c r="H194" s="19" t="str">
        <f>IFERROR(__xludf.DUMMYFUNCTION("LOWER(REGEXREPLACE(B194&amp;"" ""&amp;C194,""[^а-яa-z0-9 ]"","" ""))")," онитор 21 5   enovo  hink ision  22e 20 1920x1080     75 z 250 nits 16 9          3000 1 4ms ")</f>
        <v> онитор 21 5   enovo  hink ision  22e 20 1920x1080     75 z 250 nits 16 9          3000 1 4ms </v>
      </c>
    </row>
    <row r="195">
      <c r="A195" s="20" t="s">
        <v>410</v>
      </c>
      <c r="B195" s="26" t="s">
        <v>411</v>
      </c>
      <c r="C195" s="15"/>
      <c r="D195" s="21" t="s">
        <v>14</v>
      </c>
      <c r="E195" s="17"/>
      <c r="F195" s="27">
        <v>3.82</v>
      </c>
      <c r="G195" s="18">
        <v>76452.0</v>
      </c>
      <c r="H195" s="19" t="str">
        <f>IFERROR(__xludf.DUMMYFUNCTION("LOWER(REGEXREPLACE(B195&amp;"" ""&amp;C195,""[^а-яa-z0-9 ]"","" ""))")," онитор 23 8   enovo   hink ision  24i 30 1920x1080     100 z 250 nits 16 9          1300 1 4ms ")</f>
        <v> онитор 23 8   enovo   hink ision  24i 30 1920x1080     100 z 250 nits 16 9          1300 1 4ms </v>
      </c>
    </row>
    <row r="196">
      <c r="A196" s="20" t="s">
        <v>412</v>
      </c>
      <c r="B196" s="26" t="s">
        <v>413</v>
      </c>
      <c r="C196" s="15"/>
      <c r="D196" s="21" t="s">
        <v>14</v>
      </c>
      <c r="E196" s="17"/>
      <c r="F196" s="27">
        <v>6.23</v>
      </c>
      <c r="G196" s="18">
        <v>243277.0</v>
      </c>
      <c r="H196" s="19" t="str">
        <f>IFERROR(__xludf.DUMMYFUNCTION("LOWER(REGEXREPLACE(B196&amp;"" ""&amp;C196,""[^а-яa-z0-9 ]"","" ""))")," онитор 27   enovo   hink ision  27h 28 2560x1440 16 9 60 z 350 nits 1x      1 4  1x    1 2  1x    out  1x       3 2  en 1     1 2  lt  ode  4x     3 2  en 1  1x    1 2   1x       3 2  en 1 4ms ")</f>
        <v> онитор 27   enovo   hink ision  27h 28 2560x1440 16 9 60 z 350 nits 1x      1 4  1x    1 2  1x    out  1x       3 2  en 1     1 2  lt  ode  4x     3 2  en 1  1x    1 2   1x       3 2  en 1 4ms </v>
      </c>
    </row>
    <row r="197">
      <c r="A197" s="20" t="s">
        <v>414</v>
      </c>
      <c r="B197" s="26" t="s">
        <v>415</v>
      </c>
      <c r="C197" s="15"/>
      <c r="D197" s="21" t="s">
        <v>14</v>
      </c>
      <c r="E197" s="17"/>
      <c r="F197" s="27">
        <v>3.82</v>
      </c>
      <c r="G197" s="18">
        <v>93089.0</v>
      </c>
      <c r="H197" s="19" t="str">
        <f>IFERROR(__xludf.DUMMYFUNCTION("LOWER(REGEXREPLACE(B197&amp;"" ""&amp;C197,""[^а-яa-z0-9 ]"","" ""))")," онитор 23 8   enovo  hink ision  24 28 1920x1080 60 z 250 nits 1x      1 4  1x    1 2  1x     4ms ")</f>
        <v> онитор 23 8   enovo  hink ision  24 28 1920x1080 60 z 250 nits 1x      1 4  1x    1 2  1x     4ms </v>
      </c>
    </row>
    <row r="198">
      <c r="A198" s="20" t="s">
        <v>416</v>
      </c>
      <c r="B198" s="26" t="s">
        <v>417</v>
      </c>
      <c r="C198" s="15"/>
      <c r="D198" s="21" t="s">
        <v>14</v>
      </c>
      <c r="E198" s="17"/>
      <c r="F198" s="27">
        <v>6.23</v>
      </c>
      <c r="G198" s="18">
        <v>189230.0</v>
      </c>
      <c r="H198" s="19" t="str">
        <f>IFERROR(__xludf.DUMMYFUNCTION("LOWER(REGEXREPLACE(B198&amp;"" ""&amp;C198,""[^а-яa-z0-9 ]"","" ""))")," онитор 27   enovo  hink ision  27q 20 2560x1440 16 9 60 z 350 nits 1x      1 4  1x    1 2 4x     3 1  en 1  1x      1x       3 1  en 1 4ms ")</f>
        <v> онитор 27   enovo  hink ision  27q 20 2560x1440 16 9 60 z 350 nits 1x      1 4  1x    1 2 4x     3 1  en 1  1x      1x       3 1  en 1 4ms </v>
      </c>
    </row>
    <row r="199">
      <c r="A199" s="20" t="s">
        <v>418</v>
      </c>
      <c r="B199" s="26" t="s">
        <v>419</v>
      </c>
      <c r="C199" s="15"/>
      <c r="D199" s="21" t="s">
        <v>14</v>
      </c>
      <c r="E199" s="17"/>
      <c r="F199" s="27">
        <v>6.23</v>
      </c>
      <c r="G199" s="18">
        <v>140039.0</v>
      </c>
      <c r="H199" s="19" t="str">
        <f>IFERROR(__xludf.DUMMYFUNCTION("LOWER(REGEXREPLACE(B199&amp;"" ""&amp;C199,""[^а-яa-z0-9 ]"","" ""))")," онитор 27   enovo  hink ision  27i 30 1920x1080 100 z 300 nits 2x      1 4  1x     4ms ")</f>
        <v> онитор 27   enovo  hink ision  27i 30 1920x1080 100 z 300 nits 2x      1 4  1x     4ms </v>
      </c>
    </row>
    <row r="200">
      <c r="A200" s="20" t="s">
        <v>420</v>
      </c>
      <c r="B200" s="26" t="s">
        <v>421</v>
      </c>
      <c r="C200" s="15"/>
      <c r="D200" s="21" t="s">
        <v>14</v>
      </c>
      <c r="E200" s="17"/>
      <c r="F200" s="27">
        <v>6.23</v>
      </c>
      <c r="G200" s="18">
        <v>157800.0</v>
      </c>
      <c r="H200" s="19" t="str">
        <f>IFERROR(__xludf.DUMMYFUNCTION("LOWER(REGEXREPLACE(B200&amp;"" ""&amp;C200,""[^а-яa-z0-9 ]"","" ""))")," онитор 27   enovo  hink ision  27q 20 2560x1440 16 9 75 z 350 nits 1x      1 4  1x    1 2 4ms ")</f>
        <v> онитор 27   enovo  hink ision  27q 20 2560x1440 16 9 75 z 350 nits 1x      1 4  1x    1 2 4ms </v>
      </c>
    </row>
    <row r="201">
      <c r="A201" s="20" t="s">
        <v>422</v>
      </c>
      <c r="B201" s="26" t="s">
        <v>423</v>
      </c>
      <c r="C201" s="15"/>
      <c r="D201" s="21" t="s">
        <v>14</v>
      </c>
      <c r="E201" s="17"/>
      <c r="F201" s="28">
        <v>23.6</v>
      </c>
      <c r="G201" s="18">
        <v>2245733.0</v>
      </c>
      <c r="H201" s="19" t="str">
        <f>IFERROR(__xludf.DUMMYFUNCTION("LOWER(REGEXREPLACE(B201&amp;"" ""&amp;C201,""[^а-яa-z0-9 ]"","" ""))"),"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"&amp;"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у"&amp;"стойчива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круглосуточ"&amp;"ный  24 7   ориентация установки  горизонтальная и вертикальная ")</f>
        <v>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2">
      <c r="A202" s="20" t="s">
        <v>424</v>
      </c>
      <c r="B202" s="26" t="s">
        <v>425</v>
      </c>
      <c r="C202" s="15"/>
      <c r="D202" s="21" t="s">
        <v>14</v>
      </c>
      <c r="E202" s="17"/>
      <c r="F202" s="28">
        <v>23.6</v>
      </c>
      <c r="G202" s="18">
        <v>1892473.0</v>
      </c>
      <c r="H202" s="19" t="str">
        <f>IFERROR(__xludf.DUMMYFUNCTION("LOWER(REGEXREPLACE(B202&amp;"" ""&amp;C202,""[^а-яa-z0-9 ]"",""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"&amp;"ориентация установки  горизонтальная и вертикальная ")</f>
        <v>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3">
      <c r="A203" s="20" t="s">
        <v>426</v>
      </c>
      <c r="B203" s="26" t="s">
        <v>427</v>
      </c>
      <c r="C203" s="15"/>
      <c r="D203" s="21" t="s">
        <v>14</v>
      </c>
      <c r="E203" s="17"/>
      <c r="F203" s="28">
        <v>23.6</v>
      </c>
      <c r="G203" s="18">
        <v>1374175.0</v>
      </c>
      <c r="H203" s="19" t="str">
        <f>IFERROR(__xludf.DUMMYFUNCTION("LOWER(REGEXREPLACE(B203&amp;"" ""&amp;C203,""[^а-яa-z0-9 ]"",""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"&amp;"7   ориентация установки  горизонтальная и вертикальная ")</f>
        <v>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4">
      <c r="A204" s="20" t="s">
        <v>428</v>
      </c>
      <c r="B204" s="15" t="s">
        <v>429</v>
      </c>
      <c r="C204" s="15"/>
      <c r="D204" s="21" t="s">
        <v>14</v>
      </c>
      <c r="E204" s="17"/>
      <c r="F204" s="28">
        <v>3.9</v>
      </c>
      <c r="G204" s="18">
        <v>87244.0</v>
      </c>
      <c r="H204" s="19" t="str">
        <f>IFERROR(__xludf.DUMMYFUNCTION("LOWER(REGEXREPLACE(B204&amp;"" ""&amp;C204,""[^а-яa-z0-9 ]"","" ""))")," онитор  диагональ  23 8 дюйма  технология       соотношение сторон  16 9  разрешение   ull     1920 x 1080   яркость  250 кд м   порты  2 x       выход для наушников ")</f>
        <v> онитор  диагональ  23 8 дюйма  технология       соотношение сторон  16 9  разрешение   ull     1920 x 1080   яркость  250 кд м   порты  2 x       выход для наушников </v>
      </c>
    </row>
    <row r="205">
      <c r="A205" s="20" t="s">
        <v>430</v>
      </c>
      <c r="B205" s="15" t="s">
        <v>431</v>
      </c>
      <c r="C205" s="15"/>
      <c r="D205" s="21" t="s">
        <v>14</v>
      </c>
      <c r="E205" s="17"/>
      <c r="F205" s="28">
        <v>5.2</v>
      </c>
      <c r="G205" s="18">
        <v>105234.0</v>
      </c>
      <c r="H205" s="19" t="str">
        <f>IFERROR(__xludf.DUMMYFUNCTION("LOWER(REGEXREPLACE(B205&amp;"" ""&amp;C205,""[^а-яa-z0-9 ]"","" ""))")," онитор  диагональ  27 дюймов  технология       соотношение сторон  16 9  разрешение   ull     1920 x 1080   яркость  250 кд м   количество портов       1  порты  2 x       выход для наушников ")</f>
        <v> онитор  диагональ  27 дюймов  технология       соотношение сторон  16 9  разрешение   ull     1920 x 1080   яркость  250 кд м   количество портов       1  порты  2 x       выход для наушников </v>
      </c>
    </row>
    <row r="206">
      <c r="A206" s="20" t="s">
        <v>432</v>
      </c>
      <c r="B206" s="15" t="s">
        <v>433</v>
      </c>
      <c r="C206" s="15"/>
      <c r="D206" s="21" t="s">
        <v>14</v>
      </c>
      <c r="E206" s="17"/>
      <c r="F206" s="28">
        <v>10.7</v>
      </c>
      <c r="G206" s="18">
        <v>236549.0</v>
      </c>
      <c r="H206" s="19" t="str">
        <f>IFERROR(__xludf.DUMMYFUNCTION("LOWER(REGEXREPLACE(B206&amp;"" ""&amp;C206,""[^а-яa-z0-9 ]"","" ""))"),"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х"&amp;"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цветов"&amp;"ой чувствительности  супер разрешение   стабилизатор черного цвета     10  динамическая синхронизация действий       ethernet  autopivot ")</f>
        <v>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7">
      <c r="A207" s="20" t="s">
        <v>434</v>
      </c>
      <c r="B207" s="15" t="s">
        <v>435</v>
      </c>
      <c r="C207" s="15"/>
      <c r="D207" s="21" t="s">
        <v>14</v>
      </c>
      <c r="E207" s="17"/>
      <c r="F207" s="28">
        <v>10.7</v>
      </c>
      <c r="G207" s="18">
        <v>259930.0</v>
      </c>
      <c r="H207" s="19" t="str">
        <f>IFERROR(__xludf.DUMMYFUNCTION("LOWER(REGEXREPLACE(B207&amp;"" ""&amp;C207,""[^а-яa-z0-9 ]"","" ""))"),"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usb"&amp;"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"&amp;"встроенный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f>
        <v>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8">
      <c r="A208" s="20" t="s">
        <v>436</v>
      </c>
      <c r="B208" s="26" t="s">
        <v>437</v>
      </c>
      <c r="C208" s="15"/>
      <c r="D208" s="21" t="s">
        <v>14</v>
      </c>
      <c r="E208" s="17"/>
      <c r="F208" s="28">
        <v>8.3</v>
      </c>
      <c r="G208" s="18">
        <v>194274.0</v>
      </c>
      <c r="H208" s="19" t="str">
        <f>IFERROR(__xludf.DUMMYFUNCTION("LOWER(REGEXREPLACE(B208&amp;"" ""&amp;C208,""[^а-яa-z0-9 ]"","" ""))"),"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шт"&amp;"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"&amp;" режим чтения  снижение цветовой чувствительности  супер разрешение   динамическая синхронизация действий ")</f>
        <v>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 </v>
      </c>
    </row>
    <row r="209">
      <c r="A209" s="20" t="s">
        <v>438</v>
      </c>
      <c r="B209" s="26" t="s">
        <v>439</v>
      </c>
      <c r="C209" s="15"/>
      <c r="D209" s="21" t="s">
        <v>14</v>
      </c>
      <c r="E209" s="17"/>
      <c r="F209" s="28">
        <v>57.3</v>
      </c>
      <c r="G209" s="18">
        <v>1485276.0</v>
      </c>
      <c r="H209" s="19" t="str">
        <f>IFERROR(__xludf.DUMMYFUNCTION("LOWER(REGEXREPLACE(B209&amp;"" ""&amp;C209,""[^а-яa-z0-9 ]"","" ""))"),"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энергопотре"&amp;"бление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"&amp;"память 4    ")</f>
        <v>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память 4    </v>
      </c>
    </row>
    <row r="210">
      <c r="A210" s="20" t="s">
        <v>440</v>
      </c>
      <c r="B210" s="26" t="s">
        <v>441</v>
      </c>
      <c r="C210" s="15"/>
      <c r="D210" s="21" t="s">
        <v>14</v>
      </c>
      <c r="E210" s="17"/>
      <c r="F210" s="28">
        <v>70.7</v>
      </c>
      <c r="G210" s="18">
        <v>1772304.0</v>
      </c>
      <c r="H210" s="19" t="str">
        <f>IFERROR(__xludf.DUMMYFUNCTION("LOWER(REGEXREPLACE(B210&amp;"" ""&amp;C210,""[^а-яa-z0-9 ]"","" ""))"),"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энерго"&amp;"потребление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"&amp;"0  встроенная память 32     оперативная память 4    ")</f>
        <v>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0  встроенная память 32     оперативная память 4    </v>
      </c>
    </row>
    <row r="211">
      <c r="A211" s="20" t="s">
        <v>442</v>
      </c>
      <c r="B211" s="15" t="s">
        <v>443</v>
      </c>
      <c r="C211" s="15"/>
      <c r="D211" s="21" t="s">
        <v>14</v>
      </c>
      <c r="E211" s="17"/>
      <c r="F211" s="16"/>
      <c r="G211" s="18"/>
      <c r="H211" s="19" t="str">
        <f>IFERROR(__xludf.DUMMYFUNCTION("LOWER(REGEXREPLACE(B211&amp;"" ""&amp;C211,""[^а-яa-z0-9 ]"","" ""))"),"   3 плеер ")</f>
        <v>   3 плеер </v>
      </c>
    </row>
    <row r="212">
      <c r="A212" s="20" t="s">
        <v>444</v>
      </c>
      <c r="B212" s="15" t="s">
        <v>445</v>
      </c>
      <c r="C212" s="15"/>
      <c r="D212" s="21" t="s">
        <v>14</v>
      </c>
      <c r="E212" s="17"/>
      <c r="F212" s="16"/>
      <c r="G212" s="18">
        <v>37878.0</v>
      </c>
      <c r="H212" s="19" t="str">
        <f>IFERROR(__xludf.DUMMYFUNCTION("LOWER(REGEXREPLACE(B212&amp;"" ""&amp;C212,""[^а-яa-z0-9 ]"","" ""))"),"  3  layer  ii   3     3                     oice ec   qualizer        ilver ")</f>
        <v>  3  layer  ii   3     3                     oice ec   qualizer        ilver </v>
      </c>
    </row>
    <row r="213">
      <c r="A213" s="20" t="s">
        <v>446</v>
      </c>
      <c r="B213" s="15" t="s">
        <v>447</v>
      </c>
      <c r="C213" s="15"/>
      <c r="D213" s="21" t="s">
        <v>14</v>
      </c>
      <c r="E213" s="17"/>
      <c r="F213" s="16"/>
      <c r="G213" s="18">
        <v>41494.0</v>
      </c>
      <c r="H213" s="19" t="str">
        <f>IFERROR(__xludf.DUMMYFUNCTION("LOWER(REGEXREPLACE(B213&amp;"" ""&amp;C213,""[^а-яa-z0-9 ]"","" ""))"),"  3  layer  ony     394  8 b    3                adio   qualizer  35 hours   lack ")</f>
        <v>  3  layer  ony     394  8 b    3                adio   qualizer  35 hours   lack </v>
      </c>
    </row>
    <row r="214">
      <c r="A214" s="20" t="s">
        <v>448</v>
      </c>
      <c r="B214" s="15" t="s">
        <v>449</v>
      </c>
      <c r="C214" s="15"/>
      <c r="D214" s="21" t="s">
        <v>14</v>
      </c>
      <c r="E214" s="17"/>
      <c r="F214" s="16"/>
      <c r="G214" s="18"/>
      <c r="H214" s="19" t="str">
        <f>IFERROR(__xludf.DUMMYFUNCTION("LOWER(REGEXREPLACE(B214&amp;"" ""&amp;C214,""[^а-яa-z0-9 ]"","" ""))")," елевизор ")</f>
        <v> елевизор </v>
      </c>
    </row>
    <row r="215">
      <c r="A215" s="20" t="s">
        <v>450</v>
      </c>
      <c r="B215" s="15" t="s">
        <v>451</v>
      </c>
      <c r="C215" s="15"/>
      <c r="D215" s="21" t="s">
        <v>14</v>
      </c>
      <c r="E215" s="17"/>
      <c r="F215" s="16"/>
      <c r="G215" s="18">
        <v>117513.0</v>
      </c>
      <c r="H215" s="19" t="str">
        <f>IFERROR(__xludf.DUMMYFUNCTION("LOWER(REGEXREPLACE(B215&amp;"" ""&amp;C215,""[^а-яa-z0-9 ]"","" ""))"),"     елевизор  ivi 32 710    32  81 2см    ull    1920x1080   3x      2x      mart       i  i ")</f>
        <v>     елевизор  ivi 32 710    32  81 2см    ull    1920x1080   3x      2x      mart       i  i </v>
      </c>
    </row>
    <row r="216">
      <c r="A216" s="20" t="s">
        <v>452</v>
      </c>
      <c r="B216" s="26" t="s">
        <v>453</v>
      </c>
      <c r="C216" s="15"/>
      <c r="D216" s="21" t="s">
        <v>14</v>
      </c>
      <c r="E216" s="17"/>
      <c r="F216" s="16"/>
      <c r="G216" s="18">
        <v>116063.0</v>
      </c>
      <c r="H216" s="19" t="str">
        <f>IFERROR(__xludf.DUMMYFUNCTION("LOWER(REGEXREPLACE(B216&amp;"" ""&amp;C216,""[^а-яa-z0-9 ]"","" ""))"),"     елевизор  iaomi  i     1  32   80см      1366x768   3x      2x      i  i            mart ")</f>
        <v>     елевизор  iaomi  i     1  32   80см      1366x768   3x      2x      i  i            mart </v>
      </c>
    </row>
    <row r="217">
      <c r="A217" s="20" t="s">
        <v>454</v>
      </c>
      <c r="B217" s="26" t="s">
        <v>455</v>
      </c>
      <c r="C217" s="15"/>
      <c r="D217" s="21" t="s">
        <v>14</v>
      </c>
      <c r="E217" s="17"/>
      <c r="F217" s="16"/>
      <c r="G217" s="18">
        <v>147313.0</v>
      </c>
      <c r="H217" s="19" t="str">
        <f>IFERROR(__xludf.DUMMYFUNCTION("LOWER(REGEXREPLACE(B217&amp;"" ""&amp;C217,""[^а-яa-z0-9 ]"","" ""))"),"     елевизор  ivi 40 740    40  102 см    ull    1920x1080   3x      2x      i  i        mart     ")</f>
        <v>     елевизор  ivi 40 740    40  102 см    ull    1920x1080   3x      2x      i  i        mart     </v>
      </c>
    </row>
    <row r="218">
      <c r="A218" s="20" t="s">
        <v>456</v>
      </c>
      <c r="B218" s="26" t="s">
        <v>457</v>
      </c>
      <c r="C218" s="15"/>
      <c r="D218" s="21" t="s">
        <v>14</v>
      </c>
      <c r="E218" s="17"/>
      <c r="F218" s="16"/>
      <c r="G218" s="18">
        <v>156305.0</v>
      </c>
      <c r="H218" s="19" t="str">
        <f>IFERROR(__xludf.DUMMYFUNCTION("LOWER(REGEXREPLACE(B218&amp;"" ""&amp;C218,""[^а-яa-z0-9 ]"","" ""))"),"     елевизор  aturn    50   800 4   50  127см    ltral    3840x2160   60 z  3x      3x    ")</f>
        <v>     елевизор  aturn    50   800 4   50  127см    ltral    3840x2160   60 z  3x      3x    </v>
      </c>
    </row>
    <row r="219">
      <c r="A219" s="20" t="s">
        <v>458</v>
      </c>
      <c r="B219" s="15" t="s">
        <v>459</v>
      </c>
      <c r="C219" s="15"/>
      <c r="D219" s="21" t="s">
        <v>14</v>
      </c>
      <c r="E219" s="17"/>
      <c r="F219" s="16"/>
      <c r="G219" s="18">
        <v>298688.0</v>
      </c>
      <c r="H219" s="19" t="str">
        <f>IFERROR(__xludf.DUMMYFUNCTION("LOWER(REGEXREPLACE(B219&amp;"" ""&amp;C219,""[^а-яa-z0-9 ]"","" ""))"),"     елевизор  amsung   55  8000      55  140 см        3840x2160   3х     2x               mart ")</f>
        <v>     елевизор  amsung   55  8000      55  140 см        3840x2160   3х     2x               mart </v>
      </c>
    </row>
    <row r="220">
      <c r="A220" s="20" t="s">
        <v>460</v>
      </c>
      <c r="B220" s="26" t="s">
        <v>461</v>
      </c>
      <c r="C220" s="15"/>
      <c r="D220" s="21" t="s">
        <v>14</v>
      </c>
      <c r="E220" s="17"/>
      <c r="F220" s="24">
        <v>14.0</v>
      </c>
      <c r="G220" s="18">
        <v>224812.0</v>
      </c>
      <c r="H220" s="19" t="str">
        <f>IFERROR(__xludf.DUMMYFUNCTION("LOWER(REGEXREPLACE(B220&amp;"" ""&amp;C220,""[^а-яa-z0-9 ]"","" ""))")," елевизор      55 23100 4   55   139 см    ltra    4   3840x2160          mart    ")</f>
        <v> елевизор      55 23100 4   55   139 см    ltra    4   3840x2160          mart    </v>
      </c>
    </row>
    <row r="221">
      <c r="A221" s="20" t="s">
        <v>462</v>
      </c>
      <c r="B221" s="26" t="s">
        <v>463</v>
      </c>
      <c r="C221" s="15"/>
      <c r="D221" s="21" t="s">
        <v>14</v>
      </c>
      <c r="E221" s="17"/>
      <c r="F221" s="24">
        <v>12.0</v>
      </c>
      <c r="G221" s="18">
        <v>198733.0</v>
      </c>
      <c r="H221" s="19" t="str">
        <f>IFERROR(__xludf.DUMMYFUNCTION("LOWER(REGEXREPLACE(B221&amp;"" ""&amp;C221,""[^а-яa-z0-9 ]"","" ""))")," елевизор      50 23100 4   50   127 см    ltra    4   3840x2160          mart    ")</f>
        <v> елевизор      50 23100 4   50   127 см    ltra    4   3840x2160          mart    </v>
      </c>
    </row>
    <row r="222">
      <c r="A222" s="20" t="s">
        <v>464</v>
      </c>
      <c r="B222" s="26" t="s">
        <v>465</v>
      </c>
      <c r="C222" s="15"/>
      <c r="D222" s="21" t="s">
        <v>14</v>
      </c>
      <c r="E222" s="17"/>
      <c r="F222" s="24">
        <v>8.0</v>
      </c>
      <c r="G222" s="18">
        <v>134884.0</v>
      </c>
      <c r="H222" s="19" t="str">
        <f>IFERROR(__xludf.DUMMYFUNCTION("LOWER(REGEXREPLACE(B222&amp;"" ""&amp;C222,""[^а-яa-z0-9 ]"","" ""))")," елевизор      43 23100 2   43   109 см          mart    ")</f>
        <v> елевизор      43 23100 2   43   109 см          mart    </v>
      </c>
    </row>
    <row r="223">
      <c r="A223" s="20" t="s">
        <v>466</v>
      </c>
      <c r="B223" s="26" t="s">
        <v>467</v>
      </c>
      <c r="C223" s="15" t="s">
        <v>468</v>
      </c>
      <c r="D223" s="21" t="s">
        <v>14</v>
      </c>
      <c r="E223" s="17"/>
      <c r="F223" s="28">
        <v>45.2</v>
      </c>
      <c r="G223" s="18">
        <v>1521791.0</v>
      </c>
      <c r="H223" s="19" t="str">
        <f>IFERROR(__xludf.DUMMYFUNCTION("LOWER(REGEXREPLACE(B223&amp;"" ""&amp;C223,""[^а-яa-z0-9 ]"","" ""))"),"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f>
        <v>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v>
      </c>
    </row>
    <row r="224">
      <c r="A224" s="20" t="s">
        <v>469</v>
      </c>
      <c r="B224" s="26" t="s">
        <v>470</v>
      </c>
      <c r="C224" s="15" t="s">
        <v>471</v>
      </c>
      <c r="D224" s="21" t="s">
        <v>14</v>
      </c>
      <c r="E224" s="17"/>
      <c r="F224" s="28">
        <v>31.4</v>
      </c>
      <c r="G224" s="18">
        <v>1260954.0</v>
      </c>
      <c r="H224" s="19" t="str">
        <f>IFERROR(__xludf.DUMMYFUNCTION("LOWER(REGEXREPLACE(B224&amp;"" ""&amp;C224,""[^а-яa-z0-9 ]"","" ""))"),"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f>
        <v>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v>
      </c>
    </row>
    <row r="225">
      <c r="A225" s="20" t="s">
        <v>472</v>
      </c>
      <c r="B225" s="26" t="s">
        <v>473</v>
      </c>
      <c r="C225" s="15" t="s">
        <v>474</v>
      </c>
      <c r="D225" s="21" t="s">
        <v>14</v>
      </c>
      <c r="E225" s="17"/>
      <c r="F225" s="28">
        <v>21.5</v>
      </c>
      <c r="G225" s="18">
        <v>670369.0</v>
      </c>
      <c r="H225" s="19" t="str">
        <f>IFERROR(__xludf.DUMMYFUNCTION("LOWER(REGEXREPLACE(B225&amp;"" ""&amp;C225,""[^а-яa-z0-9 ]"","" ""))"),"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6">
      <c r="A226" s="20" t="s">
        <v>475</v>
      </c>
      <c r="B226" s="26" t="s">
        <v>476</v>
      </c>
      <c r="C226" s="15" t="s">
        <v>474</v>
      </c>
      <c r="D226" s="21" t="s">
        <v>14</v>
      </c>
      <c r="E226" s="17"/>
      <c r="F226" s="24">
        <v>14.0</v>
      </c>
      <c r="G226" s="18">
        <v>493609.0</v>
      </c>
      <c r="H226" s="19" t="str">
        <f>IFERROR(__xludf.DUMMYFUNCTION("LOWER(REGEXREPLACE(B226&amp;"" ""&amp;C226,""[^а-яa-z0-9 ]"","" ""))"),"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7">
      <c r="A227" s="20" t="s">
        <v>477</v>
      </c>
      <c r="B227" s="26" t="s">
        <v>478</v>
      </c>
      <c r="C227" s="15" t="s">
        <v>474</v>
      </c>
      <c r="D227" s="21" t="s">
        <v>14</v>
      </c>
      <c r="E227" s="17"/>
      <c r="F227" s="28">
        <v>11.7</v>
      </c>
      <c r="G227" s="18">
        <v>560416.0</v>
      </c>
      <c r="H227" s="19" t="str">
        <f>IFERROR(__xludf.DUMMYFUNCTION("LOWER(REGEXREPLACE(B227&amp;"" ""&amp;C227,""[^а-яa-z0-9 ]"","" ""))"),"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8">
      <c r="A228" s="20" t="s">
        <v>479</v>
      </c>
      <c r="B228" s="26" t="s">
        <v>480</v>
      </c>
      <c r="C228" s="15" t="s">
        <v>474</v>
      </c>
      <c r="D228" s="21" t="s">
        <v>14</v>
      </c>
      <c r="E228" s="17"/>
      <c r="F228" s="28">
        <v>8.8</v>
      </c>
      <c r="G228" s="18">
        <v>387983.0</v>
      </c>
      <c r="H228" s="19" t="str">
        <f>IFERROR(__xludf.DUMMYFUNCTION("LOWER(REGEXREPLACE(B228&amp;"" ""&amp;C228,""[^а-яa-z0-9 ]"","" ""))"),"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f>
        <v>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9">
      <c r="A229" s="20" t="s">
        <v>481</v>
      </c>
      <c r="B229" s="15" t="s">
        <v>482</v>
      </c>
      <c r="C229" s="15"/>
      <c r="D229" s="21" t="s">
        <v>14</v>
      </c>
      <c r="E229" s="17"/>
      <c r="F229" s="16"/>
      <c r="G229" s="18"/>
      <c r="H229" s="19" t="str">
        <f>IFERROR(__xludf.DUMMYFUNCTION("LOWER(REGEXREPLACE(B229&amp;"" ""&amp;C229,""[^а-яa-z0-9 ]"","" ""))")," ринтер ")</f>
        <v> ринтер </v>
      </c>
    </row>
    <row r="230">
      <c r="A230" s="20" t="s">
        <v>483</v>
      </c>
      <c r="B230" s="15" t="s">
        <v>484</v>
      </c>
      <c r="C230" s="15"/>
      <c r="D230" s="21" t="s">
        <v>14</v>
      </c>
      <c r="E230" s="17"/>
      <c r="F230" s="28">
        <v>45.1</v>
      </c>
      <c r="G230" s="18">
        <v>1708791.0</v>
      </c>
      <c r="H230" s="19" t="str">
        <f>IFERROR(__xludf.DUMMYFUNCTION("LOWER(REGEXREPLACE(B230&amp;"" ""&amp;C230,""[^а-яa-z0-9 ]"","" ""))")," ринтер  3 цветной     olor  aser et  nt  751dn  rntr ")</f>
        <v> ринтер  3 цветной     olor  aser et  nt  751dn  rntr </v>
      </c>
    </row>
    <row r="231">
      <c r="A231" s="20" t="s">
        <v>485</v>
      </c>
      <c r="B231" s="15" t="s">
        <v>486</v>
      </c>
      <c r="C231" s="15"/>
      <c r="D231" s="21" t="s">
        <v>14</v>
      </c>
      <c r="E231" s="17"/>
      <c r="F231" s="24">
        <v>79.0</v>
      </c>
      <c r="G231" s="18">
        <v>949286.0</v>
      </c>
      <c r="H231" s="19" t="str">
        <f>IFERROR(__xludf.DUMMYFUNCTION("LOWER(REGEXREPLACE(B231&amp;"" ""&amp;C231,""[^а-яa-z0-9 ]"","" ""))")," ринтер  3 цветной  erox  ersa ink  7000   i       35 35 стр мин   4   19 19 стр мин   3   520 100 стр   1 05  z  ual ore  2     ost cript 3     5c 6      3 0  10 100 1000 ethernet  optional wi fi  1200x2400      ersa ink  7000   7000     ")</f>
        <v> ринтер  3 цветной  erox  ersa ink  7000   i       35 35 стр мин   4   19 19 стр мин   3   520 100 стр   1 05  z  ual ore  2     ost cript 3     5c 6      3 0  10 100 1000 ethernet  optional wi fi  1200x2400      ersa ink  7000   7000     </v>
      </c>
    </row>
    <row r="232">
      <c r="A232" s="20" t="s">
        <v>487</v>
      </c>
      <c r="B232" s="15" t="s">
        <v>488</v>
      </c>
      <c r="C232" s="15"/>
      <c r="D232" s="21" t="s">
        <v>14</v>
      </c>
      <c r="E232" s="17"/>
      <c r="F232" s="28">
        <v>3.5</v>
      </c>
      <c r="G232" s="18">
        <v>296776.0</v>
      </c>
      <c r="H232" s="19" t="str">
        <f>IFERROR(__xludf.DUMMYFUNCTION("LOWER(REGEXREPLACE(B232&amp;"" ""&amp;C232,""[^а-яa-z0-9 ]"","" ""))")," ринтер  4 цветной  pson  8058               ype     i  i  5760 x 1440 dpi  0х15см   draft        indows и      ")</f>
        <v> ринтер  4 цветной  pson  8058               ype     i  i  5760 x 1440 dpi  0х15см   draft        indows и      </v>
      </c>
    </row>
    <row r="233">
      <c r="A233" s="20" t="s">
        <v>489</v>
      </c>
      <c r="B233" s="26" t="s">
        <v>490</v>
      </c>
      <c r="C233" s="15"/>
      <c r="D233" s="21" t="s">
        <v>14</v>
      </c>
      <c r="E233" s="17"/>
      <c r="F233" s="24">
        <v>119.0</v>
      </c>
      <c r="G233" s="18">
        <v>1747022.0</v>
      </c>
      <c r="H233" s="19" t="str">
        <f>IFERROR(__xludf.DUMMYFUNCTION("LOWER(REGEXREPLACE(B233&amp;"" ""&amp;C233,""[^а-яa-z0-9 ]"","" ""))")," ринтер  3 цветной  erox  ersa ink  8000         45 стр мин   4   22 стр мин   3   дуплекс  нагрузка  max  205  в месяц  1040 100 стр   емкость лотков подачи  1 6  z  4     ost cript 3     5c 6      3 0   igabit  thernet ")</f>
        <v> ринтер  3 цветной  erox  ersa ink  8000         45 стр мин   4   22 стр мин   3   дуплекс  нагрузка  max  205  в месяц  1040 100 стр   емкость лотков подачи  1 6  z  4     ost cript 3     5c 6      3 0   igabit  thernet </v>
      </c>
    </row>
    <row r="234">
      <c r="A234" s="20" t="s">
        <v>491</v>
      </c>
      <c r="B234" s="15" t="s">
        <v>492</v>
      </c>
      <c r="C234" s="15"/>
      <c r="D234" s="21" t="s">
        <v>14</v>
      </c>
      <c r="E234" s="23">
        <v>2.0</v>
      </c>
      <c r="F234" s="24">
        <v>19.0</v>
      </c>
      <c r="G234" s="18">
        <v>632363.0</v>
      </c>
      <c r="H234" s="19" t="str">
        <f>IFERROR(__xludf.DUMMYFUNCTION("LOWER(REGEXREPLACE(B234&amp;"" ""&amp;C234,""[^а-яa-z0-9 ]"","" ""))")," ринтер  3 цветной  pson  11160            i  i  tray 250  duplex ")</f>
        <v> ринтер  3 цветной  pson  11160            i  i  tray 250  duplex </v>
      </c>
    </row>
    <row r="235">
      <c r="A235" s="20" t="s">
        <v>493</v>
      </c>
      <c r="B235" s="15" t="s">
        <v>494</v>
      </c>
      <c r="C235" s="15"/>
      <c r="D235" s="21" t="s">
        <v>14</v>
      </c>
      <c r="E235" s="23">
        <v>2.0</v>
      </c>
      <c r="F235" s="28">
        <v>5.2</v>
      </c>
      <c r="G235" s="18">
        <v>135125.0</v>
      </c>
      <c r="H235" s="19" t="str">
        <f>IFERROR(__xludf.DUMMYFUNCTION("LOWER(REGEXREPLACE(B235&amp;"" ""&amp;C235,""[^а-яa-z0-9 ]"","" ""))")," ринтер  4 матричный  pson    350        до 357 зн  сек  ")</f>
        <v> ринтер  4 матричный  pson    350        до 357 зн  сек  </v>
      </c>
    </row>
    <row r="236">
      <c r="A236" s="20" t="s">
        <v>495</v>
      </c>
      <c r="B236" s="15" t="s">
        <v>496</v>
      </c>
      <c r="C236" s="15"/>
      <c r="D236" s="21" t="s">
        <v>14</v>
      </c>
      <c r="E236" s="23">
        <v>2.0</v>
      </c>
      <c r="F236" s="28">
        <v>8.9</v>
      </c>
      <c r="G236" s="18">
        <v>240228.0</v>
      </c>
      <c r="H236" s="19" t="str">
        <f>IFERROR(__xludf.DUMMYFUNCTION("LOWER(REGEXREPLACE(B236&amp;"" ""&amp;C236,""[^а-яa-z0-9 ]"","" ""))")," ринтер  4 матричный  pson    890        до 738 зн  сек  ")</f>
        <v> ринтер  4 матричный  pson    890        до 738 зн  сек  </v>
      </c>
    </row>
    <row r="237">
      <c r="A237" s="20" t="s">
        <v>497</v>
      </c>
      <c r="B237" s="15" t="s">
        <v>498</v>
      </c>
      <c r="C237" s="15"/>
      <c r="D237" s="21" t="s">
        <v>14</v>
      </c>
      <c r="E237" s="23">
        <v>2.0</v>
      </c>
      <c r="F237" s="24">
        <v>6.0</v>
      </c>
      <c r="G237" s="18">
        <v>176634.0</v>
      </c>
      <c r="H237" s="19" t="str">
        <f>IFERROR(__xludf.DUMMYFUNCTION("LOWER(REGEXREPLACE(B237&amp;"" ""&amp;C237,""[^а-яa-z0-9 ]"","" ""))"),"  ринтер  pson  1170   4  20ppm 1200 x 2400dpi             i  i  tray  ")</f>
        <v>  ринтер  pson  1170   4  20ppm 1200 x 2400dpi             i  i  tray  </v>
      </c>
    </row>
    <row r="238">
      <c r="A238" s="20" t="s">
        <v>499</v>
      </c>
      <c r="B238" s="26" t="s">
        <v>500</v>
      </c>
      <c r="C238" s="15"/>
      <c r="D238" s="21" t="s">
        <v>14</v>
      </c>
      <c r="E238" s="23">
        <v>2.0</v>
      </c>
      <c r="F238" s="28">
        <v>18.9</v>
      </c>
      <c r="G238" s="18">
        <v>294136.0</v>
      </c>
      <c r="H238" s="19" t="str">
        <f>IFERROR(__xludf.DUMMYFUNCTION("LOWER(REGEXREPLACE(B238&amp;"" ""&amp;C238,""[^а-яa-z0-9 ]"","" ""))"),"  ринтер      5390     4 25 25 pm  4 800 x 1 200 dpi            tray 250  ")</f>
        <v>  ринтер      5390     4 25 25 pm  4 800 x 1 200 dpi            tray 250  </v>
      </c>
    </row>
    <row r="239">
      <c r="A239" s="20" t="s">
        <v>501</v>
      </c>
      <c r="B239" s="26" t="s">
        <v>502</v>
      </c>
      <c r="C239" s="15" t="s">
        <v>503</v>
      </c>
      <c r="D239" s="21" t="s">
        <v>14</v>
      </c>
      <c r="E239" s="23">
        <v>2.0</v>
      </c>
      <c r="F239" s="28">
        <v>16.6</v>
      </c>
      <c r="G239" s="18">
        <v>245912.0</v>
      </c>
      <c r="H239" s="19" t="str">
        <f>IFERROR(__xludf.DUMMYFUNCTION("LOWER(REGEXREPLACE(B239&amp;"" ""&amp;C239,""[^а-яa-z0-9 ]"","" ""))")," ринтер  атюша  247  монохромный лазерный  47 стр мин   4      1200 dpi      800   ц  512  б       thernet           host   i  i    3     5 6           2 2  экран  клавиатура   онер 3 000 отп   заменяемый 13 000 отп ")</f>
        <v> ринтер  атюша  247  монохромный лазерный  47 стр мин   4      1200 dpi      800   ц  512  б       thernet           host   i  i    3     5 6           2 2  экран  клавиатура   онер 3 000 отп   заменяемый 13 000 отп </v>
      </c>
    </row>
    <row r="240">
      <c r="A240" s="20" t="s">
        <v>504</v>
      </c>
      <c r="B240" s="15" t="s">
        <v>505</v>
      </c>
      <c r="C240" s="15" t="s">
        <v>506</v>
      </c>
      <c r="D240" s="21" t="s">
        <v>14</v>
      </c>
      <c r="E240" s="23">
        <v>2.0</v>
      </c>
      <c r="F240" s="28">
        <v>16.6</v>
      </c>
      <c r="G240" s="18">
        <v>312817.0</v>
      </c>
      <c r="H240" s="19" t="str">
        <f>IFERROR(__xludf.DUMMYFUNCTION("LOWER(REGEXREPLACE(B240&amp;"" ""&amp;C240,""[^а-яa-z0-9 ]"","" ""))")," ринтер  атюша  247e  монохромный лазерный  47 стр мин   4      1200 dpi      1   ц  2          thernet           host   i  i    3     5 6           2 2  экран  клавиатура   онер 3 000 отп   13 000 отп ")</f>
        <v> ринтер  атюша  247e  монохромный лазерный  47 стр мин   4      1200 dpi      1   ц  2          thernet           host   i  i    3     5 6           2 2  экран  клавиатура   онер 3 000 отп   13 000 отп </v>
      </c>
    </row>
    <row r="241">
      <c r="A241" s="20" t="s">
        <v>507</v>
      </c>
      <c r="B241" s="15" t="s">
        <v>508</v>
      </c>
      <c r="C241" s="15" t="s">
        <v>509</v>
      </c>
      <c r="D241" s="21" t="s">
        <v>14</v>
      </c>
      <c r="E241" s="23">
        <v>2.0</v>
      </c>
      <c r="F241" s="28">
        <v>9.9</v>
      </c>
      <c r="G241" s="18">
        <v>121136.0</v>
      </c>
      <c r="H241" s="19" t="str">
        <f>IFERROR(__xludf.DUMMYFUNCTION("LOWER(REGEXREPLACE(B241&amp;"" ""&amp;C241,""[^а-яa-z0-9 ]"","" ""))")," ринтер  атюша  133  монохромный лазерный  33 стр мин  4      1200 dpi  256          thernet           host  онер в комплекте на 700 отп")</f>
        <v> ринтер  атюша  133  монохромный лазерный  33 стр мин  4      1200 dpi  256          thernet           host  онер в комплекте на 700 отп</v>
      </c>
    </row>
    <row r="242">
      <c r="A242" s="20" t="s">
        <v>510</v>
      </c>
      <c r="B242" s="15" t="s">
        <v>511</v>
      </c>
      <c r="C242" s="15"/>
      <c r="D242" s="21" t="s">
        <v>14</v>
      </c>
      <c r="E242" s="23">
        <v>2.0</v>
      </c>
      <c r="F242" s="28">
        <v>9.9</v>
      </c>
      <c r="G242" s="18">
        <v>158161.0</v>
      </c>
      <c r="H242" s="19" t="str">
        <f>IFERROR(__xludf.DUMMYFUNCTION("LOWER(REGEXREPLACE(B242&amp;"" ""&amp;C242,""[^а-яa-z0-9 ]"","" ""))")," ринтер  атюша  140  монохромный светодиодный  40 стр мин  4      1          thernet      ")</f>
        <v> ринтер  атюша  140  монохромный светодиодный  40 стр мин  4      1          thernet      </v>
      </c>
    </row>
    <row r="243">
      <c r="A243" s="20" t="s">
        <v>512</v>
      </c>
      <c r="B243" s="15" t="s">
        <v>513</v>
      </c>
      <c r="C243" s="15"/>
      <c r="D243" s="21" t="s">
        <v>14</v>
      </c>
      <c r="E243" s="23">
        <v>2.0</v>
      </c>
      <c r="F243" s="28">
        <v>9.9</v>
      </c>
      <c r="G243" s="18">
        <v>181872.0</v>
      </c>
      <c r="H243" s="19" t="str">
        <f>IFERROR(__xludf.DUMMYFUNCTION("LOWER(REGEXREPLACE(B243&amp;"" ""&amp;C243,""[^а-яa-z0-9 ]"","" ""))")," ринтер  атюша  140   монохромный светодиодный  40 стр мин  4      большой лоток для бумаги      1200   ц  1          thernet      ")</f>
        <v> ринтер  атюша  140   монохромный светодиодный  40 стр мин  4      большой лоток для бумаги      1200   ц  1          thernet      </v>
      </c>
    </row>
    <row r="244">
      <c r="A244" s="20" t="s">
        <v>514</v>
      </c>
      <c r="B244" s="15" t="s">
        <v>515</v>
      </c>
      <c r="C244" s="15"/>
      <c r="D244" s="21" t="s">
        <v>14</v>
      </c>
      <c r="E244" s="23">
        <v>2.0</v>
      </c>
      <c r="F244" s="24">
        <v>9.0</v>
      </c>
      <c r="G244" s="18">
        <v>110482.0</v>
      </c>
      <c r="H244" s="19" t="str">
        <f>IFERROR(__xludf.DUMMYFUNCTION("LOWER(REGEXREPLACE(B244&amp;"" ""&amp;C244,""[^а-яa-z0-9 ]"","" ""))")," ринтер  indoh  500dn  монохромный лазерный  34 стр мин  4      2400х600 dpi   агрузка до 30 000 отп мес      1  ц  2 ядра  256  б       thernet           host   i  i   ir rint                 стартовый тонер на 700 отпечатков ")</f>
        <v> ринтер  indoh  500dn  монохромный лазерный  34 стр мин  4      2400х600 dpi   агрузка до 30 000 отп мес      1  ц  2 ядра  256  б       thernet           host   i  i   ir rint                 стартовый тонер на 700 отпечатков </v>
      </c>
    </row>
    <row r="245">
      <c r="A245" s="20" t="s">
        <v>516</v>
      </c>
      <c r="B245" s="26" t="s">
        <v>517</v>
      </c>
      <c r="C245" s="15"/>
      <c r="D245" s="21" t="s">
        <v>14</v>
      </c>
      <c r="E245" s="23">
        <v>2.0</v>
      </c>
      <c r="F245" s="28">
        <v>19.8</v>
      </c>
      <c r="G245" s="18">
        <v>249281.0</v>
      </c>
      <c r="H245" s="19" t="str">
        <f>IFERROR(__xludf.DUMMYFUNCTION("LOWER(REGEXREPLACE(B245&amp;"" ""&amp;C245,""[^а-яa-z0-9 ]"","" ""))")," ринтер  indoh  300dn цветной лазерный   4  24 стр мин  4 цветная печать  2400x600 dpi      1  ц  2  дра  512          thernet        i  i         3       стартовые тонер картриджи на 1500 отп  ч б и цвет   о 75 000 отп мес ")</f>
        <v> ринтер  indoh  300dn цветной лазерный   4  24 стр мин  4 цветная печать  2400x600 dpi      1  ц  2  дра  512          thernet        i  i         3       стартовые тонер картриджи на 1500 отп  ч б и цвет   о 75 000 отп мес </v>
      </c>
    </row>
    <row r="246">
      <c r="A246" s="20" t="s">
        <v>518</v>
      </c>
      <c r="B246" s="26" t="s">
        <v>519</v>
      </c>
      <c r="C246" s="15" t="s">
        <v>520</v>
      </c>
      <c r="D246" s="21" t="s">
        <v>14</v>
      </c>
      <c r="E246" s="23">
        <v>2.0</v>
      </c>
      <c r="F246" s="29">
        <v>12.125</v>
      </c>
      <c r="G246" s="18">
        <v>99632.0</v>
      </c>
      <c r="H246" s="19" t="str">
        <f>IFERROR(__xludf.DUMMYFUNCTION("LOWER(REGEXREPLACE(B246&amp;"" ""&amp;C246,""[^а-яa-z0-9 ]"","" ""))"),"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"&amp;"обеспечением и документацией  паспорт безопасности продукта  краткое руководство пользователя")</f>
        <v>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обеспечением и документацией  паспорт безопасности продукта  краткое руководство пользователя</v>
      </c>
    </row>
    <row r="247">
      <c r="A247" s="20" t="s">
        <v>521</v>
      </c>
      <c r="B247" s="26" t="s">
        <v>522</v>
      </c>
      <c r="C247" s="15" t="s">
        <v>523</v>
      </c>
      <c r="D247" s="21" t="s">
        <v>14</v>
      </c>
      <c r="E247" s="23">
        <v>2.0</v>
      </c>
      <c r="F247" s="27">
        <v>19.25</v>
      </c>
      <c r="G247" s="18">
        <v>332079.0</v>
      </c>
      <c r="H247" s="19" t="str">
        <f>IFERROR(__xludf.DUMMYFUNCTION("LOWER(REGEXREPLACE(B247&amp;"" ""&amp;C247,""[^а-яa-z0-9 ]"","" ""))"),"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д"&amp;"иск с программным обеспечением и документацией  руководство по установке  паспорт безопасности продукта  краткое руководство пользователя")</f>
        <v>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v>
      </c>
    </row>
    <row r="248">
      <c r="A248" s="20" t="s">
        <v>524</v>
      </c>
      <c r="B248" s="15" t="s">
        <v>525</v>
      </c>
      <c r="C248" s="15" t="s">
        <v>526</v>
      </c>
      <c r="D248" s="21" t="s">
        <v>14</v>
      </c>
      <c r="E248" s="23">
        <v>2.0</v>
      </c>
      <c r="F248" s="24">
        <v>37.0</v>
      </c>
      <c r="G248" s="18">
        <v>512380.0</v>
      </c>
      <c r="H248" s="19" t="str">
        <f>IFERROR(__xludf.DUMMYFUNCTION("LOWER(REGEXREPLACE(B248&amp;"" ""&amp;C248,""[^а-яa-z0-9 ]"","" ""))"),"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у"&amp;"становке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f>
        <v>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249">
      <c r="A249" s="20" t="s">
        <v>527</v>
      </c>
      <c r="B249" s="26" t="s">
        <v>528</v>
      </c>
      <c r="C249" s="15" t="s">
        <v>529</v>
      </c>
      <c r="D249" s="21" t="s">
        <v>14</v>
      </c>
      <c r="E249" s="23">
        <v>2.0</v>
      </c>
      <c r="F249" s="29">
        <v>25.875</v>
      </c>
      <c r="G249" s="18">
        <v>453695.0</v>
      </c>
      <c r="H249" s="19" t="str">
        <f>IFERROR(__xludf.DUMMYFUNCTION("LOWER(REGEXREPLACE(B249&amp;"" ""&amp;C249,""[^а-яa-z0-9 ]"","" ""))"),"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те"&amp;"хнике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f>
        <v>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v>
      </c>
    </row>
    <row r="250">
      <c r="A250" s="20" t="s">
        <v>530</v>
      </c>
      <c r="B250" s="26" t="s">
        <v>531</v>
      </c>
      <c r="C250" s="15" t="s">
        <v>532</v>
      </c>
      <c r="D250" s="21" t="s">
        <v>14</v>
      </c>
      <c r="E250" s="23">
        <v>2.0</v>
      </c>
      <c r="F250" s="24">
        <v>32.0</v>
      </c>
      <c r="G250" s="18">
        <v>615840.0</v>
      </c>
      <c r="H250" s="19" t="str">
        <f>IFERROR(__xludf.DUMMYFUNCTION("LOWER(REGEXREPLACE(B250&amp;"" ""&amp;C250,""[^а-яa-z0-9 ]"","" ""))"),"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"&amp;"по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картридж"&amp;"     ресурс 8000 страниц")</f>
        <v>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     ресурс 8000 страниц</v>
      </c>
    </row>
    <row r="251">
      <c r="A251" s="20" t="s">
        <v>533</v>
      </c>
      <c r="B251" s="15" t="s">
        <v>534</v>
      </c>
      <c r="C251" s="15"/>
      <c r="D251" s="21" t="s">
        <v>14</v>
      </c>
      <c r="E251" s="17"/>
      <c r="F251" s="16"/>
      <c r="G251" s="18"/>
      <c r="H251" s="19" t="str">
        <f>IFERROR(__xludf.DUMMYFUNCTION("LOWER(REGEXREPLACE(B251&amp;"" ""&amp;C251,""[^а-яa-z0-9 ]"","" ""))")," оноблок ")</f>
        <v> оноблок </v>
      </c>
    </row>
    <row r="252">
      <c r="A252" s="20" t="s">
        <v>535</v>
      </c>
      <c r="B252" s="26" t="s">
        <v>536</v>
      </c>
      <c r="C252" s="15"/>
      <c r="D252" s="21" t="s">
        <v>14</v>
      </c>
      <c r="E252" s="17"/>
      <c r="F252" s="28">
        <v>6.5</v>
      </c>
      <c r="G252" s="18">
        <v>477540.0</v>
      </c>
      <c r="H252" s="19" t="str">
        <f>IFERROR(__xludf.DUMMYFUNCTION("LOWER(REGEXREPLACE(B252&amp;"" ""&amp;C252,""[^а-яa-z0-9 ]"","" ""))")," оноблок  vtech  40   ntel   ore  i3 10100 частота 3 60 4 30   z 4 ядра 8 потоков   ntel     raphics 630         4 8           256    indows 10 11 ")</f>
        <v> оноблок  vtech  40   ntel   ore  i3 10100 частота 3 60 4 30   z 4 ядра 8 потоков   ntel     raphics 630         4 8           256    indows 10 11 </v>
      </c>
    </row>
    <row r="253">
      <c r="A253" s="20" t="s">
        <v>537</v>
      </c>
      <c r="B253" s="26" t="s">
        <v>538</v>
      </c>
      <c r="C253" s="15"/>
      <c r="D253" s="21" t="s">
        <v>14</v>
      </c>
      <c r="E253" s="17"/>
      <c r="F253" s="24">
        <v>6.0</v>
      </c>
      <c r="G253" s="18">
        <v>423581.0</v>
      </c>
      <c r="H253" s="19" t="str">
        <f>IFERROR(__xludf.DUMMYFUNCTION("LOWER(REGEXREPLACE(B253&amp;"" ""&amp;C253,""[^а-яa-z0-9 ]"","" ""))")," оноблок  vtech  5 23 8    ntel      6400 6405  sus    4 4 b 2666 hz     256 b   2 ядер 2 потока 4   ntel   entium   old  6400 частота 4 00   z 2 ядра 4 потоков   ntel     raphics 610         4 4           256    indows 10 11 ")</f>
        <v> оноблок  vtech  5 23 8    ntel      6400 6405  sus    4 4 b 2666 hz     256 b   2 ядер 2 потока 4   ntel   entium   old  6400 частота 4 00   z 2 ядра 4 потоков   ntel     raphics 610         4 4           256    indows 10 11 </v>
      </c>
    </row>
    <row r="254">
      <c r="A254" s="20" t="s">
        <v>539</v>
      </c>
      <c r="B254" s="26" t="s">
        <v>540</v>
      </c>
      <c r="C254" s="15"/>
      <c r="D254" s="21" t="s">
        <v>14</v>
      </c>
      <c r="E254" s="17"/>
      <c r="F254" s="28">
        <v>6.5</v>
      </c>
      <c r="G254" s="18">
        <v>513961.0</v>
      </c>
      <c r="H254" s="19" t="str">
        <f>IFERROR(__xludf.DUMMYFUNCTION("LOWER(REGEXREPLACE(B254&amp;"" ""&amp;C254,""[^а-яa-z0-9 ]"","" ""))")," оноблок  vtech  40  ro  i3 10100     4 8 b      256 b   indows 10  ro  частота 3 60 4 30   z 4 ядра 8 потоков   ntel     raphics 630         4 8           256    indows 10 11 ")</f>
        <v> оноблок  vtech  40  ro  i3 10100     4 8 b      256 b   indows 10  ro  частота 3 60 4 30   z 4 ядра 8 потоков   ntel     raphics 630         4 8           256    indows 10 11 </v>
      </c>
    </row>
    <row r="255">
      <c r="A255" s="20" t="s">
        <v>541</v>
      </c>
      <c r="B255" s="26" t="s">
        <v>542</v>
      </c>
      <c r="C255" s="15"/>
      <c r="D255" s="21" t="s">
        <v>14</v>
      </c>
      <c r="E255" s="17"/>
      <c r="F255" s="28">
        <v>6.5</v>
      </c>
      <c r="G255" s="18">
        <v>453273.0</v>
      </c>
      <c r="H255" s="19" t="str">
        <f>IFERROR(__xludf.DUMMYFUNCTION("LOWER(REGEXREPLACE(B255&amp;"" ""&amp;C255,""[^а-яa-z0-9 ]"","" ""))")," оноблок  vtech    40 ro  black silver      ype     610     ntel   ore i3 12100     4 8 b 3200 hz      256 b   indows 11  ro для школ   ntel   ore i3 12100   ntel     raphics 730         4 8           256    indows 10 11 ")</f>
        <v> оноблок  vtech    40 ro  black silver      ype     610     ntel   ore i3 12100     4 8 b 3200 hz      256 b   indows 11  ro для школ   ntel   ore i3 12100   ntel     raphics 730         4 8           256    indows 10 11 </v>
      </c>
    </row>
    <row r="256">
      <c r="A256" s="20" t="s">
        <v>543</v>
      </c>
      <c r="B256" s="26" t="s">
        <v>544</v>
      </c>
      <c r="C256" s="15"/>
      <c r="D256" s="21" t="s">
        <v>14</v>
      </c>
      <c r="E256" s="17"/>
      <c r="F256" s="28">
        <v>6.5</v>
      </c>
      <c r="G256" s="18">
        <v>525776.0</v>
      </c>
      <c r="H256" s="19" t="str">
        <f>IFERROR(__xludf.DUMMYFUNCTION("LOWER(REGEXREPLACE(B256&amp;"" ""&amp;C256,""[^а-яa-z0-9 ]"","" ""))")," оноблок  vtech   40  ro   ouch      ype     610     ntel   ore i3 12100     4 8 b 3200 hz      256  b   indows 11  ro для школ   ntel   ore i3 12100   ntel     raphics 730         4 8           256    indows 10 11 ")</f>
        <v> оноблок  vtech   40  ro   ouch      ype     610     ntel   ore i3 12100     4 8 b 3200 hz      256  b   indows 11  ro для школ   ntel   ore i3 12100   ntel     raphics 730         4 8           256    indows 10 11 </v>
      </c>
    </row>
    <row r="257">
      <c r="A257" s="20" t="s">
        <v>545</v>
      </c>
      <c r="B257" s="26" t="s">
        <v>546</v>
      </c>
      <c r="C257" s="15"/>
      <c r="D257" s="21" t="s">
        <v>14</v>
      </c>
      <c r="E257" s="17"/>
      <c r="F257" s="28">
        <v>6.5</v>
      </c>
      <c r="G257" s="18">
        <v>516714.0</v>
      </c>
      <c r="H257" s="19" t="str">
        <f>IFERROR(__xludf.DUMMYFUNCTION("LOWER(REGEXREPLACE(B257&amp;"" ""&amp;C257,""[^а-яa-z0-9 ]"","" ""))")," оноблок  vtech    40 ro black silver      ype     610     ntel   ore i5 12400     4 8 b 3200 hz      256 b   2        indows 11  ro для школ   ntel   ore i5 12400   ntel     raphics 730         4 8           256    indows 10 11 ")</f>
        <v> оноблок  vtech    40 ro black silver      ype     610     ntel   ore i5 12400     4 8 b 3200 hz      256 b   2        indows 11  ro для школ   ntel   ore i5 12400   ntel     raphics 730         4 8           256    indows 10 11 </v>
      </c>
    </row>
    <row r="258">
      <c r="A258" s="20" t="s">
        <v>547</v>
      </c>
      <c r="B258" s="26" t="s">
        <v>548</v>
      </c>
      <c r="C258" s="15"/>
      <c r="D258" s="21" t="s">
        <v>14</v>
      </c>
      <c r="E258" s="17"/>
      <c r="F258" s="28">
        <v>6.5</v>
      </c>
      <c r="G258" s="18">
        <v>589216.0</v>
      </c>
      <c r="H258" s="19" t="str">
        <f>IFERROR(__xludf.DUMMYFUNCTION("LOWER(REGEXREPLACE(B258&amp;"" ""&amp;C258,""[^а-яa-z0-9 ]"","" ""))")," оноблок  vtech   40  ro   ouch      ype     610     ntel   ore i5 12400     4 8 b 3200 hz      256  b   2        indows 11  ro для школ   ntel   ore i5 12400   ntel     raphics 730         4 8           256    indows 10 11 ")</f>
        <v> оноблок  vtech   40  ro   ouch      ype     610     ntel   ore i5 12400     4 8 b 3200 hz      256  b   2        indows 11  ro для школ   ntel   ore i5 12400   ntel     raphics 730         4 8           256    indows 10 11 </v>
      </c>
    </row>
    <row r="259">
      <c r="A259" s="20" t="s">
        <v>549</v>
      </c>
      <c r="B259" s="26" t="s">
        <v>550</v>
      </c>
      <c r="C259" s="15"/>
      <c r="D259" s="21" t="s">
        <v>14</v>
      </c>
      <c r="E259" s="17"/>
      <c r="F259" s="28">
        <v>5.5</v>
      </c>
      <c r="G259" s="18">
        <v>356135.0</v>
      </c>
      <c r="H259" s="19" t="str">
        <f>IFERROR(__xludf.DUMMYFUNCTION("LOWER(REGEXREPLACE(B259&amp;"" ""&amp;C259,""[^а-яa-z0-9 ]"","" ""))")," оноблок  abortrix  tation        23  1920 1080  ull      ore i3 7100  4 ядерный  4 поточный  3  9   z       4              256   ")</f>
        <v> оноблок  abortrix  tation        23  1920 1080  ull      ore i3 7100  4 ядерный  4 поточный  3  9   z       4              256   </v>
      </c>
    </row>
    <row r="260">
      <c r="A260" s="20" t="s">
        <v>551</v>
      </c>
      <c r="B260" s="15" t="s">
        <v>552</v>
      </c>
      <c r="C260" s="15"/>
      <c r="D260" s="21" t="s">
        <v>14</v>
      </c>
      <c r="E260" s="17"/>
      <c r="F260" s="28">
        <v>5.5</v>
      </c>
      <c r="G260" s="18">
        <v>443665.0</v>
      </c>
      <c r="H260" s="19" t="str">
        <f>IFERROR(__xludf.DUMMYFUNCTION("LOWER(REGEXREPLACE(B260&amp;"" ""&amp;C260,""[^а-яa-z0-9 ]"","" ""))")," оноблок  abortrix  tation        23  1920 1080  ull      ore i5 11400  6 ядерный  12 поточный  4 4   z макс        8              512   ")</f>
        <v> оноблок  abortrix  tation        23  1920 1080  ull      ore i5 11400  6 ядерный  12 поточный  4 4   z макс        8              512   </v>
      </c>
    </row>
    <row r="261">
      <c r="A261" s="20" t="s">
        <v>553</v>
      </c>
      <c r="B261" s="26" t="s">
        <v>554</v>
      </c>
      <c r="C261" s="15"/>
      <c r="D261" s="21" t="s">
        <v>14</v>
      </c>
      <c r="E261" s="17"/>
      <c r="F261" s="28">
        <v>11.4</v>
      </c>
      <c r="G261" s="18">
        <v>580077.0</v>
      </c>
      <c r="H261" s="19" t="str">
        <f>IFERROR(__xludf.DUMMYFUNCTION("LOWER(REGEXREPLACE(B261&amp;"" ""&amp;C261,""[^а-яa-z0-9 ]"","" ""))")," оноблок  enovo      660  23 8   1920 1080  ull      ore  i5 1155 7  4 ядра  8 потоков  2 5   z 4 5   z   urbo  max   indows 10  для образовательных учреждений   64 разрядная версия       ffice  ot32         4  8               web camera 720   512        "&amp;"  ort  1      3 0  1      3 10  2      2 0  1       1   45 ")</f>
        <v> оноблок  enovo      660  23 8   1920 1080  ull      ore  i5 1155 7  4 ядра  8 потоков  2 5   z 4 5   z   urbo  max   indows 10  для образовательных учреждений   64 разрядная версия       ffice  ot32         4  8               web camera 720   512          ort  1      3 0  1      3 10  2      2 0  1       1   45 </v>
      </c>
    </row>
    <row r="262">
      <c r="A262" s="20" t="s">
        <v>555</v>
      </c>
      <c r="B262" s="26" t="s">
        <v>556</v>
      </c>
      <c r="C262" s="15"/>
      <c r="D262" s="21" t="s">
        <v>14</v>
      </c>
      <c r="E262" s="17"/>
      <c r="F262" s="28">
        <v>11.4</v>
      </c>
      <c r="G262" s="18">
        <v>485652.0</v>
      </c>
      <c r="H262" s="19" t="str">
        <f>IFERROR(__xludf.DUMMYFUNCTION("LOWER(REGEXREPLACE(B262&amp;"" ""&amp;C262,""[^а-яa-z0-9 ]"","" ""))")," оноблок  enovo      660  23 8   1920 1080  ull      ore  i3 1115 4  2 ядра  4 потоков  3   z 4 1   z   urbo  max   indows 10  для образовательных учреждений   64 разрядная версия       ffice  ot32         4  8               web camera 720   512          "&amp;"ort  1      3 0  1      3 10  2      2 0  1       1   45 ")</f>
        <v> оноблок  enovo      660  23 8   1920 1080  ull      ore  i3 1115 4  2 ядра  4 потоков  3   z 4 1   z   urbo  max   indows 10  для образовательных учреждений   64 разрядная версия       ffice  ot32         4  8               web camera 720   512          ort  1      3 0  1      3 10  2      2 0  1       1   45 </v>
      </c>
    </row>
    <row r="263">
      <c r="A263" s="20" t="s">
        <v>557</v>
      </c>
      <c r="B263" s="15" t="s">
        <v>558</v>
      </c>
      <c r="C263" s="15"/>
      <c r="D263" s="21" t="s">
        <v>14</v>
      </c>
      <c r="E263" s="17"/>
      <c r="F263" s="28">
        <v>9.3</v>
      </c>
      <c r="G263" s="18">
        <v>426029.0</v>
      </c>
      <c r="H263" s="19" t="str">
        <f>IFERROR(__xludf.DUMMYFUNCTION("LOWER(REGEXREPLACE(B263&amp;"" ""&amp;C263,""[^а-яa-z0-9 ]"","" ""))")," оноблок  enovo  eo 50a 24  23 8      ore  5 12450  2 0  8  12   8       5 4800  z ")</f>
        <v> оноблок  enovo  eo 50a 24  23 8      ore  5 12450  2 0  8  12   8       5 4800  z </v>
      </c>
    </row>
    <row r="264">
      <c r="A264" s="20" t="s">
        <v>559</v>
      </c>
      <c r="B264" s="26" t="s">
        <v>560</v>
      </c>
      <c r="C264" s="15"/>
      <c r="D264" s="21" t="s">
        <v>14</v>
      </c>
      <c r="E264" s="23">
        <v>1.0</v>
      </c>
      <c r="F264" s="28">
        <v>6.1</v>
      </c>
      <c r="G264" s="18">
        <v>414481.0</v>
      </c>
      <c r="H264" s="19" t="str">
        <f>IFERROR(__xludf.DUMMYFUNCTION("LOWER(REGEXREPLACE(B264&amp;"" ""&amp;C264,""[^а-яa-z0-9 ]"","" ""))"),"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л"&amp;"ицензией ")</f>
        <v>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лицензией </v>
      </c>
    </row>
    <row r="265">
      <c r="A265" s="20" t="s">
        <v>561</v>
      </c>
      <c r="B265" s="26" t="s">
        <v>562</v>
      </c>
      <c r="C265" s="15"/>
      <c r="D265" s="21" t="s">
        <v>14</v>
      </c>
      <c r="E265" s="23">
        <v>1.0</v>
      </c>
      <c r="F265" s="28">
        <v>6.3</v>
      </c>
      <c r="G265" s="18">
        <v>525363.0</v>
      </c>
      <c r="H265" s="19" t="str">
        <f>IFERROR(__xludf.DUMMYFUNCTION("LOWER(REGEXREPLACE(B265&amp;"" ""&amp;C265,""[^а-яa-z0-9 ]"","" ""))")," оноблок  cer  eriton  2594   23 8       i3 1215   8 b  256 b         11pro       1   007  предустановленная система управления классом  cer  lassroom  anager с бессрочной лицензией ")</f>
        <v> оноблок  cer  eriton  2594   23 8       i3 1215   8 b  256 b         11pro       1   007  предустановленная система управления классом  cer  lassroom  anager с бессрочной лицензией </v>
      </c>
    </row>
    <row r="266">
      <c r="A266" s="20" t="s">
        <v>563</v>
      </c>
      <c r="B266" s="26" t="s">
        <v>564</v>
      </c>
      <c r="C266" s="15"/>
      <c r="D266" s="21" t="s">
        <v>14</v>
      </c>
      <c r="E266" s="23">
        <v>1.0</v>
      </c>
      <c r="F266" s="28">
        <v>5.8</v>
      </c>
      <c r="G266" s="18">
        <v>721317.0</v>
      </c>
      <c r="H266" s="19" t="str">
        <f>IFERROR(__xludf.DUMMYFUNCTION("LOWER(REGEXREPLACE(B266&amp;"" ""&amp;C266,""[^а-яa-z0-9 ]"","" ""))")," оноблок  cer  eriton  4694   23 8       i5 12400  16 b  512 b         11pro           00   предустановленная система управления классом  cer  lassroom  anager с бессрочной лицензией ")</f>
        <v> оноблок  cer  eriton  4694   23 8       i5 12400  16 b  512 b         11pro           00   предустановленная система управления классом  cer  lassroom  anager с бессрочной лицензией </v>
      </c>
    </row>
    <row r="267">
      <c r="A267" s="20" t="s">
        <v>565</v>
      </c>
      <c r="B267" s="26" t="s">
        <v>566</v>
      </c>
      <c r="C267" s="15"/>
      <c r="D267" s="21" t="s">
        <v>14</v>
      </c>
      <c r="E267" s="23">
        <v>1.0</v>
      </c>
      <c r="F267" s="27">
        <v>6.68</v>
      </c>
      <c r="G267" s="18">
        <v>445618.0</v>
      </c>
      <c r="H267" s="19" t="str">
        <f>IFERROR(__xludf.DUMMYFUNCTION("LOWER(REGEXREPLACE(B267&amp;"" ""&amp;C267,""[^а-яa-z0-9 ]"","" ""))")," оноблок  enovo     hink entre  eo 30a 24  4  1  ore i5 13420  2 1  8  12     8      4 3200  z  o     256          2 2280    e  en4      pal 23 8     am     i  i 6   201 2x2       luetooth  5 1  ual  icrophone  indows 11 для образовательных учреждений ")</f>
        <v> оноблок  enovo     hink entre  eo 30a 24  4  1  ore i5 13420  2 1  8  12     8      4 3200  z  o     256          2 2280    e  en4      pal 23 8     am     i  i 6   201 2x2       luetooth  5 1  ual  icrophone  indows 11 для образовательных учреждений </v>
      </c>
    </row>
    <row r="268">
      <c r="A268" s="20" t="s">
        <v>567</v>
      </c>
      <c r="B268" s="26" t="s">
        <v>568</v>
      </c>
      <c r="C268" s="15"/>
      <c r="D268" s="21" t="s">
        <v>14</v>
      </c>
      <c r="E268" s="23">
        <v>1.0</v>
      </c>
      <c r="F268" s="27">
        <v>6.68</v>
      </c>
      <c r="G268" s="18">
        <v>387596.0</v>
      </c>
      <c r="H268" s="19" t="str">
        <f>IFERROR(__xludf.DUMMYFUNCTION("LOWER(REGEXREPLACE(B268&amp;"" ""&amp;C268,""[^а-яa-z0-9 ]"","" ""))")," оноблок  enovo  90a  3  1 23 8   ntel   entium   old  7400  rocessor  3 70   z  4       4 3200  z          256          2 2280    e  en4      pal  ntegrated  raphics       indows 11 для образовательных учреждений ")</f>
        <v> оноблок  enovo  90a  3  1 23 8   ntel   entium   old  7400  rocessor  3 70   z  4       4 3200  z          256          2 2280    e  en4      pal  ntegrated  raphics       indows 11 для образовательных учреждений </v>
      </c>
    </row>
    <row r="269">
      <c r="A269" s="20" t="s">
        <v>569</v>
      </c>
      <c r="B269" s="26" t="s">
        <v>570</v>
      </c>
      <c r="C269" s="15"/>
      <c r="D269" s="21" t="s">
        <v>14</v>
      </c>
      <c r="E269" s="23">
        <v>1.0</v>
      </c>
      <c r="F269" s="28">
        <v>6.6</v>
      </c>
      <c r="G269" s="18">
        <v>521677.0</v>
      </c>
      <c r="H269" s="19" t="str">
        <f>IFERROR(__xludf.DUMMYFUNCTION("LOWER(REGEXREPLACE(B269&amp;"" ""&amp;C269,""[^а-яa-z0-9 ]"","" ""))")," оноблок  enovo 23 8   eo 30a 24  4  2  ore i5 13420  2 1  8  12     8      4 3200  z  o     512          2 2280    e  en4      ntegrated  raphics             am     indows 11 для образовательных учреждений ")</f>
        <v> оноблок  enovo 23 8   eo 30a 24  4  2  ore i5 13420  2 1  8  12     8      4 3200  z  o     512          2 2280    e  en4      ntegrated  raphics             am     indows 11 для образовательных учреждений </v>
      </c>
    </row>
    <row r="270">
      <c r="A270" s="20" t="s">
        <v>571</v>
      </c>
      <c r="B270" s="26" t="s">
        <v>572</v>
      </c>
      <c r="C270" s="15"/>
      <c r="D270" s="21" t="s">
        <v>14</v>
      </c>
      <c r="E270" s="23">
        <v>1.0</v>
      </c>
      <c r="F270" s="28">
        <v>6.6</v>
      </c>
      <c r="G270" s="18">
        <v>383144.0</v>
      </c>
      <c r="H270" s="19" t="str">
        <f>IFERROR(__xludf.DUMMYFUNCTION("LOWER(REGEXREPLACE(B270&amp;"" ""&amp;C270,""[^а-яa-z0-9 ]"","" ""))")," оноблок  enovo 23 8   eo 50a 24  4  1  ore i5 13500  2 6  12  16  8      5 5200  o     512          2 2280    e  en4      ntegrated  raphics             am  indows 11 для образовательных учреждений ")</f>
        <v> оноблок  enovo 23 8   eo 50a 24  4  1  ore i5 13500  2 6  12  16  8      5 5200  o     512          2 2280    e  en4      ntegrated  raphics             am  indows 11 для образовательных учреждений </v>
      </c>
    </row>
    <row r="271">
      <c r="A271" s="20" t="s">
        <v>573</v>
      </c>
      <c r="B271" s="15" t="s">
        <v>574</v>
      </c>
      <c r="C271" s="15"/>
      <c r="D271" s="21" t="s">
        <v>14</v>
      </c>
      <c r="E271" s="23">
        <v>1.0</v>
      </c>
      <c r="F271" s="24">
        <v>8.0</v>
      </c>
      <c r="G271" s="18">
        <v>378837.0</v>
      </c>
      <c r="H271" s="19" t="str">
        <f>IFERROR(__xludf.DUMMYFUNCTION("LOWER(REGEXREPLACE(B271&amp;"" ""&amp;C271,""[^а-яa-z0-9 ]"","" ""))")," оноблок  vision  vision  park 23 8     1920x1080 full viewing angle        5 12450  3200 16   512    ")</f>
        <v> оноблок  vision  vision  park 23 8     1920x1080 full viewing angle        5 12450  3200 16   512    </v>
      </c>
    </row>
    <row r="272">
      <c r="A272" s="20" t="s">
        <v>575</v>
      </c>
      <c r="B272" s="15" t="s">
        <v>576</v>
      </c>
      <c r="C272" s="15"/>
      <c r="D272" s="21" t="s">
        <v>14</v>
      </c>
      <c r="E272" s="23">
        <v>1.0</v>
      </c>
      <c r="F272" s="24">
        <v>8.0</v>
      </c>
      <c r="G272" s="18">
        <v>439971.0</v>
      </c>
      <c r="H272" s="19" t="str">
        <f>IFERROR(__xludf.DUMMYFUNCTION("LOWER(REGEXREPLACE(B272&amp;"" ""&amp;C272,""[^а-яa-z0-9 ]"","" ""))")," оноблок  vision  nigma 23 8     1920x1080 full viewing angle        7 12700     4 3200 32   512    ")</f>
        <v> оноблок  vision  nigma 23 8     1920x1080 full viewing angle        7 12700     4 3200 32   512    </v>
      </c>
    </row>
    <row r="273">
      <c r="A273" s="20" t="s">
        <v>577</v>
      </c>
      <c r="B273" s="26" t="s">
        <v>578</v>
      </c>
      <c r="C273" s="15"/>
      <c r="D273" s="21" t="s">
        <v>14</v>
      </c>
      <c r="E273" s="23">
        <v>1.0</v>
      </c>
      <c r="F273" s="24">
        <v>5.0</v>
      </c>
      <c r="G273" s="18">
        <v>508799.0</v>
      </c>
      <c r="H273" s="19" t="str">
        <f>IFERROR(__xludf.DUMMYFUNCTION("LOWER(REGEXREPLACE(B273&amp;"" ""&amp;C273,""[^а-яa-z0-9 ]"","" ""))")," оноблок     ro ne 240  10 24 i    i3  300      23 8 inch                 250   8      4   256     2      alue    11  ro   1yw      3 year  ext  usiness  ay  nsite  esktop  nly  ardware  upport arranty  xtension   125  lack  ellulose  iber  ackagingkbd   ")</f>
        <v> оноблок     ro ne 240  10 24 i    i3  300      23 8 inch                 250   8      4   256     2      alue    11  ro   1yw      3 year  ext  usiness  ay  nsite  esktop  nly  ardware  upport arranty  xtension   125  lack  ellulose  iber  ackagingkbd   </v>
      </c>
    </row>
    <row r="274">
      <c r="A274" s="20" t="s">
        <v>579</v>
      </c>
      <c r="B274" s="26" t="s">
        <v>580</v>
      </c>
      <c r="C274" s="15"/>
      <c r="D274" s="21" t="s">
        <v>14</v>
      </c>
      <c r="E274" s="23">
        <v>1.0</v>
      </c>
      <c r="F274" s="28">
        <v>6.6</v>
      </c>
      <c r="G274" s="18">
        <v>352742.0</v>
      </c>
      <c r="H274" s="19" t="str">
        <f>IFERROR(__xludf.DUMMYFUNCTION("LOWER(REGEXREPLACE(B274&amp;"" ""&amp;C274,""[^а-яa-z0-9 ]"","" ""))")," оноблок  3 2410  24 i510400 8 256  in11  диагональ экрана 23 8   оперативная память 8       4  ж сткий диск      256     процессор  ntel  ore processor i5 10400  лицензионная  indows 11  ro 64  it ")</f>
        <v> оноблок  3 2410  24 i510400 8 256  in11  диагональ экрана 23 8   оперативная память 8       4  ж сткий диск      256     процессор  ntel  ore processor i5 10400  лицензионная  indows 11  ro 64  it </v>
      </c>
    </row>
    <row r="275">
      <c r="A275" s="20" t="s">
        <v>581</v>
      </c>
      <c r="B275" s="26" t="s">
        <v>582</v>
      </c>
      <c r="C275" s="15"/>
      <c r="D275" s="21" t="s">
        <v>14</v>
      </c>
      <c r="E275" s="23">
        <v>1.0</v>
      </c>
      <c r="F275" s="28">
        <v>6.6</v>
      </c>
      <c r="G275" s="18">
        <v>401621.0</v>
      </c>
      <c r="H275" s="19" t="str">
        <f>IFERROR(__xludf.DUMMYFUNCTION("LOWER(REGEXREPLACE(B275&amp;"" ""&amp;C275,""[^а-яa-z0-9 ]"","" ""))")," оноблок  3 2410  24 i510400 16 512 1    in  диагональ экрана 23 8   оперативная память 16       4  ж сткий диск       512            1    процессор  ntel  ore processor i5 10400  лицензионная  indows 11  ro 64  it ")</f>
        <v> оноблок  3 2410  24 i510400 16 512 1    in  диагональ экрана 23 8   оперативная память 16       4  ж сткий диск       512            1    процессор  ntel  ore processor i5 10400  лицензионная  indows 11  ro 64  it </v>
      </c>
    </row>
    <row r="276">
      <c r="A276" s="20" t="s">
        <v>583</v>
      </c>
      <c r="B276" s="26" t="s">
        <v>584</v>
      </c>
      <c r="C276" s="15"/>
      <c r="D276" s="21" t="s">
        <v>14</v>
      </c>
      <c r="E276" s="23">
        <v>1.0</v>
      </c>
      <c r="F276" s="28">
        <v>6.6</v>
      </c>
      <c r="G276" s="18">
        <v>398979.0</v>
      </c>
      <c r="H276" s="19" t="str">
        <f>IFERROR(__xludf.DUMMYFUNCTION("LOWER(REGEXREPLACE(B276&amp;"" ""&amp;C276,""[^а-яa-z0-9 ]"","" ""))")," оноблок  3 2711  27 i510400 8 256  in 11  диагональ экрана 23 8   оперативная память 8       4  ж сткий диск       256      ntel  ore processor i5 10400  лицензионная  indows 11  ro 64  it ")</f>
        <v> оноблок  3 2711  27 i510400 8 256  in 11  диагональ экрана 23 8   оперативная память 8       4  ж сткий диск       256      ntel  ore processor i5 10400  лицензионная  indows 11  ro 64  it </v>
      </c>
    </row>
    <row r="277">
      <c r="A277" s="20" t="s">
        <v>585</v>
      </c>
      <c r="B277" s="26" t="s">
        <v>586</v>
      </c>
      <c r="C277" s="15"/>
      <c r="D277" s="21" t="s">
        <v>14</v>
      </c>
      <c r="E277" s="23">
        <v>1.0</v>
      </c>
      <c r="F277" s="28">
        <v>6.6</v>
      </c>
      <c r="G277" s="18">
        <v>447858.0</v>
      </c>
      <c r="H277" s="19" t="str">
        <f>IFERROR(__xludf.DUMMYFUNCTION("LOWER(REGEXREPLACE(B277&amp;"" ""&amp;C277,""[^а-яa-z0-9 ]"","" ""))")," оноблок  3 2711  27 i510400 16 512 1    in  диагональ экрана 23 8   оперативная память 16       4  ж сткий диск       512           1     ntel  ore processor i5 10400  лицензионная  indows 11  ro 64  it ")</f>
        <v> оноблок  3 2711  27 i510400 16 512 1    in  диагональ экрана 23 8   оперативная память 16       4  ж сткий диск       512           1     ntel  ore processor i5 10400  лицензионная  indows 11  ro 64  it </v>
      </c>
    </row>
    <row r="278">
      <c r="A278" s="20" t="s">
        <v>587</v>
      </c>
      <c r="B278" s="26" t="s">
        <v>588</v>
      </c>
      <c r="C278" s="15"/>
      <c r="D278" s="21" t="s">
        <v>14</v>
      </c>
      <c r="E278" s="23">
        <v>1.0</v>
      </c>
      <c r="F278" s="28">
        <v>6.6</v>
      </c>
      <c r="G278" s="18">
        <v>369255.0</v>
      </c>
      <c r="H278" s="19" t="str">
        <f>IFERROR(__xludf.DUMMYFUNCTION("LOWER(REGEXREPLACE(B278&amp;"" ""&amp;C278,""[^а-яa-z0-9 ]"","" ""))")," оноблок  3 2410  24 i511400 8 256  in11  диагональ экрана 23 8   оперативная память 8       4  ж сткий диск       256     процессор  ntel  ore processor i5 11400  лицензионная  indows 11  ro 64  it ")</f>
        <v> оноблок  3 2410  24 i511400 8 256  in11  диагональ экрана 23 8   оперативная память 8       4  ж сткий диск       256     процессор  ntel  ore processor i5 11400  лицензионная  indows 11  ro 64  it </v>
      </c>
    </row>
    <row r="279">
      <c r="A279" s="20" t="s">
        <v>589</v>
      </c>
      <c r="B279" s="26" t="s">
        <v>590</v>
      </c>
      <c r="C279" s="15"/>
      <c r="D279" s="21" t="s">
        <v>14</v>
      </c>
      <c r="E279" s="23">
        <v>1.0</v>
      </c>
      <c r="F279" s="28">
        <v>6.6</v>
      </c>
      <c r="G279" s="18">
        <v>418134.0</v>
      </c>
      <c r="H279" s="19" t="str">
        <f>IFERROR(__xludf.DUMMYFUNCTION("LOWER(REGEXREPLACE(B279&amp;"" ""&amp;C279,""[^а-яa-z0-9 ]"","" ""))")," оноблок  3 2410  24 i511400 16 512 1    in  диагональ экрана 23 8   оперативная память 16       4  ж сткий диск       512            1    процессор  ntel  ore processor i5 11400  лицензионная  indows 11  ro 64  it ")</f>
        <v> оноблок  3 2410  24 i511400 16 512 1    in  диагональ экрана 23 8   оперативная память 16       4  ж сткий диск       512            1    процессор  ntel  ore processor i5 11400  лицензионная  indows 11  ro 64  it </v>
      </c>
    </row>
    <row r="280">
      <c r="A280" s="20" t="s">
        <v>591</v>
      </c>
      <c r="B280" s="26" t="s">
        <v>592</v>
      </c>
      <c r="C280" s="15"/>
      <c r="D280" s="21" t="s">
        <v>14</v>
      </c>
      <c r="E280" s="23">
        <v>1.0</v>
      </c>
      <c r="F280" s="28">
        <v>6.6</v>
      </c>
      <c r="G280" s="18">
        <v>415492.0</v>
      </c>
      <c r="H280" s="19" t="str">
        <f>IFERROR(__xludf.DUMMYFUNCTION("LOWER(REGEXREPLACE(B280&amp;"" ""&amp;C280,""[^а-яa-z0-9 ]"","" ""))")," оноблок  3 2711  27 i511400 8 256  in  диагональ экрана 27   оперативная память 8       4  ж сткий диск        256    процессор  ntel  ore processor i5 11400  лицензионная  indows 11  ro 64  it ")</f>
        <v> оноблок  3 2711  27 i511400 8 256  in  диагональ экрана 27   оперативная память 8       4  ж сткий диск        256    процессор  ntel  ore processor i5 11400  лицензионная  indows 11  ro 64  it </v>
      </c>
    </row>
    <row r="281">
      <c r="A281" s="20" t="s">
        <v>593</v>
      </c>
      <c r="B281" s="26" t="s">
        <v>594</v>
      </c>
      <c r="C281" s="15"/>
      <c r="D281" s="21" t="s">
        <v>14</v>
      </c>
      <c r="E281" s="23">
        <v>1.0</v>
      </c>
      <c r="F281" s="28">
        <v>6.6</v>
      </c>
      <c r="G281" s="18">
        <v>444555.0</v>
      </c>
      <c r="H281" s="19" t="str">
        <f>IFERROR(__xludf.DUMMYFUNCTION("LOWER(REGEXREPLACE(B281&amp;"" ""&amp;C281,""[^а-яa-z0-9 ]"","" ""))")," оноблок  3 2711  27 i511400 8 256 1    in  диагональ экрана 27   оперативная память 16       4  ж сткий диск       256            1     процессор  ntel  ore processor i5 11400  лицензионная  indows 11  ro 64  it ")</f>
        <v> оноблок  3 2711  27 i511400 8 256 1    in  диагональ экрана 27   оперативная память 16       4  ж сткий диск       256            1     процессор  ntel  ore processor i5 11400  лицензионная  indows 11  ro 64  it </v>
      </c>
    </row>
    <row r="282">
      <c r="A282" s="20" t="s">
        <v>595</v>
      </c>
      <c r="B282" s="26" t="s">
        <v>596</v>
      </c>
      <c r="C282" s="15"/>
      <c r="D282" s="21" t="s">
        <v>14</v>
      </c>
      <c r="E282" s="23">
        <v>1.0</v>
      </c>
      <c r="F282" s="28">
        <v>6.6</v>
      </c>
      <c r="G282" s="18">
        <v>364632.0</v>
      </c>
      <c r="H282" s="19" t="str">
        <f>IFERROR(__xludf.DUMMYFUNCTION("LOWER(REGEXREPLACE(B282&amp;"" ""&amp;C282,""[^а-яa-z0-9 ]"","" ""))")," оноблок  3 2410  24 i312100 8 256  in11  диагональ экрана 23 8   оперативная память 8       4  ж сткий диск       256      ntel  ore processor i3 12100  лицензионная  indows 11  ro 64  it ")</f>
        <v> оноблок  3 2410  24 i312100 8 256  in11  диагональ экрана 23 8   оперативная память 8       4  ж сткий диск       256      ntel  ore processor i3 12100  лицензионная  indows 11  ro 64  it </v>
      </c>
    </row>
    <row r="283">
      <c r="A283" s="20" t="s">
        <v>597</v>
      </c>
      <c r="B283" s="26" t="s">
        <v>598</v>
      </c>
      <c r="C283" s="15"/>
      <c r="D283" s="21" t="s">
        <v>14</v>
      </c>
      <c r="E283" s="23">
        <v>1.0</v>
      </c>
      <c r="F283" s="28">
        <v>6.6</v>
      </c>
      <c r="G283" s="18">
        <v>413511.0</v>
      </c>
      <c r="H283" s="19" t="str">
        <f>IFERROR(__xludf.DUMMYFUNCTION("LOWER(REGEXREPLACE(B283&amp;"" ""&amp;C283,""[^а-яa-z0-9 ]"","" ""))")," оноблок  3 2410  24 i312100 16 512 1    in  диагональ экрана 23 8   оперативная память 16       4  ж сткий диск        512            1     процессор  ntel  ore processor i5 12400  лицензионная  indows 11  ro 64  it ")</f>
        <v> оноблок  3 2410  24 i312100 16 512 1    in  диагональ экрана 23 8   оперативная память 16       4  ж сткий диск        512            1     процессор  ntel  ore processor i5 12400  лицензионная  indows 11  ro 64  it </v>
      </c>
    </row>
    <row r="284">
      <c r="A284" s="20" t="s">
        <v>599</v>
      </c>
      <c r="B284" s="26" t="s">
        <v>600</v>
      </c>
      <c r="C284" s="15"/>
      <c r="D284" s="21" t="s">
        <v>14</v>
      </c>
      <c r="E284" s="23">
        <v>1.0</v>
      </c>
      <c r="F284" s="28">
        <v>7.6</v>
      </c>
      <c r="G284" s="18">
        <v>451824.0</v>
      </c>
      <c r="H284" s="19" t="str">
        <f>IFERROR(__xludf.DUMMYFUNCTION("LOWER(REGEXREPLACE(B284&amp;"" ""&amp;C284,""[^а-яa-z0-9 ]"","" ""))")," оноблок  3 2711  27 i512400 8 256  in  диагональ экрана 27   оперативная память 8       4  ж сткий диск       256     процессор  ntel  ore processor i5 12400 ")</f>
        <v> оноблок  3 2711  27 i512400 8 256  in  диагональ экрана 27   оперативная память 8       4  ж сткий диск       256     процессор  ntel  ore processor i5 12400 </v>
      </c>
    </row>
    <row r="285">
      <c r="A285" s="20" t="s">
        <v>601</v>
      </c>
      <c r="B285" s="26" t="s">
        <v>602</v>
      </c>
      <c r="C285" s="15"/>
      <c r="D285" s="21" t="s">
        <v>14</v>
      </c>
      <c r="E285" s="23">
        <v>1.0</v>
      </c>
      <c r="F285" s="28">
        <v>7.6</v>
      </c>
      <c r="G285" s="18">
        <v>480887.0</v>
      </c>
      <c r="H285" s="19" t="str">
        <f>IFERROR(__xludf.DUMMYFUNCTION("LOWER(REGEXREPLACE(B285&amp;"" ""&amp;C285,""[^а-яa-z0-9 ]"","" ""))")," оноблок  3 2711  27 i512400 8 256 1    in  оперативная память 8       4  ж сткий диск       256           1     процессор  ntel  ore processor i5 12400  лицензионная  indows 11  ro 64  it ")</f>
        <v> оноблок  3 2711  27 i512400 8 256 1    in  оперативная память 8       4  ж сткий диск       256           1     процессор  ntel  ore processor i5 12400  лицензионная  indows 11  ro 64  it </v>
      </c>
    </row>
    <row r="286">
      <c r="A286" s="20" t="s">
        <v>603</v>
      </c>
      <c r="B286" s="15" t="s">
        <v>604</v>
      </c>
      <c r="C286" s="15" t="s">
        <v>605</v>
      </c>
      <c r="D286" s="21" t="s">
        <v>68</v>
      </c>
      <c r="E286" s="23">
        <v>2.0</v>
      </c>
      <c r="F286" s="28">
        <v>8.8</v>
      </c>
      <c r="G286" s="18">
        <v>456419.0</v>
      </c>
      <c r="H286" s="19" t="str">
        <f>IFERROR(__xludf.DUMMYFUNCTION("LOWER(REGEXREPLACE(B286&amp;"" ""&amp;C286,""[^а-яa-z0-9 ]"","" ""))"),"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онтрастно"&amp;"сть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"&amp;" атчик отпечатка пальца  4 х     3 0  ype    1 x          1 x           1 x    1 2  1 х         45 100 и 1000  бит с   1 x  ine  ut  ack 3 5mm  1 x  ic  n  ack 3 5mm  1 х power connector   орты ввода вывода на боковой панели корпуса  1 х     3 0  ype    2"&amp;"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7">
      <c r="A287" s="20" t="s">
        <v>606</v>
      </c>
      <c r="B287" s="15" t="s">
        <v>607</v>
      </c>
      <c r="C287" s="15" t="s">
        <v>608</v>
      </c>
      <c r="D287" s="21" t="s">
        <v>68</v>
      </c>
      <c r="E287" s="23">
        <v>2.0</v>
      </c>
      <c r="F287" s="28">
        <v>9.4</v>
      </c>
      <c r="G287" s="18">
        <v>456421.0</v>
      </c>
      <c r="H287" s="19" t="str">
        <f>IFERROR(__xludf.DUMMYFUNCTION("LOWER(REGEXREPLACE(B287&amp;"" ""&amp;C287,""[^а-яa-z0-9 ]"","" ""))"),"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онтрастност"&amp;"ь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ат"&amp;"чик отпечатка пальца  4 х     3 0  ype    1 x          1 x           1 x    1 2  1 х         45 100 и 1000  бит с   1 x  ine  ut  ack 3 5mm  1 x  ic  n  ack 3 5mm  1 х power connector   орты ввода вывода на боковой панели корпуса  1 х     3 0  ype    2 х "&amp;"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8">
      <c r="A288" s="20" t="s">
        <v>609</v>
      </c>
      <c r="B288" s="26" t="s">
        <v>610</v>
      </c>
      <c r="C288" s="15" t="s">
        <v>611</v>
      </c>
      <c r="D288" s="21" t="s">
        <v>68</v>
      </c>
      <c r="E288" s="23">
        <v>2.0</v>
      </c>
      <c r="F288" s="28">
        <v>8.8</v>
      </c>
      <c r="G288" s="18">
        <v>396664.0</v>
      </c>
      <c r="H288" s="19" t="str">
        <f>IFERROR(__xludf.DUMMYFUNCTION("LOWER(REGEXREPLACE(B288&amp;"" ""&amp;C288,""[^а-яa-z0-9 ]"","" ""))"),"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"&amp;"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ор"&amp;"ты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аксим"&amp;"альная тактовая частота  4 9   ц   бъем кэша третьего уровня  24  б ")</f>
        <v>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аксимальная тактовая частота  4 9   ц   бъем кэша третьего уровня  24  б </v>
      </c>
    </row>
    <row r="289">
      <c r="A289" s="20" t="s">
        <v>612</v>
      </c>
      <c r="B289" s="15" t="s">
        <v>613</v>
      </c>
      <c r="C289" s="15"/>
      <c r="D289" s="21" t="s">
        <v>14</v>
      </c>
      <c r="E289" s="17"/>
      <c r="F289" s="16"/>
      <c r="G289" s="18"/>
      <c r="H289" s="19" t="str">
        <f>IFERROR(__xludf.DUMMYFUNCTION("LOWER(REGEXREPLACE(B289&amp;"" ""&amp;C289,""[^а-яa-z0-9 ]"","" ""))"),"    ")</f>
        <v>    </v>
      </c>
    </row>
    <row r="290">
      <c r="A290" s="20" t="s">
        <v>614</v>
      </c>
      <c r="B290" s="15" t="s">
        <v>615</v>
      </c>
      <c r="C290" s="15" t="s">
        <v>616</v>
      </c>
      <c r="D290" s="21" t="s">
        <v>14</v>
      </c>
      <c r="E290" s="23">
        <v>2.0</v>
      </c>
      <c r="F290" s="24">
        <v>25.0</v>
      </c>
      <c r="G290" s="18">
        <v>391443.0</v>
      </c>
      <c r="H290" s="19" t="str">
        <f>IFERROR(__xludf.DUMMYFUNCTION("LOWER(REGEXREPLACE(B290&amp;"" ""&amp;C290,""[^а-яa-z0-9 ]"","" ""))"),"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управления"&amp;"  клавиатура   онер 3 000 отп   заменяемый 13 000 отп ")</f>
        <v>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  клавиатура   онер 3 000 отп   заменяемый 13 000 отп </v>
      </c>
    </row>
    <row r="291">
      <c r="A291" s="20" t="s">
        <v>617</v>
      </c>
      <c r="B291" s="15" t="s">
        <v>618</v>
      </c>
      <c r="C291" s="15" t="s">
        <v>616</v>
      </c>
      <c r="D291" s="21" t="s">
        <v>14</v>
      </c>
      <c r="E291" s="23">
        <v>2.0</v>
      </c>
      <c r="F291" s="24">
        <v>25.0</v>
      </c>
      <c r="G291" s="18">
        <v>396558.0</v>
      </c>
      <c r="H291" s="19" t="str">
        <f>IFERROR(__xludf.DUMMYFUNCTION("LOWER(REGEXREPLACE(B291&amp;"" ""&amp;C291,""[^а-яa-z0-9 ]"","" ""))"),"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клавиату"&amp;"ра   онер 3 000 отп   заменяемый 13 000 отп ")</f>
        <v>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клавиатура   онер 3 000 отп   заменяемый 13 000 отп </v>
      </c>
    </row>
    <row r="292">
      <c r="A292" s="20" t="s">
        <v>619</v>
      </c>
      <c r="B292" s="26" t="s">
        <v>620</v>
      </c>
      <c r="C292" s="15" t="s">
        <v>621</v>
      </c>
      <c r="D292" s="21" t="s">
        <v>14</v>
      </c>
      <c r="E292" s="23">
        <v>2.0</v>
      </c>
      <c r="F292" s="28">
        <v>66.4</v>
      </c>
      <c r="G292" s="18">
        <v>1572509.0</v>
      </c>
      <c r="H292" s="19" t="str">
        <f>IFERROR(__xludf.DUMMYFUNCTION("LOWER(REGEXREPLACE(B292&amp;"" ""&amp;C292,""[^а-яa-z0-9 ]"","" ""))"),"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за"&amp;"мена 30 000 отп  до 200 000 отп мес ")</f>
        <v>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замена 30 000 отп  до 200 000 отп мес </v>
      </c>
    </row>
    <row r="293">
      <c r="A293" s="20" t="s">
        <v>622</v>
      </c>
      <c r="B293" s="15" t="s">
        <v>623</v>
      </c>
      <c r="C293" s="15" t="s">
        <v>509</v>
      </c>
      <c r="D293" s="21" t="s">
        <v>14</v>
      </c>
      <c r="E293" s="23">
        <v>2.0</v>
      </c>
      <c r="F293" s="28">
        <v>13.1</v>
      </c>
      <c r="G293" s="18">
        <v>141644.0</v>
      </c>
      <c r="H293" s="19" t="str">
        <f>IFERROR(__xludf.DUMMYFUNCTION("LOWER(REGEXREPLACE(B293&amp;"" ""&amp;C293,""[^а-яa-z0-9 ]"","" ""))"),"     атюша  133  монохромный лазерный  принтер копир сканер  33 стр мин  4      1200 dpi  512         thernet           host  онер в комплекте на 700 отп")</f>
        <v>     атюша  133  монохромный лазерный  принтер копир сканер  33 стр мин  4      1200 dpi  512         thernet           host  онер в комплекте на 700 отп</v>
      </c>
    </row>
    <row r="294">
      <c r="A294" s="20" t="s">
        <v>624</v>
      </c>
      <c r="B294" s="15" t="s">
        <v>625</v>
      </c>
      <c r="C294" s="15" t="s">
        <v>626</v>
      </c>
      <c r="D294" s="21" t="s">
        <v>14</v>
      </c>
      <c r="E294" s="23">
        <v>2.0</v>
      </c>
      <c r="F294" s="24">
        <v>13.0</v>
      </c>
      <c r="G294" s="18">
        <v>234119.0</v>
      </c>
      <c r="H294" s="19" t="str">
        <f>IFERROR(__xludf.DUMMYFUNCTION("LOWER(REGEXREPLACE(B294&amp;"" ""&amp;C294,""[^а-яa-z0-9 ]"","" ""))"),"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f>
        <v>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v>
      </c>
    </row>
    <row r="295">
      <c r="A295" s="20" t="s">
        <v>627</v>
      </c>
      <c r="B295" s="15" t="s">
        <v>628</v>
      </c>
      <c r="C295" s="15"/>
      <c r="D295" s="21" t="s">
        <v>14</v>
      </c>
      <c r="E295" s="23">
        <v>2.0</v>
      </c>
      <c r="F295" s="24">
        <v>13.0</v>
      </c>
      <c r="G295" s="18">
        <v>180157.0</v>
      </c>
      <c r="H295" s="19" t="str">
        <f>IFERROR(__xludf.DUMMYFUNCTION("LOWER(REGEXREPLACE(B295&amp;"" ""&amp;C295,""[^а-яa-z0-9 ]"","" ""))"),"     атюша  140  монохромный светодиодный  принтер копир сканер  40 стр мин  4       кан  цвет чб      1200   ц  1          thernet      ")</f>
        <v>     атюша  140  монохромный светодиодный  принтер копир сканер  40 стр мин  4       кан  цвет чб      1200   ц  1          thernet      </v>
      </c>
    </row>
    <row r="296">
      <c r="A296" s="20" t="s">
        <v>629</v>
      </c>
      <c r="B296" s="15" t="s">
        <v>630</v>
      </c>
      <c r="C296" s="15"/>
      <c r="D296" s="21" t="s">
        <v>14</v>
      </c>
      <c r="E296" s="23">
        <v>2.0</v>
      </c>
      <c r="F296" s="28">
        <v>13.7</v>
      </c>
      <c r="G296" s="18">
        <v>209611.0</v>
      </c>
      <c r="H296" s="19" t="str">
        <f>IFERROR(__xludf.DUMMYFUNCTION("LOWER(REGEXREPLACE(B296&amp;"" ""&amp;C296,""[^а-яa-z0-9 ]"","" ""))"),"     атюша  140   монохромный светодиодный  принтер копир сканер  40 стр мин  4       кан  цвет чб  большой лоток для бумаги      1200   ц  2          thernet      ")</f>
        <v>     атюша  140   монохромный светодиодный  принтер копир сканер  40 стр мин  4       кан  цвет чб  большой лоток для бумаги      1200   ц  2          thernet      </v>
      </c>
    </row>
    <row r="297">
      <c r="A297" s="20" t="s">
        <v>631</v>
      </c>
      <c r="B297" s="15" t="s">
        <v>632</v>
      </c>
      <c r="C297" s="15"/>
      <c r="D297" s="21" t="s">
        <v>14</v>
      </c>
      <c r="E297" s="23">
        <v>2.0</v>
      </c>
      <c r="F297" s="28">
        <v>13.7</v>
      </c>
      <c r="G297" s="18">
        <v>288209.0</v>
      </c>
      <c r="H297" s="19" t="str">
        <f>IFERROR(__xludf.DUMMYFUNCTION("LOWER(REGEXREPLACE(B297&amp;"" ""&amp;C297,""[^а-яa-z0-9 ]"","" ""))"),"     атюша  240   монохромный светодиодный  принтер копир сканер факс  40 стр мин  4  ч б  1200 dpi   кан  цвет чб  большой лоток для бумаги  1000  б  thernet           host ")</f>
        <v>     атюша  240   монохромный светодиодный  принтер копир сканер факс  40 стр мин  4  ч б  1200 dpi   кан  цвет чб  большой лоток для бумаги  1000  б  thernet           host </v>
      </c>
    </row>
    <row r="298">
      <c r="A298" s="20" t="s">
        <v>633</v>
      </c>
      <c r="B298" s="26" t="s">
        <v>634</v>
      </c>
      <c r="C298" s="15" t="s">
        <v>635</v>
      </c>
      <c r="D298" s="21" t="s">
        <v>68</v>
      </c>
      <c r="E298" s="23">
        <v>2.0</v>
      </c>
      <c r="F298" s="24">
        <v>106.0</v>
      </c>
      <c r="G298" s="18">
        <v>1308161.0</v>
      </c>
      <c r="H298" s="19" t="str">
        <f>IFERROR(__xludf.DUMMYFUNCTION("LOWER(REGEXREPLACE(B298&amp;"" ""&amp;C298,""[^а-яa-z0-9 ]"","" ""))"),"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"&amp;" б  thernet           host    3     5 6   умага 60 220 г м2  подача 1100 листов  вывод 250 листов 7  панель управления   втоподатчик  тонер и тумба для хранения и наполного размещения в комплекте")</f>
        <v>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299">
      <c r="A299" s="20" t="s">
        <v>636</v>
      </c>
      <c r="B299" s="26" t="s">
        <v>637</v>
      </c>
      <c r="C299" s="15" t="s">
        <v>635</v>
      </c>
      <c r="D299" s="21" t="s">
        <v>68</v>
      </c>
      <c r="E299" s="23">
        <v>2.0</v>
      </c>
      <c r="F299" s="24">
        <v>106.0</v>
      </c>
      <c r="G299" s="18">
        <v>1527681.0</v>
      </c>
      <c r="H299" s="19" t="str">
        <f>IFERROR(__xludf.DUMMYFUNCTION("LOWER(REGEXREPLACE(B299&amp;"" ""&amp;C299,""[^а-яa-z0-9 ]"","" ""))"),"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thern"&amp;"et           host    3     5 6   умага 60 220 г м2  подача 1100 листов  вывод 250 листов 7  панель управления   втоподатчик  тонер и тумба для хранения и наполного размещения в комплекте")</f>
        <v>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300">
      <c r="A300" s="20" t="s">
        <v>638</v>
      </c>
      <c r="B300" s="26" t="s">
        <v>639</v>
      </c>
      <c r="C300" s="15" t="s">
        <v>640</v>
      </c>
      <c r="D300" s="21" t="s">
        <v>68</v>
      </c>
      <c r="E300" s="23">
        <v>2.0</v>
      </c>
      <c r="F300" s="24">
        <v>117.0</v>
      </c>
      <c r="G300" s="18">
        <v>2024902.0</v>
      </c>
      <c r="H300" s="19" t="str">
        <f>IFERROR(__xludf.DUMMYFUNCTION("LOWER(REGEXREPLACE(B300&amp;"" ""&amp;C300,""[^а-яa-z0-9 ]"","" ""))"),"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"&amp;"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f>
        <v>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v>
      </c>
    </row>
    <row r="301">
      <c r="A301" s="20" t="s">
        <v>641</v>
      </c>
      <c r="B301" s="26" t="s">
        <v>642</v>
      </c>
      <c r="C301" s="15" t="s">
        <v>643</v>
      </c>
      <c r="D301" s="21" t="s">
        <v>68</v>
      </c>
      <c r="E301" s="23">
        <v>2.0</v>
      </c>
      <c r="F301" s="24">
        <v>117.0</v>
      </c>
      <c r="G301" s="18">
        <v>2201611.0</v>
      </c>
      <c r="H301" s="19" t="str">
        <f>IFERROR(__xludf.DUMMYFUNCTION("LOWER(REGEXREPLACE(B301&amp;"" ""&amp;C301,""[^а-яa-z0-9 ]"","" ""))"),"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host"&amp;"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f>
        <v>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v>
      </c>
    </row>
    <row r="302">
      <c r="A302" s="20" t="s">
        <v>644</v>
      </c>
      <c r="B302" s="26" t="s">
        <v>645</v>
      </c>
      <c r="C302" s="15" t="s">
        <v>646</v>
      </c>
      <c r="D302" s="21" t="s">
        <v>14</v>
      </c>
      <c r="E302" s="23">
        <v>2.0</v>
      </c>
      <c r="F302" s="24">
        <v>14.0</v>
      </c>
      <c r="G302" s="18">
        <v>147663.0</v>
      </c>
      <c r="H302" s="19" t="str">
        <f>IFERROR(__xludf.DUMMYFUNCTION("LOWER(REGEXREPLACE(B302&amp;"" ""&amp;C302,""[^а-яa-z0-9 ]"","" ""))"),"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"&amp;"         втоподатчик оригиналов 50 листов   тартовый тонер на 700 отпечатков")</f>
        <v>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втоподатчик оригиналов 50 листов   тартовый тонер на 700 отпечатков</v>
      </c>
    </row>
    <row r="303">
      <c r="A303" s="20" t="s">
        <v>647</v>
      </c>
      <c r="B303" s="15" t="s">
        <v>648</v>
      </c>
      <c r="C303" s="15"/>
      <c r="D303" s="21" t="s">
        <v>14</v>
      </c>
      <c r="E303" s="23">
        <v>2.0</v>
      </c>
      <c r="F303" s="28">
        <v>26.3</v>
      </c>
      <c r="G303" s="18">
        <v>272279.0</v>
      </c>
      <c r="H303" s="19" t="str">
        <f>IFERROR(__xludf.DUMMYFUNCTION("LOWER(REGEXREPLACE(B303&amp;"" ""&amp;C303,""[^а-яa-z0-9 ]"","" ""))"),"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ка"&amp;"ртриджи на 1500 отп  ч б и цвет   о 75 000 отп мес ")</f>
        <v>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картриджи на 1500 отп  ч б и цвет   о 75 000 отп мес </v>
      </c>
    </row>
    <row r="304">
      <c r="A304" s="20" t="s">
        <v>649</v>
      </c>
      <c r="B304" s="15" t="s">
        <v>650</v>
      </c>
      <c r="C304" s="15" t="s">
        <v>651</v>
      </c>
      <c r="D304" s="21" t="s">
        <v>14</v>
      </c>
      <c r="E304" s="23">
        <v>2.0</v>
      </c>
      <c r="F304" s="28">
        <v>65.5</v>
      </c>
      <c r="G304" s="18">
        <v>1560746.0</v>
      </c>
      <c r="H304" s="19" t="str">
        <f>IFERROR(__xludf.DUMMYFUNCTION("LOWER(REGEXREPLACE(B304&amp;"" ""&amp;C304,""[^а-яa-z0-9 ]"","" ""))"),"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f>
        <v>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v>
      </c>
    </row>
    <row r="305">
      <c r="A305" s="20" t="s">
        <v>652</v>
      </c>
      <c r="B305" s="15" t="s">
        <v>653</v>
      </c>
      <c r="C305" s="15" t="s">
        <v>654</v>
      </c>
      <c r="D305" s="21" t="s">
        <v>14</v>
      </c>
      <c r="E305" s="23">
        <v>2.0</v>
      </c>
      <c r="F305" s="28">
        <v>65.5</v>
      </c>
      <c r="G305" s="18">
        <v>2034912.0</v>
      </c>
      <c r="H305" s="19" t="str">
        <f>IFERROR(__xludf.DUMMYFUNCTION("LOWER(REGEXREPLACE(B305&amp;"" ""&amp;C305,""[^а-яa-z0-9 ]"","" ""))"),"     атюша  350p  монохромный лазерный  принтер копир сканер   3 формат  монохромный  50  4 мин  1200 dpi   канер цвет чб      1200   ц  4          thernet           host 8  панель   онер в комплекте 10 000 отп ")</f>
        <v>     атюша  350p  монохромный лазерный  принтер копир сканер   3 формат  монохромный  50  4 мин  1200 dpi   канер цвет чб      1200   ц  4          thernet           host 8  панель   онер в комплекте 10 000 отп </v>
      </c>
    </row>
    <row r="306">
      <c r="A306" s="20" t="s">
        <v>655</v>
      </c>
      <c r="B306" s="15" t="s">
        <v>656</v>
      </c>
      <c r="C306" s="15" t="s">
        <v>657</v>
      </c>
      <c r="D306" s="21" t="s">
        <v>68</v>
      </c>
      <c r="E306" s="23">
        <v>2.0</v>
      </c>
      <c r="F306" s="28">
        <v>89.1</v>
      </c>
      <c r="G306" s="18">
        <v>1747104.0</v>
      </c>
      <c r="H306" s="19" t="str">
        <f>IFERROR(__xludf.DUMMYFUNCTION("LOWER(REGEXREPLACE(B306&amp;"" ""&amp;C306,""[^а-яa-z0-9 ]"","" ""))"),"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не"&amp;" менее 250 листов   ип сканера  планшетный с автоподатчиком  1 6  ц  ual  ore  rocessor  2 0 б           стенд стойка  тонеры  10           11 000 стр     k   17 500 стр  ")</f>
        <v>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 менее 250 листов   ип сканера  планшетный с автоподатчиком  1 6  ц  ual  ore  rocessor  2 0 б           стенд стойка  тонеры  10           11 000 стр     k   17 500 стр  </v>
      </c>
    </row>
    <row r="307">
      <c r="A307" s="20" t="s">
        <v>658</v>
      </c>
      <c r="B307" s="26" t="s">
        <v>659</v>
      </c>
      <c r="C307" s="15" t="s">
        <v>660</v>
      </c>
      <c r="D307" s="21" t="s">
        <v>68</v>
      </c>
      <c r="E307" s="23">
        <v>2.0</v>
      </c>
      <c r="F307" s="24">
        <v>20.0</v>
      </c>
      <c r="G307" s="18">
        <v>255916.0</v>
      </c>
      <c r="H307" s="19" t="str">
        <f>IFERROR(__xludf.DUMMYFUNCTION("LOWER(REGEXREPLACE(B307&amp;"" ""&amp;C307,""[^а-яa-z0-9 ]"","" ""))"),"     anon i          1440i  монохромный   4  лазерный  40 стр мин  1 2   ц  rocessor   1 б          2 0  i  peed  10       100        1000 ase     ireless 802 11b g n   ireless  irect  onnection  онохромное   4  тип печати   лазерный  40 стр мин    ремя в"&amp;"ыхода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irect"&amp;"  onnection       тонер  13   k   10 600 стр  ")</f>
        <v>     anon i          1440i  монохромный   4  лазерный  40 стр мин  1 2   ц  rocessor   1 б          2 0  i  peed  10       100        1000 ase     ireless 802 11b g n   ireless  irect  onnection  онохромное   4  тип печати   лазерный  40 стр мин    ремя выхода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  onnection       тонер  13   k   10 600 стр  </v>
      </c>
    </row>
    <row r="308">
      <c r="A308" s="20" t="s">
        <v>661</v>
      </c>
      <c r="B308" s="26" t="s">
        <v>662</v>
      </c>
      <c r="C308" s="15" t="s">
        <v>663</v>
      </c>
      <c r="D308" s="21" t="s">
        <v>68</v>
      </c>
      <c r="E308" s="23">
        <v>2.0</v>
      </c>
      <c r="F308" s="28">
        <v>41.9</v>
      </c>
      <c r="G308" s="18">
        <v>991756.0</v>
      </c>
      <c r="H308" s="19" t="str">
        <f>IFERROR(__xludf.DUMMYFUNCTION("LOWER(REGEXREPLACE(B308&amp;"" ""&amp;C308,""[^а-яa-z0-9 ]"","" ""))"),"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страни"&amp;"цы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"&amp;"  evice  x1       тонеры  10           5000 стр     k   6000 стр  ")</f>
        <v>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evice  x1       тонеры  10           5000 стр     k   6000 стр  </v>
      </c>
    </row>
    <row r="309">
      <c r="A309" s="20" t="s">
        <v>664</v>
      </c>
      <c r="B309" s="15" t="s">
        <v>665</v>
      </c>
      <c r="C309" s="15" t="s">
        <v>666</v>
      </c>
      <c r="D309" s="21" t="s">
        <v>14</v>
      </c>
      <c r="E309" s="23">
        <v>2.0</v>
      </c>
      <c r="F309" s="24">
        <v>33.0</v>
      </c>
      <c r="G309" s="18">
        <v>564966.0</v>
      </c>
      <c r="H309" s="19" t="str">
        <f>IFERROR(__xludf.DUMMYFUNCTION("LOWER(REGEXREPLACE(B309&amp;"" ""&amp;C309,""[^а-яa-z0-9 ]"","" ""))"),"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"&amp;"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с"&amp;"траниц")</f>
        <v>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страниц</v>
      </c>
    </row>
    <row r="310">
      <c r="A310" s="20" t="s">
        <v>667</v>
      </c>
      <c r="B310" s="26" t="s">
        <v>668</v>
      </c>
      <c r="C310" s="15" t="s">
        <v>669</v>
      </c>
      <c r="D310" s="21" t="s">
        <v>14</v>
      </c>
      <c r="E310" s="23">
        <v>2.0</v>
      </c>
      <c r="F310" s="24">
        <v>58.0</v>
      </c>
      <c r="G310" s="18">
        <v>1035042.0</v>
      </c>
      <c r="H310" s="19" t="str">
        <f>IFERROR(__xludf.DUMMYFUNCTION("LOWER(REGEXREPLACE(B310&amp;"" ""&amp;C310,""[^а-яa-z0-9 ]"","" ""))"),"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"&amp;"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стран"&amp;"иц ")</f>
        <v>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311">
      <c r="A311" s="20" t="s">
        <v>670</v>
      </c>
      <c r="B311" s="15" t="s">
        <v>671</v>
      </c>
      <c r="C311" s="15" t="s">
        <v>672</v>
      </c>
      <c r="D311" s="21" t="s">
        <v>14</v>
      </c>
      <c r="E311" s="23">
        <v>2.0</v>
      </c>
      <c r="F311" s="28">
        <v>27.1</v>
      </c>
      <c r="G311" s="18">
        <v>319176.0</v>
      </c>
      <c r="H311" s="19" t="str">
        <f>IFERROR(__xludf.DUMMYFUNCTION("LOWER(REGEXREPLACE(B311&amp;"" ""&amp;C311,""[^а-яa-z0-9 ]"","" ""))"),"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ринт"&amp;"ер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100"&amp;"0 страниц  ч рный картридж   ресурс 1500 страниц")</f>
        <v>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1000 страниц  ч рный картридж   ресурс 1500 страниц</v>
      </c>
    </row>
    <row r="312">
      <c r="A312" s="20" t="s">
        <v>673</v>
      </c>
      <c r="B312" s="26" t="s">
        <v>674</v>
      </c>
      <c r="C312" s="15" t="s">
        <v>675</v>
      </c>
      <c r="D312" s="21" t="s">
        <v>14</v>
      </c>
      <c r="E312" s="23">
        <v>2.0</v>
      </c>
      <c r="F312" s="24">
        <v>33.0</v>
      </c>
      <c r="G312" s="18">
        <v>767616.0</v>
      </c>
      <c r="H312" s="19" t="str">
        <f>IFERROR(__xludf.DUMMYFUNCTION("LOWER(REGEXREPLACE(B312&amp;"" ""&amp;C312,""[^а-яa-z0-9 ]"","" ""))"),"    цветное   erox   ersa ink  415     415      лазерное   4  40 стр  мин   подача 251 лист  двусторонний автоподатчик документов  до 98 изобр  мин   сенсорный дисплей 7   1 2   ц      2         32    e         2 0   thernet 10 100 1000        ax      ero"&amp;"x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старто"&amp;"вые картриджи  по одному каждого цвета  голубой  пурпурный  ж лтый    ресурс 2000 страниц  ч рный картридж   ресурс 2400 страниц")</f>
        <v>    цветное   erox   ersa ink  415     415      лазерное   4  40 стр  мин   подача 251 лист  двусторонний автоподатчик документов  до 98 изобр  мин   сенсорный дисплей 7   1 2   ц      2         32    e         2 0   thernet 10 100 1000        ax      erox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стартовые картриджи  по одному каждого цвета  голубой  пурпурный  ж лтый    ресурс 2000 страниц  ч рный картридж   ресурс 2400 страниц</v>
      </c>
    </row>
    <row r="313">
      <c r="A313" s="20" t="s">
        <v>676</v>
      </c>
      <c r="B313" s="15" t="s">
        <v>677</v>
      </c>
      <c r="C313" s="15" t="s">
        <v>678</v>
      </c>
      <c r="D313" s="21" t="s">
        <v>14</v>
      </c>
      <c r="E313" s="23">
        <v>2.0</v>
      </c>
      <c r="F313" s="24">
        <v>53.0</v>
      </c>
      <c r="G313" s="18">
        <v>1264983.0</v>
      </c>
      <c r="H313" s="19" t="str">
        <f>IFERROR(__xludf.DUMMYFUNCTION("LOWER(REGEXREPLACE(B313&amp;"" ""&amp;C313,""[^а-яa-z0-9 ]"","" ""))"),"    цветное   erox   ersa ink  625     625      лазерное    4  50 стр  мин   подача 650 листов  двусторонний автоподатчик документов  до 98 изобр  мин   сенсорный дисплей 7   1 2   ц      4         32    e         2 0   thernet 10 100 1000        ax      "&amp;"erox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"&amp;" голубой  пурпурный  ж лтый    ресурс 7000 страниц  ч рный картридж       ресурс 8000 страниц")</f>
        <v>    цветное   erox   ersa ink  625     625      лазерное    4  50 стр  мин   подача 650 листов  двусторонний автоподатчик документов  до 98 изобр  мин   сенсорный дисплей 7   1 2   ц      4         32    e         2 0   thernet 10 100 1000        ax      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голубой  пурпурный  ж лтый    ресурс 7000 страниц  ч рный картридж       ресурс 8000 страниц</v>
      </c>
    </row>
    <row r="314">
      <c r="A314" s="20" t="s">
        <v>679</v>
      </c>
      <c r="B314" s="15" t="s">
        <v>680</v>
      </c>
      <c r="C314" s="15"/>
      <c r="D314" s="16"/>
      <c r="E314" s="17"/>
      <c r="F314" s="16"/>
      <c r="G314" s="18"/>
      <c r="H314" s="19" t="str">
        <f>IFERROR(__xludf.DUMMYFUNCTION("LOWER(REGEXREPLACE(B314&amp;"" ""&amp;C314,""[^а-яa-z0-9 ]"","" ""))")," борудование и мебель вспомогательные для групповой комнаты ")</f>
        <v> борудование и мебель вспомогательные для групповой комнаты </v>
      </c>
    </row>
    <row r="315">
      <c r="A315" s="20" t="s">
        <v>681</v>
      </c>
      <c r="B315" s="15" t="s">
        <v>682</v>
      </c>
      <c r="C315" s="15"/>
      <c r="D315" s="21" t="s">
        <v>14</v>
      </c>
      <c r="E315" s="17"/>
      <c r="F315" s="16"/>
      <c r="G315" s="18"/>
      <c r="H315" s="19" t="str">
        <f>IFERROR(__xludf.DUMMYFUNCTION("LOWER(REGEXREPLACE(B315&amp;"" ""&amp;C315,""[^а-яa-z0-9 ]"","" ""))")," каф для посуды ")</f>
        <v> каф для посуды </v>
      </c>
    </row>
    <row r="316">
      <c r="A316" s="20" t="s">
        <v>683</v>
      </c>
      <c r="B316" s="15" t="s">
        <v>684</v>
      </c>
      <c r="C316" s="15"/>
      <c r="D316" s="21" t="s">
        <v>14</v>
      </c>
      <c r="E316" s="17"/>
      <c r="F316" s="16"/>
      <c r="G316" s="18">
        <v>121942.0</v>
      </c>
      <c r="H316" s="19" t="str">
        <f>IFERROR(__xludf.DUMMYFUNCTION("LOWER(REGEXREPLACE(B316&amp;"" ""&amp;C316,""[^а-яa-z0-9 ]"","" ""))")," каф с полками для посуды 800 450 1800 ")</f>
        <v> каф с полками для посуды 800 450 1800 </v>
      </c>
    </row>
    <row r="317">
      <c r="A317" s="20" t="s">
        <v>685</v>
      </c>
      <c r="B317" s="15" t="s">
        <v>686</v>
      </c>
      <c r="C317" s="15"/>
      <c r="D317" s="21" t="s">
        <v>14</v>
      </c>
      <c r="E317" s="17"/>
      <c r="F317" s="16"/>
      <c r="G317" s="18"/>
      <c r="H317" s="19" t="str">
        <f>IFERROR(__xludf.DUMMYFUNCTION("LOWER(REGEXREPLACE(B317&amp;"" ""&amp;C317,""[^а-яa-z0-9 ]"","" ""))")," каф для моющих средств ")</f>
        <v> каф для моющих средств </v>
      </c>
    </row>
    <row r="318">
      <c r="A318" s="20" t="s">
        <v>687</v>
      </c>
      <c r="B318" s="15" t="s">
        <v>688</v>
      </c>
      <c r="C318" s="15" t="s">
        <v>689</v>
      </c>
      <c r="D318" s="21" t="s">
        <v>14</v>
      </c>
      <c r="E318" s="17"/>
      <c r="F318" s="16"/>
      <c r="G318" s="18">
        <v>35714.0</v>
      </c>
      <c r="H318" s="19" t="str">
        <f>IFERROR(__xludf.DUMMYFUNCTION("LOWER(REGEXREPLACE(B318&amp;"" ""&amp;C318,""[^а-яa-z0-9 ]"","" ""))")," каф для моющих средств 800х500х1800мм  каф для моющих средств 800х500х1800мм   атериал      16мм   нутри секции имеются полки для инвентаря")</f>
        <v> каф для моющих средств 800х500х1800мм  каф для моющих средств 800х500х1800мм   атериал      16мм   нутри секции имеются полки для инвентаря</v>
      </c>
    </row>
    <row r="319">
      <c r="A319" s="20" t="s">
        <v>690</v>
      </c>
      <c r="B319" s="15" t="s">
        <v>691</v>
      </c>
      <c r="C319" s="15"/>
      <c r="D319" s="21" t="s">
        <v>14</v>
      </c>
      <c r="E319" s="17"/>
      <c r="F319" s="16"/>
      <c r="G319" s="18"/>
      <c r="H319" s="19" t="str">
        <f>IFERROR(__xludf.DUMMYFUNCTION("LOWER(REGEXREPLACE(B319&amp;"" ""&amp;C319,""[^а-яa-z0-9 ]"","" ""))")," каф для уборочного инвентаря ")</f>
        <v> каф для уборочного инвентаря </v>
      </c>
    </row>
    <row r="320">
      <c r="A320" s="20" t="s">
        <v>692</v>
      </c>
      <c r="B320" s="26" t="s">
        <v>693</v>
      </c>
      <c r="C320" s="15" t="s">
        <v>694</v>
      </c>
      <c r="D320" s="21" t="s">
        <v>14</v>
      </c>
      <c r="E320" s="17"/>
      <c r="F320" s="24">
        <v>22.0</v>
      </c>
      <c r="G320" s="18">
        <v>142069.0</v>
      </c>
      <c r="H320" s="19" t="str">
        <f>IFERROR(__xludf.DUMMYFUNCTION("LOWER(REGEXREPLACE(B320&amp;"" ""&amp;C320,""[^а-яa-z0-9 ]"","" ""))"),"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f>
        <v>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v>
      </c>
    </row>
    <row r="321">
      <c r="A321" s="20" t="s">
        <v>695</v>
      </c>
      <c r="B321" s="26" t="s">
        <v>696</v>
      </c>
      <c r="C321" s="15" t="s">
        <v>697</v>
      </c>
      <c r="D321" s="21" t="s">
        <v>14</v>
      </c>
      <c r="E321" s="23">
        <v>2.0</v>
      </c>
      <c r="F321" s="24">
        <v>28.0</v>
      </c>
      <c r="G321" s="18">
        <v>142143.0</v>
      </c>
      <c r="H321" s="19" t="str">
        <f>IFERROR(__xludf.DUMMYFUNCTION("LOWER(REGEXREPLACE(B321&amp;"" ""&amp;C321,""[^а-яa-z0-9 ]"","" ""))"),"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f>
        <v>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v>
      </c>
    </row>
    <row r="322">
      <c r="A322" s="20" t="s">
        <v>698</v>
      </c>
      <c r="B322" s="26" t="s">
        <v>699</v>
      </c>
      <c r="C322" s="15" t="s">
        <v>700</v>
      </c>
      <c r="D322" s="21" t="s">
        <v>14</v>
      </c>
      <c r="E322" s="17"/>
      <c r="F322" s="24">
        <v>22.0</v>
      </c>
      <c r="G322" s="18">
        <v>77704.0</v>
      </c>
      <c r="H322" s="19" t="str">
        <f>IFERROR(__xludf.DUMMYFUNCTION("LOWER(REGEXREPLACE(B322&amp;"" ""&amp;C322,""[^а-яa-z0-9 ]"","" ""))"),"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о"&amp;"крытие   краска порошковая полимерная   вери снабжены замком ")</f>
        <v>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окрытие   краска порошковая полимерная   вери снабжены замком </v>
      </c>
    </row>
    <row r="323">
      <c r="A323" s="20" t="s">
        <v>701</v>
      </c>
      <c r="B323" s="15" t="s">
        <v>702</v>
      </c>
      <c r="C323" s="15"/>
      <c r="D323" s="21" t="s">
        <v>14</v>
      </c>
      <c r="E323" s="17"/>
      <c r="F323" s="16"/>
      <c r="G323" s="18"/>
      <c r="H323" s="19" t="str">
        <f>IFERROR(__xludf.DUMMYFUNCTION("LOWER(REGEXREPLACE(B323&amp;"" ""&amp;C323,""[^а-яa-z0-9 ]"","" ""))")," теллаж ")</f>
        <v> теллаж </v>
      </c>
    </row>
    <row r="324">
      <c r="A324" s="20" t="s">
        <v>703</v>
      </c>
      <c r="B324" s="15" t="s">
        <v>704</v>
      </c>
      <c r="C324" s="15" t="s">
        <v>705</v>
      </c>
      <c r="D324" s="21" t="s">
        <v>14</v>
      </c>
      <c r="E324" s="23">
        <v>2.0</v>
      </c>
      <c r="F324" s="24">
        <v>52.0</v>
      </c>
      <c r="G324" s="18">
        <v>120527.0</v>
      </c>
      <c r="H324" s="19" t="str">
        <f>IFERROR(__xludf.DUMMYFUNCTION("LOWER(REGEXREPLACE(B324&amp;"" ""&amp;C324,""[^а-яa-z0-9 ]"","" ""))"),"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"&amp;"  1 5 мм ")</f>
        <v>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1 5 мм </v>
      </c>
    </row>
    <row r="325">
      <c r="A325" s="20" t="s">
        <v>706</v>
      </c>
      <c r="B325" s="15" t="s">
        <v>707</v>
      </c>
      <c r="C325" s="15"/>
      <c r="D325" s="21" t="s">
        <v>14</v>
      </c>
      <c r="E325" s="17"/>
      <c r="F325" s="16"/>
      <c r="G325" s="18"/>
      <c r="H325" s="19" t="str">
        <f>IFERROR(__xludf.DUMMYFUNCTION("LOWER(REGEXREPLACE(B325&amp;"" ""&amp;C325,""[^а-яa-z0-9 ]"","" ""))")," ешалка ")</f>
        <v> ешалка </v>
      </c>
    </row>
    <row r="326">
      <c r="A326" s="20" t="s">
        <v>708</v>
      </c>
      <c r="B326" s="15" t="s">
        <v>709</v>
      </c>
      <c r="C326" s="15" t="s">
        <v>710</v>
      </c>
      <c r="D326" s="21" t="s">
        <v>14</v>
      </c>
      <c r="E326" s="17"/>
      <c r="F326" s="16"/>
      <c r="G326" s="18">
        <v>16491.0</v>
      </c>
      <c r="H326" s="19" t="str">
        <f>IFERROR(__xludf.DUMMYFUNCTION("LOWER(REGEXREPLACE(B326&amp;"" ""&amp;C326,""[^а-яa-z0-9 ]"","" ""))")," каф 5 ти секционный с полками и крючками  600 150 600   атериал       16 мм   каф 5 ти секционный с полками и крючками  600 150 600   атериал       16 мм ")</f>
        <v> каф 5 ти секционный с полками и крючками  600 150 600   атериал       16 мм   каф 5 ти секционный с полками и крючками  600 150 600   атериал       16 мм </v>
      </c>
    </row>
    <row r="327">
      <c r="A327" s="20" t="s">
        <v>711</v>
      </c>
      <c r="B327" s="15" t="s">
        <v>712</v>
      </c>
      <c r="C327" s="15" t="s">
        <v>712</v>
      </c>
      <c r="D327" s="21" t="s">
        <v>14</v>
      </c>
      <c r="E327" s="17"/>
      <c r="F327" s="16"/>
      <c r="G327" s="18">
        <v>19983.0</v>
      </c>
      <c r="H327" s="19" t="str">
        <f>IFERROR(__xludf.DUMMYFUNCTION("LOWER(REGEXREPLACE(B327&amp;"" ""&amp;C327,""[^а-яa-z0-9 ]"","" ""))")," ешалка 5 ти секционная с полками и крючками 658 116 1000   атериал        16 мм   ешалка 5 ти секционная с полками и крючками 658 116 1000   атериал        16 мм ")</f>
        <v> ешалка 5 ти секционная с полками и крючками 658 116 1000   атериал        16 мм   ешалка 5 ти секционная с полками и крючками 658 116 1000   атериал        16 мм </v>
      </c>
    </row>
    <row r="328">
      <c r="A328" s="20" t="s">
        <v>713</v>
      </c>
      <c r="B328" s="15" t="s">
        <v>714</v>
      </c>
      <c r="C328" s="15" t="s">
        <v>714</v>
      </c>
      <c r="D328" s="21" t="s">
        <v>14</v>
      </c>
      <c r="E328" s="23">
        <v>2.0</v>
      </c>
      <c r="F328" s="24">
        <v>1.0</v>
      </c>
      <c r="G328" s="18">
        <v>19134.0</v>
      </c>
      <c r="H328" s="19" t="str">
        <f>IFERROR(__xludf.DUMMYFUNCTION("LOWER(REGEXREPLACE(B328&amp;"" ""&amp;C328,""[^а-яa-z0-9 ]"","" ""))")," ешалка настенная на 14 крючков для одежды  размер 2256х254х263мм       16мм  ешалка настенная на 14 крючков для одежды  размер 2256х254х263мм       16мм")</f>
        <v> ешалка настенная на 14 крючков для одежды  размер 2256х254х263мм       16мм  ешалка настенная на 14 крючков для одежды  размер 2256х254х263мм       16мм</v>
      </c>
    </row>
    <row r="329">
      <c r="A329" s="20" t="s">
        <v>715</v>
      </c>
      <c r="B329" s="15" t="s">
        <v>716</v>
      </c>
      <c r="C329" s="15"/>
      <c r="D329" s="21" t="s">
        <v>14</v>
      </c>
      <c r="E329" s="17"/>
      <c r="F329" s="16"/>
      <c r="G329" s="18"/>
      <c r="H329" s="19" t="str">
        <f>IFERROR(__xludf.DUMMYFUNCTION("LOWER(REGEXREPLACE(B329&amp;"" ""&amp;C329,""[^а-яa-z0-9 ]"","" ""))")," каф гардеробный ")</f>
        <v> каф гардеробный </v>
      </c>
    </row>
    <row r="330">
      <c r="A330" s="20" t="s">
        <v>717</v>
      </c>
      <c r="B330" s="15" t="s">
        <v>718</v>
      </c>
      <c r="C330" s="15" t="s">
        <v>719</v>
      </c>
      <c r="D330" s="21" t="s">
        <v>14</v>
      </c>
      <c r="E330" s="17"/>
      <c r="F330" s="16"/>
      <c r="G330" s="18">
        <v>111607.0</v>
      </c>
      <c r="H330" s="19" t="str">
        <f>IFERROR(__xludf.DUMMYFUNCTION("LOWER(REGEXREPLACE(B330&amp;"" ""&amp;C330,""[^а-яa-z0-9 ]"","" ""))"),"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f>
        <v>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v>
      </c>
    </row>
    <row r="331">
      <c r="A331" s="20" t="s">
        <v>720</v>
      </c>
      <c r="B331" s="15" t="s">
        <v>721</v>
      </c>
      <c r="C331" s="15"/>
      <c r="D331" s="21" t="s">
        <v>14</v>
      </c>
      <c r="E331" s="17"/>
      <c r="F331" s="16"/>
      <c r="G331" s="18"/>
      <c r="H331" s="19" t="str">
        <f>IFERROR(__xludf.DUMMYFUNCTION("LOWER(REGEXREPLACE(B331&amp;"" ""&amp;C331,""[^а-яa-z0-9 ]"","" ""))")," ровать односпальная ")</f>
        <v> ровать односпальная </v>
      </c>
    </row>
    <row r="332">
      <c r="A332" s="20" t="s">
        <v>722</v>
      </c>
      <c r="B332" s="15" t="s">
        <v>723</v>
      </c>
      <c r="C332" s="15" t="s">
        <v>724</v>
      </c>
      <c r="D332" s="21" t="s">
        <v>14</v>
      </c>
      <c r="E332" s="17"/>
      <c r="F332" s="16"/>
      <c r="G332" s="18">
        <v>31889.0</v>
      </c>
      <c r="H332" s="19" t="str">
        <f>IFERROR(__xludf.DUMMYFUNCTION("LOWER(REGEXREPLACE(B332&amp;"" ""&amp;C332,""[^а-яa-z0-9 ]"","" ""))"),"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рамоч"&amp;"ная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f>
        <v>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v>
      </c>
    </row>
    <row r="333">
      <c r="A333" s="20" t="s">
        <v>725</v>
      </c>
      <c r="B333" s="15" t="s">
        <v>726</v>
      </c>
      <c r="C333" s="15" t="s">
        <v>726</v>
      </c>
      <c r="D333" s="21" t="s">
        <v>14</v>
      </c>
      <c r="E333" s="17"/>
      <c r="F333" s="16"/>
      <c r="G333" s="18">
        <v>29100.0</v>
      </c>
      <c r="H333" s="19" t="str">
        <f>IFERROR(__xludf.DUMMYFUNCTION("LOWER(REGEXREPLACE(B333&amp;"" ""&amp;C333,""[^а-яa-z0-9 ]"","" ""))"),"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f>
        <v>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v>
      </c>
    </row>
    <row r="334">
      <c r="A334" s="20" t="s">
        <v>727</v>
      </c>
      <c r="B334" s="15" t="s">
        <v>728</v>
      </c>
      <c r="C334" s="15" t="s">
        <v>728</v>
      </c>
      <c r="D334" s="21" t="s">
        <v>14</v>
      </c>
      <c r="E334" s="23">
        <v>2.0</v>
      </c>
      <c r="F334" s="24">
        <v>20.0</v>
      </c>
      <c r="G334" s="18">
        <v>30294.0</v>
      </c>
      <c r="H334" s="19" t="str">
        <f>IFERROR(__xludf.DUMMYFUNCTION("LOWER(REGEXREPLACE(B334&amp;"" ""&amp;C334,""[^а-яa-z0-9 ]"","" ""))")," ровать детская односпальная  размеры 1436х640х550мм       16мм  все углы закруглены  ровать детская односпальная  размеры 1436х640х550мм       16мм  все углы закруглены")</f>
        <v> ровать детская односпальная  размеры 1436х640х550мм       16мм  все углы закруглены  ровать детская односпальная  размеры 1436х640х550мм       16мм  все углы закруглены</v>
      </c>
    </row>
    <row r="335">
      <c r="A335" s="20" t="s">
        <v>729</v>
      </c>
      <c r="B335" s="15" t="s">
        <v>730</v>
      </c>
      <c r="C335" s="15" t="s">
        <v>731</v>
      </c>
      <c r="D335" s="21" t="s">
        <v>14</v>
      </c>
      <c r="E335" s="23">
        <v>2.0</v>
      </c>
      <c r="F335" s="24">
        <v>37.0</v>
      </c>
      <c r="G335" s="18">
        <v>30809.0</v>
      </c>
      <c r="H335" s="19" t="str">
        <f>IFERROR(__xludf.DUMMYFUNCTION("LOWER(REGEXREPLACE(B335&amp;"" ""&amp;C335,""[^а-яa-z0-9 ]"","" ""))"),"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f>
        <v>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v>
      </c>
    </row>
    <row r="336">
      <c r="A336" s="20" t="s">
        <v>732</v>
      </c>
      <c r="B336" s="15" t="s">
        <v>733</v>
      </c>
      <c r="C336" s="15" t="s">
        <v>734</v>
      </c>
      <c r="D336" s="21" t="s">
        <v>14</v>
      </c>
      <c r="E336" s="23">
        <v>2.0</v>
      </c>
      <c r="F336" s="24">
        <v>26.0</v>
      </c>
      <c r="G336" s="18">
        <v>27385.0</v>
      </c>
      <c r="H336" s="19" t="str">
        <f>IFERROR(__xludf.DUMMYFUNCTION("LOWER(REGEXREPLACE(B336&amp;"" ""&amp;C336,""[^а-яa-z0-9 ]"","" ""))"),"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элементов"&amp;"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с"&amp;"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f>
        <v>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v>
      </c>
    </row>
    <row r="337">
      <c r="A337" s="20" t="s">
        <v>735</v>
      </c>
      <c r="B337" s="15" t="s">
        <v>736</v>
      </c>
      <c r="C337" s="15"/>
      <c r="D337" s="21" t="s">
        <v>14</v>
      </c>
      <c r="E337" s="17"/>
      <c r="F337" s="16"/>
      <c r="G337" s="18"/>
      <c r="H337" s="19" t="str">
        <f>IFERROR(__xludf.DUMMYFUNCTION("LOWER(REGEXREPLACE(B337&amp;"" ""&amp;C337,""[^а-яa-z0-9 ]"","" ""))")," ровать двухъярусная ")</f>
        <v> ровать двухъярусная </v>
      </c>
    </row>
    <row r="338">
      <c r="A338" s="20" t="s">
        <v>737</v>
      </c>
      <c r="B338" s="26" t="s">
        <v>738</v>
      </c>
      <c r="C338" s="15" t="s">
        <v>739</v>
      </c>
      <c r="D338" s="21" t="s">
        <v>14</v>
      </c>
      <c r="E338" s="17"/>
      <c r="F338" s="16"/>
      <c r="G338" s="18">
        <v>84746.0</v>
      </c>
      <c r="H338" s="19" t="str">
        <f>IFERROR(__xludf.DUMMYFUNCTION("LOWER(REGEXREPLACE(B338&amp;"" ""&amp;C338,""[^а-яa-z0-9 ]"","" ""))"),"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двухъярус"&amp;"ная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се"&amp;" углы закруглены   азмеры  1477х657х1359мм   оже 1400х600мм ")</f>
        <v>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 углы закруглены   азмеры  1477х657х1359мм   оже 1400х600мм </v>
      </c>
    </row>
    <row r="339">
      <c r="A339" s="20" t="s">
        <v>740</v>
      </c>
      <c r="B339" s="15" t="s">
        <v>741</v>
      </c>
      <c r="C339" s="15" t="s">
        <v>742</v>
      </c>
      <c r="D339" s="21" t="s">
        <v>14</v>
      </c>
      <c r="E339" s="17"/>
      <c r="F339" s="16"/>
      <c r="G339" s="18">
        <v>75299.0</v>
      </c>
      <c r="H339" s="19" t="str">
        <f>IFERROR(__xludf.DUMMYFUNCTION("LOWER(REGEXREPLACE(B339&amp;"" ""&amp;C339,""[^а-яa-z0-9 ]"","" ""))"),"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покрыт"&amp;"ием   азмеры 1450 700 1200мм ")</f>
        <v>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покрытием   азмеры 1450 700 1200мм </v>
      </c>
    </row>
    <row r="340">
      <c r="A340" s="20" t="s">
        <v>743</v>
      </c>
      <c r="B340" s="15" t="s">
        <v>744</v>
      </c>
      <c r="C340" s="15"/>
      <c r="D340" s="21" t="s">
        <v>14</v>
      </c>
      <c r="E340" s="17"/>
      <c r="F340" s="16"/>
      <c r="G340" s="18"/>
      <c r="H340" s="19" t="str">
        <f>IFERROR(__xludf.DUMMYFUNCTION("LOWER(REGEXREPLACE(B340&amp;"" ""&amp;C340,""[^а-яa-z0-9 ]"","" ""))")," ровать трехъярусная выкатная ")</f>
        <v> ровать трехъярусная выкатная </v>
      </c>
    </row>
    <row r="341">
      <c r="A341" s="20" t="s">
        <v>745</v>
      </c>
      <c r="B341" s="26" t="s">
        <v>746</v>
      </c>
      <c r="C341" s="15" t="s">
        <v>747</v>
      </c>
      <c r="D341" s="21" t="s">
        <v>14</v>
      </c>
      <c r="E341" s="17"/>
      <c r="F341" s="16"/>
      <c r="G341" s="18">
        <v>100054.0</v>
      </c>
      <c r="H341" s="19" t="str">
        <f>IFERROR(__xludf.DUMMYFUNCTION("LOWER(REGEXREPLACE(B341&amp;"" ""&amp;C341,""[^а-яa-z0-9 ]"","" ""))"),"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15"&amp;"0мм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рет"&amp;"ий ярус установлен на пластиковые наконечники   ервый ярус на высоте 150мм   лина кровати при выдвижении 1680мм   азмеры 1610 600 1680 740мм ")</f>
        <v>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v>
      </c>
    </row>
    <row r="342">
      <c r="A342" s="20" t="s">
        <v>748</v>
      </c>
      <c r="B342" s="15" t="s">
        <v>749</v>
      </c>
      <c r="C342" s="15" t="s">
        <v>749</v>
      </c>
      <c r="D342" s="21" t="s">
        <v>14</v>
      </c>
      <c r="E342" s="23">
        <v>2.0</v>
      </c>
      <c r="F342" s="24">
        <v>55.0</v>
      </c>
      <c r="G342" s="18">
        <v>82301.0</v>
      </c>
      <c r="H342" s="19" t="str">
        <f>IFERROR(__xludf.DUMMYFUNCTION("LOWER(REGEXREPLACE(B342&amp;"" ""&amp;C342,""[^а-яa-z0-9 ]"","" ""))")," ровать трехъярусная  телоскопическая  выполнена из      16мм  размеры 1528х693х923мм  ровать трехъярусная  телоскопическая  выполнена из      16мм  размеры 1528х693х923мм")</f>
        <v> ровать трехъярусная  телоскопическая  выполнена из      16мм  размеры 1528х693х923мм  ровать трехъярусная  телоскопическая  выполнена из      16мм  размеры 1528х693х923мм</v>
      </c>
    </row>
    <row r="343">
      <c r="A343" s="20" t="s">
        <v>750</v>
      </c>
      <c r="B343" s="15" t="s">
        <v>751</v>
      </c>
      <c r="C343" s="15"/>
      <c r="D343" s="21" t="s">
        <v>14</v>
      </c>
      <c r="E343" s="17"/>
      <c r="F343" s="16"/>
      <c r="G343" s="18"/>
      <c r="H343" s="19" t="str">
        <f>IFERROR(__xludf.DUMMYFUNCTION("LOWER(REGEXREPLACE(B343&amp;"" ""&amp;C343,""[^а-яa-z0-9 ]"","" ""))")," аскладушка ")</f>
        <v> аскладушка </v>
      </c>
    </row>
    <row r="344">
      <c r="A344" s="20" t="s">
        <v>752</v>
      </c>
      <c r="B344" s="15" t="s">
        <v>753</v>
      </c>
      <c r="C344" s="15"/>
      <c r="D344" s="21" t="s">
        <v>14</v>
      </c>
      <c r="E344" s="17"/>
      <c r="F344" s="16"/>
      <c r="G344" s="18">
        <v>9375.0</v>
      </c>
      <c r="H344" s="19" t="str">
        <f>IFERROR(__xludf.DUMMYFUNCTION("LOWER(REGEXREPLACE(B344&amp;"" ""&amp;C344,""[^а-яa-z0-9 ]"","" ""))")," аскладушка детская 1670х600х270 мм ")</f>
        <v> аскладушка детская 1670х600х270 мм </v>
      </c>
    </row>
    <row r="345">
      <c r="A345" s="20" t="s">
        <v>754</v>
      </c>
      <c r="B345" s="15" t="s">
        <v>755</v>
      </c>
      <c r="C345" s="15"/>
      <c r="D345" s="21" t="s">
        <v>14</v>
      </c>
      <c r="E345" s="17"/>
      <c r="F345" s="16"/>
      <c r="G345" s="18">
        <v>11607.0</v>
      </c>
      <c r="H345" s="19" t="str">
        <f>IFERROR(__xludf.DUMMYFUNCTION("LOWER(REGEXREPLACE(B345&amp;"" ""&amp;C345,""[^а-яa-z0-9 ]"","" ""))")," аскладушка детская с поролоном 1670х600х270 мм ")</f>
        <v> аскладушка детская с поролоном 1670х600х270 мм </v>
      </c>
    </row>
    <row r="346">
      <c r="A346" s="20" t="s">
        <v>756</v>
      </c>
      <c r="B346" s="15" t="s">
        <v>757</v>
      </c>
      <c r="C346" s="15"/>
      <c r="D346" s="21" t="s">
        <v>14</v>
      </c>
      <c r="E346" s="17"/>
      <c r="F346" s="16"/>
      <c r="G346" s="18">
        <v>13393.0</v>
      </c>
      <c r="H346" s="19" t="str">
        <f>IFERROR(__xludf.DUMMYFUNCTION("LOWER(REGEXREPLACE(B346&amp;"" ""&amp;C346,""[^а-яa-z0-9 ]"","" ""))")," аскладушка взрослая 2040х720х380 мм ")</f>
        <v> аскладушка взрослая 2040х720х380 мм </v>
      </c>
    </row>
    <row r="347">
      <c r="A347" s="13" t="s">
        <v>758</v>
      </c>
      <c r="B347" s="30"/>
      <c r="C347" s="31"/>
      <c r="D347" s="30"/>
      <c r="E347" s="32"/>
      <c r="F347" s="30"/>
      <c r="G347" s="33"/>
      <c r="H347" s="34" t="str">
        <f>IFERROR(__xludf.DUMMYFUNCTION("LOWER(REGEXREPLACE(B347&amp;"" ""&amp;C347,""[^а-яa-z0-9 ]"","" ""))")," ")</f>
        <v> </v>
      </c>
    </row>
    <row r="348">
      <c r="A348" s="35" t="s">
        <v>759</v>
      </c>
      <c r="B348" s="31" t="s">
        <v>760</v>
      </c>
      <c r="C348" s="31"/>
      <c r="D348" s="36"/>
      <c r="E348" s="10"/>
      <c r="F348" s="36"/>
      <c r="G348" s="11"/>
      <c r="H348" s="34" t="str">
        <f>IFERROR(__xludf.DUMMYFUNCTION("LOWER(REGEXREPLACE(B348&amp;"" ""&amp;C348,""[^а-яa-z0-9 ]"","" ""))")," нвентарь для рисования ")</f>
        <v> нвентарь для рисования </v>
      </c>
    </row>
    <row r="349">
      <c r="A349" s="35" t="s">
        <v>761</v>
      </c>
      <c r="B349" s="31" t="s">
        <v>762</v>
      </c>
      <c r="C349" s="31"/>
      <c r="D349" s="37" t="s">
        <v>14</v>
      </c>
      <c r="E349" s="10"/>
      <c r="F349" s="36"/>
      <c r="G349" s="11"/>
      <c r="H349" s="34" t="str">
        <f>IFERROR(__xludf.DUMMYFUNCTION("LOWER(REGEXREPLACE(B349&amp;"" ""&amp;C349,""[^а-яa-z0-9 ]"","" ""))")," ольберт ")</f>
        <v> ольберт </v>
      </c>
    </row>
    <row r="350">
      <c r="A350" s="35" t="s">
        <v>763</v>
      </c>
      <c r="B350" s="31" t="s">
        <v>764</v>
      </c>
      <c r="C350" s="31" t="s">
        <v>764</v>
      </c>
      <c r="D350" s="37" t="s">
        <v>14</v>
      </c>
      <c r="E350" s="10"/>
      <c r="F350" s="36"/>
      <c r="G350" s="11">
        <v>17054.0</v>
      </c>
      <c r="H350" s="34" t="str">
        <f>IFERROR(__xludf.DUMMYFUNCTION("LOWER(REGEXREPLACE(B350&amp;"" ""&amp;C350,""[^а-яa-z0-9 ]"","" ""))")," ольберт напольный алюминиевый  размеры не менее 960х960х1800мм  ольберт напольный алюминиевый  размеры не менее 960х960х1800мм")</f>
        <v> ольберт напольный алюминиевый  размеры не менее 960х960х1800мм  ольберт напольный алюминиевый  размеры не менее 960х960х1800мм</v>
      </c>
    </row>
    <row r="351">
      <c r="A351" s="35" t="s">
        <v>765</v>
      </c>
      <c r="B351" s="9" t="s">
        <v>766</v>
      </c>
      <c r="C351" s="31"/>
      <c r="D351" s="37" t="s">
        <v>14</v>
      </c>
      <c r="E351" s="38">
        <v>2.0</v>
      </c>
      <c r="F351" s="39">
        <v>5.4</v>
      </c>
      <c r="G351" s="11">
        <v>46127.0</v>
      </c>
      <c r="H351" s="34" t="str">
        <f>IFERROR(__xludf.DUMMYFUNCTION("LOWER(REGEXREPLACE(B351&amp;"" ""&amp;C351,""[^а-яa-z0-9 ]"","" ""))")," ольберт двухсторонний 1200х600мм  с двумя рабочими поверхностями 600х580мм  двумя лотками 600х50мм и планкой ограничителем типа  нт парк 17091 ")</f>
        <v> ольберт двухсторонний 1200х600мм  с двумя рабочими поверхностями 600х580мм  двумя лотками 600х50мм и планкой ограничителем типа  нт парк 17091 </v>
      </c>
    </row>
    <row r="352">
      <c r="A352" s="13" t="s">
        <v>767</v>
      </c>
      <c r="B352" s="30"/>
      <c r="C352" s="31"/>
      <c r="D352" s="30"/>
      <c r="E352" s="32"/>
      <c r="F352" s="30"/>
      <c r="G352" s="33"/>
      <c r="H352" s="34" t="str">
        <f>IFERROR(__xludf.DUMMYFUNCTION("LOWER(REGEXREPLACE(B352&amp;"" ""&amp;C352,""[^а-яa-z0-9 ]"","" ""))")," ")</f>
        <v> </v>
      </c>
    </row>
    <row r="353">
      <c r="A353" s="35" t="s">
        <v>768</v>
      </c>
      <c r="B353" s="31" t="s">
        <v>769</v>
      </c>
      <c r="C353" s="31"/>
      <c r="D353" s="36"/>
      <c r="E353" s="10"/>
      <c r="F353" s="36"/>
      <c r="G353" s="11"/>
      <c r="H353" s="34" t="str">
        <f>IFERROR(__xludf.DUMMYFUNCTION("LOWER(REGEXREPLACE(B353&amp;"" ""&amp;C353,""[^а-яa-z0-9 ]"","" ""))")," етодический кабинет ")</f>
        <v> етодический кабинет </v>
      </c>
    </row>
    <row r="354">
      <c r="A354" s="35" t="s">
        <v>770</v>
      </c>
      <c r="B354" s="31" t="s">
        <v>771</v>
      </c>
      <c r="C354" s="31"/>
      <c r="D354" s="37" t="s">
        <v>14</v>
      </c>
      <c r="E354" s="10"/>
      <c r="F354" s="36"/>
      <c r="G354" s="11"/>
      <c r="H354" s="34" t="str">
        <f>IFERROR(__xludf.DUMMYFUNCTION("LOWER(REGEXREPLACE(B354&amp;"" ""&amp;C354,""[^а-яa-z0-9 ]"","" ""))")," каф для книг открытый ")</f>
        <v> каф для книг открытый </v>
      </c>
    </row>
    <row r="355">
      <c r="A355" s="35" t="s">
        <v>772</v>
      </c>
      <c r="B355" s="31" t="s">
        <v>773</v>
      </c>
      <c r="C355" s="31" t="s">
        <v>774</v>
      </c>
      <c r="D355" s="37" t="s">
        <v>14</v>
      </c>
      <c r="E355" s="10"/>
      <c r="F355" s="36"/>
      <c r="G355" s="11">
        <v>44643.0</v>
      </c>
      <c r="H355" s="34" t="str">
        <f>IFERROR(__xludf.DUMMYFUNCTION("LOWER(REGEXREPLACE(B355&amp;"" ""&amp;C355,""[^а-яa-z0-9 ]"","" ""))")," каф для книг открытый       16мм  размеры 1000х500х1800мм  каф для книг открытый       16мм  размеры 1000х500х1800мм   олки открытые ")</f>
        <v> каф для книг открытый       16мм  размеры 1000х500х1800мм  каф для книг открытый       16мм  размеры 1000х500х1800мм   олки открытые </v>
      </c>
    </row>
    <row r="356">
      <c r="A356" s="35" t="s">
        <v>775</v>
      </c>
      <c r="B356" s="31" t="s">
        <v>776</v>
      </c>
      <c r="C356" s="31"/>
      <c r="D356" s="37" t="s">
        <v>14</v>
      </c>
      <c r="E356" s="10"/>
      <c r="F356" s="36"/>
      <c r="G356" s="11"/>
      <c r="H356" s="34" t="str">
        <f>IFERROR(__xludf.DUMMYFUNCTION("LOWER(REGEXREPLACE(B356&amp;"" ""&amp;C356,""[^а-яa-z0-9 ]"","" ""))")," аминатор ")</f>
        <v> аминатор </v>
      </c>
    </row>
    <row r="357">
      <c r="A357" s="35" t="s">
        <v>777</v>
      </c>
      <c r="B357" s="31" t="s">
        <v>778</v>
      </c>
      <c r="C357" s="31"/>
      <c r="D357" s="37" t="s">
        <v>14</v>
      </c>
      <c r="E357" s="10"/>
      <c r="F357" s="36"/>
      <c r="G357" s="11">
        <v>36750.0</v>
      </c>
      <c r="H357" s="34" t="str">
        <f>IFERROR(__xludf.DUMMYFUNCTION("LOWER(REGEXREPLACE(B357&amp;"" ""&amp;C357,""[^а-яa-z0-9 ]"","" ""))")," аминатор  4   unar    размерами 2 125 мкм  30 см мин  серый синий            ")</f>
        <v> аминатор  4   unar    размерами 2 125 мкм  30 см мин  серый синий            </v>
      </c>
    </row>
    <row r="358">
      <c r="A358" s="35" t="s">
        <v>779</v>
      </c>
      <c r="B358" s="31" t="s">
        <v>780</v>
      </c>
      <c r="C358" s="31"/>
      <c r="D358" s="37" t="s">
        <v>14</v>
      </c>
      <c r="E358" s="10"/>
      <c r="F358" s="36"/>
      <c r="G358" s="11"/>
      <c r="H358" s="34" t="str">
        <f>IFERROR(__xludf.DUMMYFUNCTION("LOWER(REGEXREPLACE(B358&amp;"" ""&amp;C358,""[^а-яa-z0-9 ]"","" ""))")," ашина переплетная ")</f>
        <v> ашина переплетная </v>
      </c>
    </row>
    <row r="359">
      <c r="A359" s="35" t="s">
        <v>781</v>
      </c>
      <c r="B359" s="31" t="s">
        <v>782</v>
      </c>
      <c r="C359" s="31"/>
      <c r="D359" s="37" t="s">
        <v>14</v>
      </c>
      <c r="E359" s="10"/>
      <c r="F359" s="36"/>
      <c r="G359" s="11">
        <v>160500.0</v>
      </c>
      <c r="H359" s="34" t="str">
        <f>IFERROR(__xludf.DUMMYFUNCTION("LOWER(REGEXREPLACE(B359&amp;"" ""&amp;C359,""[^а-яa-z0-9 ]"","" ""))")," ашина для переплета для пластиковых пружин                    ")</f>
        <v> ашина для переплета для пластиковых пружин                    </v>
      </c>
    </row>
    <row r="360">
      <c r="A360" s="35" t="s">
        <v>783</v>
      </c>
      <c r="B360" s="9" t="s">
        <v>784</v>
      </c>
      <c r="C360" s="31"/>
      <c r="D360" s="37" t="s">
        <v>14</v>
      </c>
      <c r="E360" s="10"/>
      <c r="F360" s="36"/>
      <c r="G360" s="11">
        <v>47823.0</v>
      </c>
      <c r="H360" s="34" t="str">
        <f>IFERROR(__xludf.DUMMYFUNCTION("LOWER(REGEXREPLACE(B360&amp;"" ""&amp;C360,""[^а-яa-z0-9 ]"","" ""))")," ереплетная машина  omix  2980  дырокол 15 листов  переплет до 120 листов   lack  ilver ")</f>
        <v> ереплетная машина  omix  2980  дырокол 15 листов  переплет до 120 листов   lack  ilver </v>
      </c>
    </row>
    <row r="361">
      <c r="A361" s="35" t="s">
        <v>785</v>
      </c>
      <c r="B361" s="31" t="s">
        <v>786</v>
      </c>
      <c r="C361" s="31"/>
      <c r="D361" s="37" t="s">
        <v>14</v>
      </c>
      <c r="E361" s="10"/>
      <c r="F361" s="36"/>
      <c r="G361" s="11">
        <v>37411.0</v>
      </c>
      <c r="H361" s="34" t="str">
        <f>IFERROR(__xludf.DUMMYFUNCTION("LOWER(REGEXREPLACE(B361&amp;"" ""&amp;C361,""[^а-яa-z0-9 ]"","" ""))")," ереплетная машина  ellowes  tarlet 2   дырокол 12 листов  переплет до 120 листов  16мм   hite  lack ")</f>
        <v> ереплетная машина  ellowes  tarlet 2   дырокол 12 листов  переплет до 120 листов  16мм   hite  lack </v>
      </c>
    </row>
    <row r="362">
      <c r="A362" s="35" t="s">
        <v>787</v>
      </c>
      <c r="B362" s="31" t="s">
        <v>788</v>
      </c>
      <c r="C362" s="31"/>
      <c r="D362" s="37" t="s">
        <v>14</v>
      </c>
      <c r="E362" s="10"/>
      <c r="F362" s="36"/>
      <c r="G362" s="11">
        <v>33839.0</v>
      </c>
      <c r="H362" s="34" t="str">
        <f>IFERROR(__xludf.DUMMYFUNCTION("LOWER(REGEXREPLACE(B362&amp;"" ""&amp;C362,""[^а-яa-z0-9 ]"","" ""))")," ереплетная машина      omb ind 100  дырокол 9 листов  переплет до 160 листов  19мм    lack ")</f>
        <v> ереплетная машина      omb ind 100  дырокол 9 листов  переплет до 160 листов  19мм    lack </v>
      </c>
    </row>
    <row r="363">
      <c r="A363" s="35" t="s">
        <v>789</v>
      </c>
      <c r="B363" s="31" t="s">
        <v>790</v>
      </c>
      <c r="C363" s="31"/>
      <c r="D363" s="37" t="s">
        <v>14</v>
      </c>
      <c r="E363" s="10"/>
      <c r="F363" s="36"/>
      <c r="G363" s="11">
        <v>37878.0</v>
      </c>
      <c r="H363" s="34" t="str">
        <f>IFERROR(__xludf.DUMMYFUNCTION("LOWER(REGEXREPLACE(B363&amp;"" ""&amp;C363,""[^а-яa-z0-9 ]"","" ""))")," ереплетная машина      omb ind 110  дырокол 12 листов  переплет до 190 листов  22мм    lack ")</f>
        <v> ереплетная машина      omb ind 110  дырокол 12 листов  переплет до 190 листов  22мм    lack </v>
      </c>
    </row>
    <row r="364">
      <c r="A364" s="35" t="s">
        <v>791</v>
      </c>
      <c r="B364" s="31" t="s">
        <v>792</v>
      </c>
      <c r="C364" s="31"/>
      <c r="D364" s="37" t="s">
        <v>14</v>
      </c>
      <c r="E364" s="10"/>
      <c r="F364" s="36"/>
      <c r="G364" s="11">
        <v>77655.0</v>
      </c>
      <c r="H364" s="34" t="str">
        <f>IFERROR(__xludf.DUMMYFUNCTION("LOWER(REGEXREPLACE(B364&amp;"" ""&amp;C364,""[^а-яa-z0-9 ]"","" ""))")," ереплетная машина      omb ind 200  дырокол 20 листов  переплет до 330 листов  38мм    lack ")</f>
        <v> ереплетная машина      omb ind 200  дырокол 20 листов  переплет до 330 листов  38мм    lack </v>
      </c>
    </row>
    <row r="365">
      <c r="A365" s="35" t="s">
        <v>793</v>
      </c>
      <c r="B365" s="31" t="s">
        <v>794</v>
      </c>
      <c r="C365" s="31"/>
      <c r="D365" s="37" t="s">
        <v>14</v>
      </c>
      <c r="E365" s="10"/>
      <c r="F365" s="36"/>
      <c r="G365" s="11">
        <v>156161.0</v>
      </c>
      <c r="H365" s="34" t="str">
        <f>IFERROR(__xludf.DUMMYFUNCTION("LOWER(REGEXREPLACE(B365&amp;"" ""&amp;C365,""[^а-яa-z0-9 ]"","" ""))")," ереплетная машина      omb ind 210  дырокол 25 листов  переплет до 450 листов  51мм    lack  ray ")</f>
        <v> ереплетная машина      omb ind 210  дырокол 25 листов  переплет до 450 листов  51мм    lack  ray </v>
      </c>
    </row>
    <row r="366">
      <c r="A366" s="35" t="s">
        <v>795</v>
      </c>
      <c r="B366" s="31" t="s">
        <v>796</v>
      </c>
      <c r="C366" s="31"/>
      <c r="D366" s="37" t="s">
        <v>14</v>
      </c>
      <c r="E366" s="10"/>
      <c r="F366" s="36"/>
      <c r="G366" s="11">
        <v>126472.0</v>
      </c>
      <c r="H366" s="34" t="str">
        <f>IFERROR(__xludf.DUMMYFUNCTION("LOWER(REGEXREPLACE(B366&amp;"" ""&amp;C366,""[^а-яa-z0-9 ]"","" ""))")," ереплетная машина      omb ind  200   дырокол 15 листов  переплет до 330 листов  38мм    lack ")</f>
        <v> ереплетная машина      omb ind  200   дырокол 15 листов  переплет до 330 листов  38мм    lack </v>
      </c>
    </row>
    <row r="367">
      <c r="A367" s="35" t="s">
        <v>797</v>
      </c>
      <c r="B367" s="31" t="s">
        <v>798</v>
      </c>
      <c r="C367" s="31"/>
      <c r="D367" s="36"/>
      <c r="E367" s="10"/>
      <c r="F367" s="36"/>
      <c r="G367" s="11"/>
      <c r="H367" s="34" t="str">
        <f>IFERROR(__xludf.DUMMYFUNCTION("LOWER(REGEXREPLACE(B367&amp;"" ""&amp;C367,""[^а-яa-z0-9 ]"","" ""))")," ругие административно хозяйственные кабинеты ")</f>
        <v> ругие административно хозяйственные кабинеты </v>
      </c>
    </row>
    <row r="368">
      <c r="A368" s="35" t="s">
        <v>799</v>
      </c>
      <c r="B368" s="31" t="s">
        <v>800</v>
      </c>
      <c r="C368" s="31"/>
      <c r="D368" s="37" t="s">
        <v>14</v>
      </c>
      <c r="E368" s="10"/>
      <c r="F368" s="36"/>
      <c r="G368" s="11"/>
      <c r="H368" s="34" t="str">
        <f>IFERROR(__xludf.DUMMYFUNCTION("LOWER(REGEXREPLACE(B368&amp;"" ""&amp;C368,""[^а-яa-z0-9 ]"","" ""))")," каф для документов ")</f>
        <v> каф для документов </v>
      </c>
    </row>
    <row r="369">
      <c r="A369" s="35" t="s">
        <v>801</v>
      </c>
      <c r="B369" s="31" t="s">
        <v>802</v>
      </c>
      <c r="C369" s="31" t="s">
        <v>802</v>
      </c>
      <c r="D369" s="37" t="s">
        <v>14</v>
      </c>
      <c r="E369" s="10"/>
      <c r="F369" s="36"/>
      <c r="G369" s="11">
        <v>39538.0</v>
      </c>
      <c r="H369" s="34" t="str">
        <f>IFERROR(__xludf.DUMMYFUNCTION("LOWER(REGEXREPLACE(B369&amp;"" ""&amp;C369,""[^а-яa-z0-9 ]"","" ""))"),"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f>
        <v>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v>
      </c>
    </row>
    <row r="370">
      <c r="A370" s="35" t="s">
        <v>803</v>
      </c>
      <c r="B370" s="31" t="s">
        <v>804</v>
      </c>
      <c r="C370" s="31" t="s">
        <v>804</v>
      </c>
      <c r="D370" s="37" t="s">
        <v>14</v>
      </c>
      <c r="E370" s="10"/>
      <c r="F370" s="36"/>
      <c r="G370" s="11">
        <v>45864.0</v>
      </c>
      <c r="H370" s="34" t="str">
        <f>IFERROR(__xludf.DUMMYFUNCTION("LOWER(REGEXREPLACE(B370&amp;"" ""&amp;C370,""[^а-яa-z0-9 ]"","" ""))"),"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f>
        <v>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v>
      </c>
    </row>
    <row r="371">
      <c r="A371" s="35" t="s">
        <v>805</v>
      </c>
      <c r="B371" s="31" t="s">
        <v>806</v>
      </c>
      <c r="C371" s="31" t="s">
        <v>806</v>
      </c>
      <c r="D371" s="37" t="s">
        <v>14</v>
      </c>
      <c r="E371" s="10"/>
      <c r="F371" s="36"/>
      <c r="G371" s="11">
        <v>44643.0</v>
      </c>
      <c r="H371" s="34" t="str">
        <f>IFERROR(__xludf.DUMMYFUNCTION("LOWER(REGEXREPLACE(B371&amp;"" ""&amp;C371,""[^а-яa-z0-9 ]"","" ""))"),"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f>
        <v>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v>
      </c>
    </row>
    <row r="372">
      <c r="A372" s="35" t="s">
        <v>807</v>
      </c>
      <c r="B372" s="31" t="s">
        <v>808</v>
      </c>
      <c r="C372" s="31"/>
      <c r="D372" s="37" t="s">
        <v>14</v>
      </c>
      <c r="E372" s="10"/>
      <c r="F372" s="36"/>
      <c r="G372" s="11"/>
      <c r="H372" s="34" t="str">
        <f>IFERROR(__xludf.DUMMYFUNCTION("LOWER(REGEXREPLACE(B372&amp;"" ""&amp;C372,""[^а-яa-z0-9 ]"","" ""))")," тол из     пластика ")</f>
        <v> тол из     пластика </v>
      </c>
    </row>
    <row r="373">
      <c r="A373" s="35" t="s">
        <v>809</v>
      </c>
      <c r="B373" s="31" t="s">
        <v>810</v>
      </c>
      <c r="C373" s="31"/>
      <c r="D373" s="37" t="s">
        <v>14</v>
      </c>
      <c r="E373" s="10"/>
      <c r="F373" s="38">
        <v>15.0</v>
      </c>
      <c r="G373" s="11">
        <v>62397.0</v>
      </c>
      <c r="H373" s="34" t="str">
        <f>IFERROR(__xludf.DUMMYFUNCTION("LOWER(REGEXREPLACE(B373&amp;"" ""&amp;C373,""[^а-яa-z0-9 ]"","" ""))")," тол из     пластика  размер 800х800х720 мм ")</f>
        <v> тол из     пластика  размер 800х800х720 мм </v>
      </c>
    </row>
    <row r="374">
      <c r="A374" s="35" t="s">
        <v>811</v>
      </c>
      <c r="B374" s="31" t="s">
        <v>812</v>
      </c>
      <c r="C374" s="31"/>
      <c r="D374" s="37" t="s">
        <v>14</v>
      </c>
      <c r="E374" s="10"/>
      <c r="F374" s="38">
        <v>22.0</v>
      </c>
      <c r="G374" s="11">
        <v>74542.0</v>
      </c>
      <c r="H374" s="34" t="str">
        <f>IFERROR(__xludf.DUMMYFUNCTION("LOWER(REGEXREPLACE(B374&amp;"" ""&amp;C374,""[^а-яa-z0-9 ]"","" ""))")," тол из     пластика  размер 800х1200х720 мм ")</f>
        <v> тол из     пластика  размер 800х1200х720 мм </v>
      </c>
    </row>
    <row r="375">
      <c r="A375" s="35" t="s">
        <v>813</v>
      </c>
      <c r="B375" s="31" t="s">
        <v>814</v>
      </c>
      <c r="C375" s="31"/>
      <c r="D375" s="37" t="s">
        <v>14</v>
      </c>
      <c r="E375" s="10"/>
      <c r="F375" s="36"/>
      <c r="G375" s="11"/>
      <c r="H375" s="34" t="str">
        <f>IFERROR(__xludf.DUMMYFUNCTION("LOWER(REGEXREPLACE(B375&amp;"" ""&amp;C375,""[^а-яa-z0-9 ]"","" ""))")," тул из пластика ")</f>
        <v> тул из пластика </v>
      </c>
    </row>
    <row r="376">
      <c r="A376" s="35" t="s">
        <v>815</v>
      </c>
      <c r="B376" s="31" t="s">
        <v>816</v>
      </c>
      <c r="C376" s="31" t="s">
        <v>817</v>
      </c>
      <c r="D376" s="37" t="s">
        <v>14</v>
      </c>
      <c r="E376" s="10"/>
      <c r="F376" s="40">
        <v>4.67</v>
      </c>
      <c r="G376" s="11">
        <v>18633.0</v>
      </c>
      <c r="H376" s="34" t="str">
        <f>IFERROR(__xludf.DUMMYFUNCTION("LOWER(REGEXREPLACE(B376&amp;"" ""&amp;C376,""[^а-яa-z0-9 ]"","" ""))")," тул из пластика  размер 465х530х800 мм  атериал сидушки и ножек пластик   азмеры 465х530х800мм ")</f>
        <v> тул из пластика  размер 465х530х800 мм  атериал сидушки и ножек пластик   азмеры 465х530х800мм </v>
      </c>
    </row>
    <row r="377">
      <c r="A377" s="35" t="s">
        <v>818</v>
      </c>
      <c r="B377" s="31" t="s">
        <v>819</v>
      </c>
      <c r="C377" s="31" t="s">
        <v>820</v>
      </c>
      <c r="D377" s="37" t="s">
        <v>14</v>
      </c>
      <c r="E377" s="10"/>
      <c r="F377" s="38">
        <v>4.0</v>
      </c>
      <c r="G377" s="11">
        <v>17115.0</v>
      </c>
      <c r="H377" s="34" t="str">
        <f>IFERROR(__xludf.DUMMYFUNCTION("LOWER(REGEXREPLACE(B377&amp;"" ""&amp;C377,""[^а-яa-z0-9 ]"","" ""))")," тул из пластика  размер 500х550х820 мм  атериал пластик   азмеры 500х550х820мм   тул цельнолитой ")</f>
        <v> тул из пластика  размер 500х550х820 мм  атериал пластик   азмеры 500х550х820мм   тул цельнолитой </v>
      </c>
    </row>
    <row r="378">
      <c r="A378" s="35" t="s">
        <v>821</v>
      </c>
      <c r="B378" s="31" t="s">
        <v>822</v>
      </c>
      <c r="C378" s="31" t="s">
        <v>823</v>
      </c>
      <c r="D378" s="37" t="s">
        <v>14</v>
      </c>
      <c r="E378" s="10"/>
      <c r="F378" s="38">
        <v>6.0</v>
      </c>
      <c r="G378" s="11">
        <v>26691.0</v>
      </c>
      <c r="H378" s="34" t="str">
        <f>IFERROR(__xludf.DUMMYFUNCTION("LOWER(REGEXREPLACE(B378&amp;"" ""&amp;C378,""[^а-яa-z0-9 ]"","" ""))")," тул из пластика  размер 590х590х840 мм  атериал сидушки и ножек пластик   азмеры 590х590х840мм ")</f>
        <v> тул из пластика  размер 590х590х840 мм  атериал сидушки и ножек пластик   азмеры 590х590х840мм </v>
      </c>
    </row>
    <row r="379">
      <c r="A379" s="35" t="s">
        <v>824</v>
      </c>
      <c r="B379" s="31" t="s">
        <v>825</v>
      </c>
      <c r="C379" s="31" t="s">
        <v>826</v>
      </c>
      <c r="D379" s="37" t="s">
        <v>14</v>
      </c>
      <c r="E379" s="38">
        <v>2.0</v>
      </c>
      <c r="F379" s="39">
        <v>11.1</v>
      </c>
      <c r="G379" s="11">
        <v>25201.0</v>
      </c>
      <c r="H379" s="34" t="str">
        <f>IFERROR(__xludf.DUMMYFUNCTION("LOWER(REGEXREPLACE(B379&amp;"" ""&amp;C379,""[^а-яa-z0-9 ]"","" ""))")," тул офисный пластиковый  каркас хром  тул изготовлен из пластика   аркас из хромированного металла   атериал  основание   хром  спинка   пластик")</f>
        <v> тул офисный пластиковый  каркас хром  тул изготовлен из пластика   аркас из хромированного металла   атериал  основание   хром  спинка   пластик</v>
      </c>
    </row>
    <row r="380">
      <c r="A380" s="35" t="s">
        <v>827</v>
      </c>
      <c r="B380" s="31" t="s">
        <v>828</v>
      </c>
      <c r="C380" s="31" t="s">
        <v>829</v>
      </c>
      <c r="D380" s="37" t="s">
        <v>14</v>
      </c>
      <c r="E380" s="38">
        <v>2.0</v>
      </c>
      <c r="F380" s="38">
        <v>5.0</v>
      </c>
      <c r="G380" s="11">
        <v>35541.0</v>
      </c>
      <c r="H380" s="34" t="str">
        <f>IFERROR(__xludf.DUMMYFUNCTION("LOWER(REGEXREPLACE(B380&amp;"" ""&amp;C380,""[^а-яa-z0-9 ]"","" ""))")," тул офисный   иденье и спинка  пластик   аркас стула  металл  хром лак черный муар   азмер  460х480х840мм  вет по согласованию с заказчиком   силенный каркас до 240 кг ")</f>
        <v> тул офисный   иденье и спинка  пластик   аркас стула  металл  хром лак черный муар   азмер  460х480х840мм  вет по согласованию с заказчиком   силенный каркас до 240 кг </v>
      </c>
    </row>
    <row r="381">
      <c r="A381" s="35" t="s">
        <v>830</v>
      </c>
      <c r="B381" s="9" t="s">
        <v>831</v>
      </c>
      <c r="C381" s="31" t="s">
        <v>832</v>
      </c>
      <c r="D381" s="37" t="s">
        <v>14</v>
      </c>
      <c r="E381" s="10"/>
      <c r="F381" s="38">
        <v>7.0</v>
      </c>
      <c r="G381" s="11">
        <v>40869.0</v>
      </c>
      <c r="H381" s="34" t="str">
        <f>IFERROR(__xludf.DUMMYFUNCTION("LOWER(REGEXREPLACE(B381&amp;"" ""&amp;C381,""[^а-яa-z0-9 ]"","" ""))")," тул офисный пластиковый   атериал сиденья и спинки полипропилен   атериал основания  пустотелая сталь   азмер  860 592 515 мм   вет по согласованию")</f>
        <v> тул офисный пластиковый   атериал сиденья и спинки полипропилен   атериал основания  пустотелая сталь   азмер  860 592 515 мм   вет по согласованию</v>
      </c>
    </row>
    <row r="382">
      <c r="A382" s="35" t="s">
        <v>833</v>
      </c>
      <c r="B382" s="9" t="s">
        <v>834</v>
      </c>
      <c r="C382" s="31" t="s">
        <v>835</v>
      </c>
      <c r="D382" s="37" t="s">
        <v>14</v>
      </c>
      <c r="E382" s="38">
        <v>2.0</v>
      </c>
      <c r="F382" s="40">
        <v>5.75</v>
      </c>
      <c r="G382" s="11">
        <v>27720.0</v>
      </c>
      <c r="H382" s="34" t="str">
        <f>IFERROR(__xludf.DUMMYFUNCTION("LOWER(REGEXREPLACE(B382&amp;"" ""&amp;C382,""[^а-яa-z0-9 ]"","" ""))"),"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f>
        <v>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v>
      </c>
    </row>
    <row r="383">
      <c r="A383" s="35" t="s">
        <v>836</v>
      </c>
      <c r="B383" s="31" t="s">
        <v>837</v>
      </c>
      <c r="C383" s="31" t="s">
        <v>838</v>
      </c>
      <c r="D383" s="37" t="s">
        <v>14</v>
      </c>
      <c r="E383" s="38">
        <v>2.0</v>
      </c>
      <c r="F383" s="40">
        <v>4.68</v>
      </c>
      <c r="G383" s="11">
        <v>19353.0</v>
      </c>
      <c r="H383" s="34" t="str">
        <f>IFERROR(__xludf.DUMMYFUNCTION("LOWER(REGEXREPLACE(B383&amp;"" ""&amp;C383,""[^а-яa-z0-9 ]"","" ""))"),"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465х530х800"&amp;"мм")</f>
        <v>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465х530х800мм</v>
      </c>
    </row>
    <row r="384">
      <c r="A384" s="35" t="s">
        <v>839</v>
      </c>
      <c r="B384" s="31" t="s">
        <v>840</v>
      </c>
      <c r="C384" s="31" t="s">
        <v>840</v>
      </c>
      <c r="D384" s="37" t="s">
        <v>14</v>
      </c>
      <c r="E384" s="38">
        <v>2.0</v>
      </c>
      <c r="F384" s="40">
        <v>4.29</v>
      </c>
      <c r="G384" s="11">
        <v>21600.0</v>
      </c>
      <c r="H384" s="34" t="str">
        <f>IFERROR(__xludf.DUMMYFUNCTION("LOWER(REGEXREPLACE(B384&amp;"" ""&amp;C384,""[^а-яa-z0-9 ]"","" ""))"),"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f>
        <v>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v>
      </c>
    </row>
    <row r="385">
      <c r="A385" s="35" t="s">
        <v>841</v>
      </c>
      <c r="B385" s="31" t="s">
        <v>842</v>
      </c>
      <c r="C385" s="31" t="s">
        <v>842</v>
      </c>
      <c r="D385" s="37" t="s">
        <v>14</v>
      </c>
      <c r="E385" s="38">
        <v>2.0</v>
      </c>
      <c r="F385" s="39">
        <v>3.7</v>
      </c>
      <c r="G385" s="11">
        <v>18000.0</v>
      </c>
      <c r="H385" s="34" t="str">
        <f>IFERROR(__xludf.DUMMYFUNCTION("LOWER(REGEXREPLACE(B385&amp;"" ""&amp;C385,""[^а-яa-z0-9 ]"","" ""))"),"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f>
        <v>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v>
      </c>
    </row>
    <row r="386">
      <c r="A386" s="35" t="s">
        <v>843</v>
      </c>
      <c r="B386" s="9" t="s">
        <v>844</v>
      </c>
      <c r="C386" s="31"/>
      <c r="D386" s="37" t="s">
        <v>14</v>
      </c>
      <c r="E386" s="38">
        <v>2.0</v>
      </c>
      <c r="F386" s="40">
        <v>1.29</v>
      </c>
      <c r="G386" s="11">
        <v>5581.0</v>
      </c>
      <c r="H386" s="34" t="str">
        <f>IFERROR(__xludf.DUMMYFUNCTION("LOWER(REGEXREPLACE(B386&amp;"" ""&amp;C386,""[^а-яa-z0-9 ]"","" ""))")," абурет корзина типа  на   атериал   полипропилен   вет  антрацит ")</f>
        <v> абурет корзина типа  на   атериал   полипропилен   вет  антрацит </v>
      </c>
    </row>
    <row r="387">
      <c r="A387" s="35" t="s">
        <v>845</v>
      </c>
      <c r="B387" s="31" t="s">
        <v>846</v>
      </c>
      <c r="C387" s="31"/>
      <c r="D387" s="37" t="s">
        <v>14</v>
      </c>
      <c r="E387" s="38">
        <v>2.0</v>
      </c>
      <c r="F387" s="39">
        <v>1.6</v>
      </c>
      <c r="G387" s="11">
        <v>5402.0</v>
      </c>
      <c r="H387" s="34" t="str">
        <f>IFERROR(__xludf.DUMMYFUNCTION("LOWER(REGEXREPLACE(B387&amp;"" ""&amp;C387,""[^а-яa-z0-9 ]"","" ""))")," абурет корзина типа  ркеш   атериал   полипропилен   вет  антрацит   абаритные размеры  395х250х310мм ")</f>
        <v> абурет корзина типа  ркеш   атериал   полипропилен   вет  антрацит   абаритные размеры  395х250х310мм </v>
      </c>
    </row>
    <row r="388">
      <c r="A388" s="35" t="s">
        <v>847</v>
      </c>
      <c r="B388" s="9" t="s">
        <v>848</v>
      </c>
      <c r="C388" s="31" t="s">
        <v>849</v>
      </c>
      <c r="D388" s="37" t="s">
        <v>14</v>
      </c>
      <c r="E388" s="38">
        <v>2.0</v>
      </c>
      <c r="F388" s="38">
        <v>1.0</v>
      </c>
      <c r="G388" s="11">
        <v>2252.0</v>
      </c>
      <c r="H388" s="34" t="str">
        <f>IFERROR(__xludf.DUMMYFUNCTION("LOWER(REGEXREPLACE(B388&amp;"" ""&amp;C388,""[^а-яa-z0-9 ]"","" ""))")," абурет типа  улип   атериал   полипропилен   вет  антрацит  абурет типа  улип   атериал   полипропилен   вет  антрацит")</f>
        <v> абурет типа  улип   атериал   полипропилен   вет  антрацит  абурет типа  улип   атериал   полипропилен   вет  антрацит</v>
      </c>
    </row>
    <row r="389">
      <c r="A389" s="35" t="s">
        <v>850</v>
      </c>
      <c r="B389" s="31" t="s">
        <v>851</v>
      </c>
      <c r="C389" s="31" t="s">
        <v>851</v>
      </c>
      <c r="D389" s="37" t="s">
        <v>14</v>
      </c>
      <c r="E389" s="38">
        <v>2.0</v>
      </c>
      <c r="F389" s="40">
        <v>1.41</v>
      </c>
      <c r="G389" s="11">
        <v>4682.0</v>
      </c>
      <c r="H389" s="34" t="str">
        <f>IFERROR(__xludf.DUMMYFUNCTION("LOWER(REGEXREPLACE(B389&amp;"" ""&amp;C389,""[^а-яa-z0-9 ]"","" ""))"),"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f>
        <v>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v>
      </c>
    </row>
    <row r="390">
      <c r="A390" s="35" t="s">
        <v>852</v>
      </c>
      <c r="B390" s="31" t="s">
        <v>853</v>
      </c>
      <c r="C390" s="31" t="s">
        <v>854</v>
      </c>
      <c r="D390" s="37" t="s">
        <v>14</v>
      </c>
      <c r="E390" s="38">
        <v>2.0</v>
      </c>
      <c r="F390" s="38">
        <v>5.0</v>
      </c>
      <c r="G390" s="11">
        <v>27443.0</v>
      </c>
      <c r="H390" s="34" t="str">
        <f>IFERROR(__xludf.DUMMYFUNCTION("LOWER(REGEXREPLACE(B390&amp;"" ""&amp;C390,""[^а-яa-z0-9 ]"","" ""))"),"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f>
        <v>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v>
      </c>
    </row>
    <row r="391">
      <c r="A391" s="35" t="s">
        <v>855</v>
      </c>
      <c r="B391" s="31" t="s">
        <v>856</v>
      </c>
      <c r="C391" s="31" t="s">
        <v>857</v>
      </c>
      <c r="D391" s="37" t="s">
        <v>14</v>
      </c>
      <c r="E391" s="38">
        <v>2.0</v>
      </c>
      <c r="F391" s="38">
        <v>7.0</v>
      </c>
      <c r="G391" s="11">
        <v>11985.0</v>
      </c>
      <c r="H391" s="34" t="str">
        <f>IFERROR(__xludf.DUMMYFUNCTION("LOWER(REGEXREPLACE(B391&amp;"" ""&amp;C391,""[^а-яa-z0-9 ]"","" ""))")," тул из пластика  размер 440х400х780мм  ножки металлические  аркас пластик   ожки металлические с эффектом покраски под дерево")</f>
        <v> тул из пластика  размер 440х400х780мм  ножки металлические  аркас пластик   ожки металлические с эффектом покраски под дерево</v>
      </c>
    </row>
    <row r="392">
      <c r="A392" s="35" t="s">
        <v>858</v>
      </c>
      <c r="B392" s="31" t="s">
        <v>859</v>
      </c>
      <c r="C392" s="31" t="s">
        <v>860</v>
      </c>
      <c r="D392" s="37" t="s">
        <v>14</v>
      </c>
      <c r="E392" s="38">
        <v>2.0</v>
      </c>
      <c r="F392" s="39">
        <v>3.5</v>
      </c>
      <c r="G392" s="11">
        <v>8359.0</v>
      </c>
      <c r="H392" s="34" t="str">
        <f>IFERROR(__xludf.DUMMYFUNCTION("LOWER(REGEXREPLACE(B392&amp;"" ""&amp;C392,""[^а-яa-z0-9 ]"","" ""))"),"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f>
        <v>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v>
      </c>
    </row>
    <row r="393">
      <c r="A393" s="13" t="s">
        <v>861</v>
      </c>
      <c r="B393" s="30"/>
      <c r="C393" s="31"/>
      <c r="D393" s="30"/>
      <c r="E393" s="32"/>
      <c r="F393" s="30"/>
      <c r="G393" s="33"/>
      <c r="H393" s="34" t="str">
        <f>IFERROR(__xludf.DUMMYFUNCTION("LOWER(REGEXREPLACE(B393&amp;"" ""&amp;C393,""[^а-яa-z0-9 ]"","" ""))")," ")</f>
        <v> </v>
      </c>
    </row>
    <row r="394">
      <c r="A394" s="35" t="s">
        <v>862</v>
      </c>
      <c r="B394" s="31" t="s">
        <v>863</v>
      </c>
      <c r="C394" s="31"/>
      <c r="D394" s="36"/>
      <c r="E394" s="10"/>
      <c r="F394" s="36"/>
      <c r="G394" s="11"/>
      <c r="H394" s="34" t="str">
        <f>IFERROR(__xludf.DUMMYFUNCTION("LOWER(REGEXREPLACE(B394&amp;"" ""&amp;C394,""[^а-яa-z0-9 ]"","" ""))")," ациональные музыкальные инструменты ")</f>
        <v> ациональные музыкальные инструменты </v>
      </c>
    </row>
    <row r="395">
      <c r="A395" s="35" t="s">
        <v>864</v>
      </c>
      <c r="B395" s="31" t="s">
        <v>865</v>
      </c>
      <c r="C395" s="31" t="s">
        <v>866</v>
      </c>
      <c r="D395" s="37" t="s">
        <v>14</v>
      </c>
      <c r="E395" s="10"/>
      <c r="F395" s="36"/>
      <c r="G395" s="11">
        <v>40179.0</v>
      </c>
      <c r="H395" s="34" t="str">
        <f>IFERROR(__xludf.DUMMYFUNCTION("LOWER(REGEXREPLACE(B395&amp;"" ""&amp;C395,""[^а-яa-z0-9 ]"","" ""))")," омбра  омбра  длина грифа не менее 450 мм ")</f>
        <v> омбра  омбра  длина грифа не менее 450 мм </v>
      </c>
    </row>
    <row r="396">
      <c r="A396" s="35" t="s">
        <v>867</v>
      </c>
      <c r="B396" s="31" t="s">
        <v>868</v>
      </c>
      <c r="C396" s="31" t="s">
        <v>869</v>
      </c>
      <c r="D396" s="37" t="s">
        <v>14</v>
      </c>
      <c r="E396" s="38">
        <v>2.0</v>
      </c>
      <c r="F396" s="39">
        <v>1.2</v>
      </c>
      <c r="G396" s="11">
        <v>71429.0</v>
      </c>
      <c r="H396" s="34" t="str">
        <f>IFERROR(__xludf.DUMMYFUNCTION("LOWER(REGEXREPLACE(B396&amp;"" ""&amp;C396,""[^а-яa-z0-9 ]"","" ""))")," ауылпаз  дарный музыкальный инструмент   орпус котлообразный изготовлен из тв рдых пород дерева  лицевая часть обтянута из козлиной кожи ")</f>
        <v> ауылпаз  дарный музыкальный инструмент   орпус котлообразный изготовлен из тв рдых пород дерева  лицевая часть обтянута из козлиной кожи </v>
      </c>
    </row>
    <row r="397">
      <c r="A397" s="35" t="s">
        <v>870</v>
      </c>
      <c r="B397" s="31" t="s">
        <v>871</v>
      </c>
      <c r="C397" s="31"/>
      <c r="D397" s="37" t="s">
        <v>14</v>
      </c>
      <c r="E397" s="10"/>
      <c r="F397" s="36"/>
      <c r="G397" s="11">
        <v>312500.0</v>
      </c>
      <c r="H397" s="34" t="str">
        <f>IFERROR(__xludf.DUMMYFUNCTION("LOWER(REGEXREPLACE(B397&amp;"" ""&amp;C397,""[^а-яa-z0-9 ]"","" ""))")," ет ген ")</f>
        <v> ет ген </v>
      </c>
    </row>
    <row r="398">
      <c r="A398" s="35" t="s">
        <v>872</v>
      </c>
      <c r="B398" s="31" t="s">
        <v>873</v>
      </c>
      <c r="C398" s="31"/>
      <c r="D398" s="37" t="s">
        <v>14</v>
      </c>
      <c r="E398" s="10"/>
      <c r="F398" s="36"/>
      <c r="G398" s="11">
        <v>116071.0</v>
      </c>
      <c r="H398" s="34" t="str">
        <f>IFERROR(__xludf.DUMMYFUNCTION("LOWER(REGEXREPLACE(B398&amp;"" ""&amp;C398,""[^а-яa-z0-9 ]"","" ""))")," обыз ")</f>
        <v> обыз </v>
      </c>
    </row>
    <row r="399">
      <c r="A399" s="35" t="s">
        <v>874</v>
      </c>
      <c r="B399" s="31" t="s">
        <v>875</v>
      </c>
      <c r="C399" s="31" t="s">
        <v>876</v>
      </c>
      <c r="D399" s="37" t="s">
        <v>14</v>
      </c>
      <c r="E399" s="10"/>
      <c r="F399" s="36"/>
      <c r="G399" s="11">
        <v>35714.0</v>
      </c>
      <c r="H399" s="34" t="str">
        <f>IFERROR(__xludf.DUMMYFUNCTION("LOWER(REGEXREPLACE(B399&amp;"" ""&amp;C399,""[^а-яa-z0-9 ]"","" ""))")," азсырнай  то духовой музыкальный инструмент  сделанный из глины   меет по бокам отверстия    комплекте идет чехол ")</f>
        <v> азсырнай  то духовой музыкальный инструмент  сделанный из глины   меет по бокам отверстия    комплекте идет чехол </v>
      </c>
    </row>
    <row r="400">
      <c r="A400" s="35" t="s">
        <v>877</v>
      </c>
      <c r="B400" s="31" t="s">
        <v>878</v>
      </c>
      <c r="C400" s="31"/>
      <c r="D400" s="37" t="s">
        <v>14</v>
      </c>
      <c r="E400" s="10"/>
      <c r="F400" s="36"/>
      <c r="G400" s="11">
        <v>339286.0</v>
      </c>
      <c r="H400" s="34" t="str">
        <f>IFERROR(__xludf.DUMMYFUNCTION("LOWER(REGEXREPLACE(B400&amp;"" ""&amp;C400,""[^а-яa-z0-9 ]"","" ""))")," дырна ")</f>
        <v> дырна </v>
      </c>
    </row>
    <row r="401">
      <c r="A401" s="35" t="s">
        <v>879</v>
      </c>
      <c r="B401" s="31" t="s">
        <v>880</v>
      </c>
      <c r="C401" s="31"/>
      <c r="D401" s="37" t="s">
        <v>14</v>
      </c>
      <c r="E401" s="10"/>
      <c r="F401" s="36"/>
      <c r="G401" s="11">
        <v>133929.0</v>
      </c>
      <c r="H401" s="34" t="str">
        <f>IFERROR(__xludf.DUMMYFUNCTION("LOWER(REGEXREPLACE(B401&amp;"" ""&amp;C401,""[^а-яa-z0-9 ]"","" ""))")," ертер ")</f>
        <v> ертер </v>
      </c>
    </row>
    <row r="402">
      <c r="A402" s="35" t="s">
        <v>881</v>
      </c>
      <c r="B402" s="31" t="s">
        <v>882</v>
      </c>
      <c r="C402" s="31"/>
      <c r="D402" s="37" t="s">
        <v>14</v>
      </c>
      <c r="E402" s="10"/>
      <c r="F402" s="36"/>
      <c r="G402" s="11">
        <v>116071.0</v>
      </c>
      <c r="H402" s="34" t="str">
        <f>IFERROR(__xludf.DUMMYFUNCTION("LOWER(REGEXREPLACE(B402&amp;"" ""&amp;C402,""[^а-яa-z0-9 ]"","" ""))")," ыл  обыз ")</f>
        <v> ыл  обыз </v>
      </c>
    </row>
    <row r="403">
      <c r="A403" s="35" t="s">
        <v>883</v>
      </c>
      <c r="B403" s="31" t="s">
        <v>884</v>
      </c>
      <c r="C403" s="31"/>
      <c r="D403" s="37" t="s">
        <v>14</v>
      </c>
      <c r="E403" s="10"/>
      <c r="F403" s="36"/>
      <c r="G403" s="11">
        <v>491071.0</v>
      </c>
      <c r="H403" s="34" t="str">
        <f>IFERROR(__xludf.DUMMYFUNCTION("LOWER(REGEXREPLACE(B403&amp;"" ""&amp;C403,""[^а-яa-z0-9 ]"","" ""))")," ар  обыз ")</f>
        <v> ар  обыз </v>
      </c>
    </row>
    <row r="404">
      <c r="A404" s="35" t="s">
        <v>885</v>
      </c>
      <c r="B404" s="31" t="s">
        <v>886</v>
      </c>
      <c r="C404" s="31"/>
      <c r="D404" s="37" t="s">
        <v>14</v>
      </c>
      <c r="E404" s="10"/>
      <c r="F404" s="36"/>
      <c r="G404" s="11">
        <v>491071.0</v>
      </c>
      <c r="H404" s="34" t="str">
        <f>IFERROR(__xludf.DUMMYFUNCTION("LOWER(REGEXREPLACE(B404&amp;"" ""&amp;C404,""[^а-яa-z0-9 ]"","" ""))")," ас  обыз ")</f>
        <v> ас  обыз </v>
      </c>
    </row>
    <row r="405">
      <c r="A405" s="35" t="s">
        <v>887</v>
      </c>
      <c r="B405" s="31" t="s">
        <v>888</v>
      </c>
      <c r="C405" s="31"/>
      <c r="D405" s="37" t="s">
        <v>14</v>
      </c>
      <c r="E405" s="10"/>
      <c r="F405" s="36"/>
      <c r="G405" s="11">
        <v>58036.0</v>
      </c>
      <c r="H405" s="34" t="str">
        <f>IFERROR(__xludf.DUMMYFUNCTION("LOWER(REGEXREPLACE(B405&amp;"" ""&amp;C405,""[^а-яa-z0-9 ]"","" ""))")," абыл ")</f>
        <v> абыл </v>
      </c>
    </row>
    <row r="406">
      <c r="A406" s="35" t="s">
        <v>889</v>
      </c>
      <c r="B406" s="31" t="s">
        <v>890</v>
      </c>
      <c r="C406" s="31"/>
      <c r="D406" s="37" t="s">
        <v>14</v>
      </c>
      <c r="E406" s="10"/>
      <c r="F406" s="36"/>
      <c r="G406" s="11">
        <v>66964.0</v>
      </c>
      <c r="H406" s="34" t="str">
        <f>IFERROR(__xludf.DUMMYFUNCTION("LOWER(REGEXREPLACE(B406&amp;"" ""&amp;C406,""[^а-яa-z0-9 ]"","" ""))")," епш к ")</f>
        <v> епш к </v>
      </c>
    </row>
    <row r="407">
      <c r="A407" s="35" t="s">
        <v>891</v>
      </c>
      <c r="B407" s="31" t="s">
        <v>892</v>
      </c>
      <c r="C407" s="31"/>
      <c r="D407" s="37" t="s">
        <v>14</v>
      </c>
      <c r="E407" s="10"/>
      <c r="F407" s="36"/>
      <c r="G407" s="11">
        <v>12500.0</v>
      </c>
      <c r="H407" s="34" t="str">
        <f>IFERROR(__xludf.DUMMYFUNCTION("LOWER(REGEXREPLACE(B407&amp;"" ""&amp;C407,""[^а-яa-z0-9 ]"","" ""))")," ай т я  деревянный ")</f>
        <v> ай т я  деревянный </v>
      </c>
    </row>
    <row r="408">
      <c r="A408" s="35" t="s">
        <v>893</v>
      </c>
      <c r="B408" s="31" t="s">
        <v>894</v>
      </c>
      <c r="C408" s="31"/>
      <c r="D408" s="37" t="s">
        <v>14</v>
      </c>
      <c r="E408" s="10"/>
      <c r="F408" s="36"/>
      <c r="G408" s="11">
        <v>12500.0</v>
      </c>
      <c r="H408" s="34" t="str">
        <f>IFERROR(__xludf.DUMMYFUNCTION("LOWER(REGEXREPLACE(B408&amp;"" ""&amp;C408,""[^а-яa-z0-9 ]"","" ""))")," о ылда   коробка  ")</f>
        <v> о ылда   коробка  </v>
      </c>
    </row>
    <row r="409">
      <c r="A409" s="35" t="s">
        <v>895</v>
      </c>
      <c r="B409" s="31" t="s">
        <v>896</v>
      </c>
      <c r="C409" s="31"/>
      <c r="D409" s="37" t="s">
        <v>14</v>
      </c>
      <c r="E409" s="10"/>
      <c r="F409" s="36"/>
      <c r="G409" s="11">
        <v>44643.0</v>
      </c>
      <c r="H409" s="34" t="str">
        <f>IFERROR(__xludf.DUMMYFUNCTION("LOWER(REGEXREPLACE(B409&amp;"" ""&amp;C409,""[^а-яa-z0-9 ]"","" ""))")," ыбыз ы с футляром ")</f>
        <v> ыбыз ы с футляром </v>
      </c>
    </row>
    <row r="410">
      <c r="A410" s="35" t="s">
        <v>897</v>
      </c>
      <c r="B410" s="31" t="s">
        <v>898</v>
      </c>
      <c r="C410" s="31"/>
      <c r="D410" s="37" t="s">
        <v>14</v>
      </c>
      <c r="E410" s="10"/>
      <c r="F410" s="36"/>
      <c r="G410" s="11">
        <v>75893.0</v>
      </c>
      <c r="H410" s="34" t="str">
        <f>IFERROR(__xludf.DUMMYFUNCTION("LOWER(REGEXREPLACE(B410&amp;"" ""&amp;C410,""[^а-яa-z0-9 ]"","" ""))")," ерней с футляром ")</f>
        <v> ерней с футляром </v>
      </c>
    </row>
    <row r="411">
      <c r="A411" s="35" t="s">
        <v>899</v>
      </c>
      <c r="B411" s="31" t="s">
        <v>900</v>
      </c>
      <c r="C411" s="31"/>
      <c r="D411" s="37" t="s">
        <v>14</v>
      </c>
      <c r="E411" s="10"/>
      <c r="F411" s="36"/>
      <c r="G411" s="11">
        <v>17857.0</v>
      </c>
      <c r="H411" s="34" t="str">
        <f>IFERROR(__xludf.DUMMYFUNCTION("LOWER(REGEXREPLACE(B411&amp;"" ""&amp;C411,""[^а-яa-z0-9 ]"","" ""))")," сатая  сылдырма ты ")</f>
        <v> сатая  сылдырма ты </v>
      </c>
    </row>
    <row r="412">
      <c r="A412" s="35" t="s">
        <v>901</v>
      </c>
      <c r="B412" s="31" t="s">
        <v>902</v>
      </c>
      <c r="C412" s="31" t="s">
        <v>903</v>
      </c>
      <c r="D412" s="37" t="s">
        <v>14</v>
      </c>
      <c r="E412" s="10"/>
      <c r="F412" s="36"/>
      <c r="G412" s="11">
        <v>17857.0</v>
      </c>
      <c r="H412" s="34" t="str">
        <f>IFERROR(__xludf.DUMMYFUNCTION("LOWER(REGEXREPLACE(B412&amp;"" ""&amp;C412,""[^а-яa-z0-9 ]"","" ""))")," сатая   умовой музыкальный ударный инструмент   а корпус навешиваются колокольчики или лепестки ")</f>
        <v> сатая   умовой музыкальный ударный инструмент   а корпус навешиваются колокольчики или лепестки </v>
      </c>
    </row>
    <row r="413">
      <c r="A413" s="35" t="s">
        <v>904</v>
      </c>
      <c r="B413" s="31" t="s">
        <v>905</v>
      </c>
      <c r="C413" s="31"/>
      <c r="D413" s="37" t="s">
        <v>14</v>
      </c>
      <c r="E413" s="10"/>
      <c r="F413" s="36"/>
      <c r="G413" s="11">
        <v>13393.0</v>
      </c>
      <c r="H413" s="34" t="str">
        <f>IFERROR(__xludf.DUMMYFUNCTION("LOWER(REGEXREPLACE(B413&amp;"" ""&amp;C413,""[^а-яa-z0-9 ]"","" ""))")," а пан ")</f>
        <v> а пан </v>
      </c>
    </row>
    <row r="414">
      <c r="A414" s="35" t="s">
        <v>906</v>
      </c>
      <c r="B414" s="31" t="s">
        <v>907</v>
      </c>
      <c r="C414" s="31"/>
      <c r="D414" s="36"/>
      <c r="E414" s="10"/>
      <c r="F414" s="36"/>
      <c r="G414" s="11"/>
      <c r="H414" s="34" t="str">
        <f>IFERROR(__xludf.DUMMYFUNCTION("LOWER(REGEXREPLACE(B414&amp;"" ""&amp;C414,""[^а-яa-z0-9 ]"","" ""))")," ациональные принадлежности и мебель ")</f>
        <v> ациональные принадлежности и мебель </v>
      </c>
    </row>
    <row r="415">
      <c r="A415" s="35" t="s">
        <v>908</v>
      </c>
      <c r="B415" s="31" t="s">
        <v>909</v>
      </c>
      <c r="C415" s="31"/>
      <c r="D415" s="37" t="s">
        <v>14</v>
      </c>
      <c r="E415" s="10"/>
      <c r="F415" s="36"/>
      <c r="G415" s="11">
        <v>89286.0</v>
      </c>
      <c r="H415" s="34" t="str">
        <f>IFERROR(__xludf.DUMMYFUNCTION("LOWER(REGEXREPLACE(B415&amp;"" ""&amp;C415,""[^а-яa-z0-9 ]"","" ""))")," ес к ")</f>
        <v> ес к </v>
      </c>
    </row>
    <row r="416">
      <c r="A416" s="35" t="s">
        <v>910</v>
      </c>
      <c r="B416" s="31" t="s">
        <v>911</v>
      </c>
      <c r="C416" s="31"/>
      <c r="D416" s="37" t="s">
        <v>14</v>
      </c>
      <c r="E416" s="10"/>
      <c r="F416" s="36"/>
      <c r="G416" s="11">
        <v>71429.0</v>
      </c>
      <c r="H416" s="34" t="str">
        <f>IFERROR(__xludf.DUMMYFUNCTION("LOWER(REGEXREPLACE(B416&amp;"" ""&amp;C416,""[^а-яa-z0-9 ]"","" ""))")," анды  ")</f>
        <v> анды  </v>
      </c>
    </row>
    <row r="417">
      <c r="A417" s="13" t="s">
        <v>912</v>
      </c>
      <c r="B417" s="30"/>
      <c r="C417" s="31"/>
      <c r="D417" s="30"/>
      <c r="E417" s="32"/>
      <c r="F417" s="30"/>
      <c r="G417" s="33"/>
      <c r="H417" s="34" t="str">
        <f>IFERROR(__xludf.DUMMYFUNCTION("LOWER(REGEXREPLACE(B417&amp;"" ""&amp;C417,""[^а-яa-z0-9 ]"","" ""))")," ")</f>
        <v> </v>
      </c>
    </row>
    <row r="418">
      <c r="A418" s="35" t="s">
        <v>913</v>
      </c>
      <c r="B418" s="31" t="s">
        <v>914</v>
      </c>
      <c r="C418" s="31"/>
      <c r="D418" s="36"/>
      <c r="E418" s="10"/>
      <c r="F418" s="36"/>
      <c r="G418" s="11"/>
      <c r="H418" s="34" t="str">
        <f>IFERROR(__xludf.DUMMYFUNCTION("LOWER(REGEXREPLACE(B418&amp;"" ""&amp;C418,""[^а-яa-z0-9 ]"","" ""))")," нвентарь для спортивных игр ")</f>
        <v> нвентарь для спортивных игр </v>
      </c>
    </row>
    <row r="419">
      <c r="A419" s="35" t="s">
        <v>915</v>
      </c>
      <c r="B419" s="31" t="s">
        <v>916</v>
      </c>
      <c r="C419" s="31"/>
      <c r="D419" s="37" t="s">
        <v>68</v>
      </c>
      <c r="E419" s="10"/>
      <c r="F419" s="36"/>
      <c r="G419" s="11"/>
      <c r="H419" s="34" t="str">
        <f>IFERROR(__xludf.DUMMYFUNCTION("LOWER(REGEXREPLACE(B419&amp;"" ""&amp;C419,""[^а-яa-z0-9 ]"","" ""))")," ухой бассейн в комплекте с шариками ")</f>
        <v> ухой бассейн в комплекте с шариками </v>
      </c>
    </row>
    <row r="420">
      <c r="A420" s="35" t="s">
        <v>917</v>
      </c>
      <c r="B420" s="9" t="s">
        <v>918</v>
      </c>
      <c r="C420" s="31"/>
      <c r="D420" s="37" t="s">
        <v>68</v>
      </c>
      <c r="E420" s="10"/>
      <c r="F420" s="36"/>
      <c r="G420" s="11">
        <v>8929.0</v>
      </c>
      <c r="H420" s="34" t="str">
        <f>IFERROR(__xludf.DUMMYFUNCTION("LOWER(REGEXREPLACE(B420&amp;"" ""&amp;C420,""[^а-яa-z0-9 ]"","" ""))")," ухой бассейн в комплекте с шариками габариты  950х330 мм ")</f>
        <v> ухой бассейн в комплекте с шариками габариты  950х330 мм </v>
      </c>
    </row>
    <row r="421">
      <c r="A421" s="35" t="s">
        <v>919</v>
      </c>
      <c r="B421" s="9" t="s">
        <v>920</v>
      </c>
      <c r="C421" s="31"/>
      <c r="D421" s="36"/>
      <c r="E421" s="10"/>
      <c r="F421" s="36"/>
      <c r="G421" s="11"/>
      <c r="H421" s="34" t="str">
        <f>IFERROR(__xludf.DUMMYFUNCTION("LOWER(REGEXREPLACE(B421&amp;"" ""&amp;C421,""[^а-яa-z0-9 ]"","" ""))")," борудование и инвентарь для детских игр на спортивной площадке ")</f>
        <v> борудование и инвентарь для детских игр на спортивной площадке </v>
      </c>
    </row>
    <row r="422">
      <c r="A422" s="35" t="s">
        <v>921</v>
      </c>
      <c r="B422" s="31" t="s">
        <v>922</v>
      </c>
      <c r="C422" s="31"/>
      <c r="D422" s="37" t="s">
        <v>14</v>
      </c>
      <c r="E422" s="10"/>
      <c r="F422" s="36"/>
      <c r="G422" s="11"/>
      <c r="H422" s="34" t="str">
        <f>IFERROR(__xludf.DUMMYFUNCTION("LOWER(REGEXREPLACE(B422&amp;"" ""&amp;C422,""[^а-яa-z0-9 ]"","" ""))")," елосипед детский ")</f>
        <v> елосипед детский </v>
      </c>
    </row>
    <row r="423">
      <c r="A423" s="35" t="s">
        <v>923</v>
      </c>
      <c r="B423" s="31" t="s">
        <v>924</v>
      </c>
      <c r="C423" s="31"/>
      <c r="D423" s="37" t="s">
        <v>14</v>
      </c>
      <c r="E423" s="10"/>
      <c r="F423" s="36"/>
      <c r="G423" s="11">
        <v>8482.0</v>
      </c>
      <c r="H423" s="34" t="str">
        <f>IFERROR(__xludf.DUMMYFUNCTION("LOWER(REGEXREPLACE(B423&amp;"" ""&amp;C423,""[^а-яa-z0-9 ]"","" ""))")," елосипед детский трехколесный велосипед   алдырган  ")</f>
        <v> елосипед детский трехколесный велосипед   алдырган  </v>
      </c>
    </row>
    <row r="424">
      <c r="A424" s="35" t="s">
        <v>925</v>
      </c>
      <c r="B424" s="31" t="s">
        <v>926</v>
      </c>
      <c r="C424" s="31"/>
      <c r="D424" s="37" t="s">
        <v>14</v>
      </c>
      <c r="E424" s="10"/>
      <c r="F424" s="36"/>
      <c r="G424" s="11">
        <v>9375.0</v>
      </c>
      <c r="H424" s="34" t="str">
        <f>IFERROR(__xludf.DUMMYFUNCTION("LOWER(REGEXREPLACE(B424&amp;"" ""&amp;C424,""[^а-яa-z0-9 ]"","" ""))")," елосипед детский трехколесный   алдырган  с ручкой ")</f>
        <v> елосипед детский трехколесный   алдырган  с ручкой </v>
      </c>
    </row>
    <row r="425">
      <c r="A425" s="35" t="s">
        <v>927</v>
      </c>
      <c r="B425" s="31" t="s">
        <v>928</v>
      </c>
      <c r="C425" s="31"/>
      <c r="D425" s="37" t="s">
        <v>14</v>
      </c>
      <c r="E425" s="10"/>
      <c r="F425" s="36"/>
      <c r="G425" s="11">
        <v>13393.0</v>
      </c>
      <c r="H425" s="34" t="str">
        <f>IFERROR(__xludf.DUMMYFUNCTION("LOWER(REGEXREPLACE(B425&amp;"" ""&amp;C425,""[^а-яa-z0-9 ]"","" ""))")," еговел ")</f>
        <v> еговел </v>
      </c>
    </row>
    <row r="426">
      <c r="A426" s="35" t="s">
        <v>929</v>
      </c>
      <c r="B426" s="31" t="s">
        <v>930</v>
      </c>
      <c r="C426" s="31"/>
      <c r="D426" s="36"/>
      <c r="E426" s="10"/>
      <c r="F426" s="36"/>
      <c r="G426" s="11"/>
      <c r="H426" s="34" t="str">
        <f>IFERROR(__xludf.DUMMYFUNCTION("LOWER(REGEXREPLACE(B426&amp;"" ""&amp;C426,""[^а-яa-z0-9 ]"","" ""))")," имний инвентарь ")</f>
        <v> имний инвентарь </v>
      </c>
    </row>
    <row r="427">
      <c r="A427" s="35" t="s">
        <v>931</v>
      </c>
      <c r="B427" s="31" t="s">
        <v>932</v>
      </c>
      <c r="C427" s="31"/>
      <c r="D427" s="37" t="s">
        <v>14</v>
      </c>
      <c r="E427" s="10"/>
      <c r="F427" s="36"/>
      <c r="G427" s="11"/>
      <c r="H427" s="34" t="str">
        <f>IFERROR(__xludf.DUMMYFUNCTION("LOWER(REGEXREPLACE(B427&amp;"" ""&amp;C427,""[^а-яa-z0-9 ]"","" ""))")," анки ")</f>
        <v> анки </v>
      </c>
    </row>
    <row r="428">
      <c r="A428" s="35" t="s">
        <v>933</v>
      </c>
      <c r="B428" s="31" t="s">
        <v>934</v>
      </c>
      <c r="C428" s="31"/>
      <c r="D428" s="37" t="s">
        <v>14</v>
      </c>
      <c r="E428" s="10"/>
      <c r="F428" s="38">
        <v>4.0</v>
      </c>
      <c r="G428" s="11">
        <v>4286.0</v>
      </c>
      <c r="H428" s="34" t="str">
        <f>IFERROR(__xludf.DUMMYFUNCTION("LOWER(REGEXREPLACE(B428&amp;"" ""&amp;C428,""[^а-яa-z0-9 ]"","" ""))")," анки детские          со спинкой размерами 720х335х165 мм ")</f>
        <v> анки детские          со спинкой размерами 720х335х165 мм </v>
      </c>
    </row>
    <row r="429">
      <c r="A429" s="35" t="s">
        <v>935</v>
      </c>
      <c r="B429" s="31" t="s">
        <v>936</v>
      </c>
      <c r="C429" s="31"/>
      <c r="D429" s="37" t="s">
        <v>14</v>
      </c>
      <c r="E429" s="10"/>
      <c r="F429" s="38">
        <v>5.0</v>
      </c>
      <c r="G429" s="11">
        <v>6696.0</v>
      </c>
      <c r="H429" s="34" t="str">
        <f>IFERROR(__xludf.DUMMYFUNCTION("LOWER(REGEXREPLACE(B429&amp;"" ""&amp;C429,""[^а-яa-z0-9 ]"","" ""))")," анки трубчатые          с подножкой и роликами размерами 800х360х190 950 мм ")</f>
        <v> анки трубчатые          с подножкой и роликами размерами 800х360х190 950 мм </v>
      </c>
    </row>
    <row r="430">
      <c r="A430" s="35" t="s">
        <v>937</v>
      </c>
      <c r="B430" s="31" t="s">
        <v>938</v>
      </c>
      <c r="C430" s="31"/>
      <c r="D430" s="37" t="s">
        <v>14</v>
      </c>
      <c r="E430" s="10"/>
      <c r="F430" s="39">
        <v>6.5</v>
      </c>
      <c r="G430" s="11">
        <v>6696.0</v>
      </c>
      <c r="H430" s="34" t="str">
        <f>IFERROR(__xludf.DUMMYFUNCTION("LOWER(REGEXREPLACE(B430&amp;"" ""&amp;C430,""[^а-яa-z0-9 ]"","" ""))")," анки для двойняшек удлиненные трубчатые         размерами 1200х370х195 960 мм ")</f>
        <v> анки для двойняшек удлиненные трубчатые         размерами 1200х370х195 960 мм </v>
      </c>
    </row>
    <row r="431">
      <c r="A431" s="13" t="s">
        <v>939</v>
      </c>
      <c r="B431" s="30"/>
      <c r="C431" s="31"/>
      <c r="D431" s="30"/>
      <c r="E431" s="32"/>
      <c r="F431" s="30"/>
      <c r="G431" s="33"/>
      <c r="H431" s="34" t="str">
        <f>IFERROR(__xludf.DUMMYFUNCTION("LOWER(REGEXREPLACE(B431&amp;"" ""&amp;C431,""[^а-яa-z0-9 ]"","" ""))")," ")</f>
        <v> </v>
      </c>
    </row>
    <row r="432">
      <c r="A432" s="35" t="s">
        <v>940</v>
      </c>
      <c r="B432" s="31" t="s">
        <v>941</v>
      </c>
      <c r="C432" s="31"/>
      <c r="D432" s="36"/>
      <c r="E432" s="10"/>
      <c r="F432" s="36"/>
      <c r="G432" s="11"/>
      <c r="H432" s="34" t="str">
        <f>IFERROR(__xludf.DUMMYFUNCTION("LOWER(REGEXREPLACE(B432&amp;"" ""&amp;C432,""[^а-яa-z0-9 ]"","" ""))")," узыкальные инструменты и оборудование ")</f>
        <v> узыкальные инструменты и оборудование </v>
      </c>
    </row>
    <row r="433">
      <c r="A433" s="35" t="s">
        <v>942</v>
      </c>
      <c r="B433" s="31" t="s">
        <v>943</v>
      </c>
      <c r="C433" s="31"/>
      <c r="D433" s="37" t="s">
        <v>14</v>
      </c>
      <c r="E433" s="10"/>
      <c r="F433" s="36"/>
      <c r="G433" s="11">
        <v>697500.0</v>
      </c>
      <c r="H433" s="34" t="str">
        <f>IFERROR(__xludf.DUMMYFUNCTION("LOWER(REGEXREPLACE(B433&amp;"" ""&amp;C433,""[^а-яa-z0-9 ]"","" ""))")," ккордеон ")</f>
        <v> ккордеон </v>
      </c>
    </row>
    <row r="434">
      <c r="A434" s="13" t="s">
        <v>944</v>
      </c>
      <c r="B434" s="30"/>
      <c r="C434" s="31"/>
      <c r="D434" s="30"/>
      <c r="E434" s="32"/>
      <c r="F434" s="30"/>
      <c r="G434" s="33"/>
      <c r="H434" s="34" t="str">
        <f>IFERROR(__xludf.DUMMYFUNCTION("LOWER(REGEXREPLACE(B434&amp;"" ""&amp;C434,""[^а-яa-z0-9 ]"","" ""))")," ")</f>
        <v> </v>
      </c>
    </row>
    <row r="435">
      <c r="A435" s="35" t="s">
        <v>945</v>
      </c>
      <c r="B435" s="31" t="s">
        <v>946</v>
      </c>
      <c r="C435" s="31"/>
      <c r="D435" s="36"/>
      <c r="E435" s="10"/>
      <c r="F435" s="36"/>
      <c r="G435" s="11"/>
      <c r="H435" s="34" t="str">
        <f>IFERROR(__xludf.DUMMYFUNCTION("LOWER(REGEXREPLACE(B435&amp;"" ""&amp;C435,""[^а-яa-z0-9 ]"","" ""))")," борудование для прачечной ")</f>
        <v> борудование для прачечной </v>
      </c>
    </row>
    <row r="436">
      <c r="A436" s="35" t="s">
        <v>947</v>
      </c>
      <c r="B436" s="31" t="s">
        <v>948</v>
      </c>
      <c r="C436" s="31"/>
      <c r="D436" s="37" t="s">
        <v>14</v>
      </c>
      <c r="E436" s="10"/>
      <c r="F436" s="36"/>
      <c r="G436" s="11"/>
      <c r="H436" s="34" t="str">
        <f>IFERROR(__xludf.DUMMYFUNCTION("LOWER(REGEXREPLACE(B436&amp;"" ""&amp;C436,""[^а-яa-z0-9 ]"","" ""))")," ележка для перевозки белья ")</f>
        <v> ележка для перевозки белья </v>
      </c>
    </row>
    <row r="437">
      <c r="A437" s="35" t="s">
        <v>949</v>
      </c>
      <c r="B437" s="31" t="s">
        <v>950</v>
      </c>
      <c r="C437" s="31"/>
      <c r="D437" s="37" t="s">
        <v>14</v>
      </c>
      <c r="E437" s="10"/>
      <c r="F437" s="36"/>
      <c r="G437" s="11">
        <v>153333.0</v>
      </c>
      <c r="H437" s="34" t="str">
        <f>IFERROR(__xludf.DUMMYFUNCTION("LOWER(REGEXREPLACE(B437&amp;"" ""&amp;C437,""[^а-яa-z0-9 ]"","" ""))")," ележка для сухого белья из полипропилена  стандартная  830 480 620 мм ")</f>
        <v> ележка для сухого белья из полипропилена  стандартная  830 480 620 мм </v>
      </c>
    </row>
    <row r="438">
      <c r="A438" s="35" t="s">
        <v>951</v>
      </c>
      <c r="B438" s="31" t="s">
        <v>952</v>
      </c>
      <c r="C438" s="31"/>
      <c r="D438" s="37" t="s">
        <v>14</v>
      </c>
      <c r="E438" s="10"/>
      <c r="F438" s="36"/>
      <c r="G438" s="11">
        <v>257653.0</v>
      </c>
      <c r="H438" s="34" t="str">
        <f>IFERROR(__xludf.DUMMYFUNCTION("LOWER(REGEXREPLACE(B438&amp;"" ""&amp;C438,""[^а-яa-z0-9 ]"","" ""))")," ележка для сухого белья из полипропилена  удлиненная  1020 630 825 мм ")</f>
        <v> ележка для сухого белья из полипропилена  удлиненная  1020 630 825 мм </v>
      </c>
    </row>
    <row r="439">
      <c r="A439" s="35" t="s">
        <v>953</v>
      </c>
      <c r="B439" s="31" t="s">
        <v>954</v>
      </c>
      <c r="C439" s="31"/>
      <c r="D439" s="37" t="s">
        <v>14</v>
      </c>
      <c r="E439" s="10"/>
      <c r="F439" s="36"/>
      <c r="G439" s="11">
        <v>220781.0</v>
      </c>
      <c r="H439" s="34" t="str">
        <f>IFERROR(__xludf.DUMMYFUNCTION("LOWER(REGEXREPLACE(B439&amp;"" ""&amp;C439,""[^а-яa-z0-9 ]"","" ""))")," ележка для влажного белья из алюминия  стандартная  840 490 650 мм ")</f>
        <v> ележка для влажного белья из алюминия  стандартная  840 490 650 мм </v>
      </c>
    </row>
    <row r="440">
      <c r="A440" s="35" t="s">
        <v>955</v>
      </c>
      <c r="B440" s="31" t="s">
        <v>956</v>
      </c>
      <c r="C440" s="31"/>
      <c r="D440" s="37" t="s">
        <v>14</v>
      </c>
      <c r="E440" s="10"/>
      <c r="F440" s="36"/>
      <c r="G440" s="11">
        <v>299921.0</v>
      </c>
      <c r="H440" s="34" t="str">
        <f>IFERROR(__xludf.DUMMYFUNCTION("LOWER(REGEXREPLACE(B440&amp;"" ""&amp;C440,""[^а-яa-z0-9 ]"","" ""))")," ележка для влажного белья из алюминия  удлиненная  1030 630 850 мм ")</f>
        <v> ележка для влажного белья из алюминия  удлиненная  1030 630 850 мм </v>
      </c>
    </row>
    <row r="441">
      <c r="A441" s="35" t="s">
        <v>957</v>
      </c>
      <c r="B441" s="31" t="s">
        <v>958</v>
      </c>
      <c r="C441" s="31"/>
      <c r="D441" s="37" t="s">
        <v>14</v>
      </c>
      <c r="E441" s="10"/>
      <c r="F441" s="36"/>
      <c r="G441" s="11">
        <v>51402.0</v>
      </c>
      <c r="H441" s="34" t="str">
        <f>IFERROR(__xludf.DUMMYFUNCTION("LOWER(REGEXREPLACE(B441&amp;"" ""&amp;C441,""[^а-яa-z0-9 ]"","" ""))")," ележка для перевозки белья 930 430 980 ")</f>
        <v> ележка для перевозки белья 930 430 980 </v>
      </c>
    </row>
    <row r="442">
      <c r="A442" s="35" t="s">
        <v>959</v>
      </c>
      <c r="B442" s="31" t="s">
        <v>960</v>
      </c>
      <c r="C442" s="31"/>
      <c r="D442" s="37" t="s">
        <v>14</v>
      </c>
      <c r="E442" s="38">
        <v>2.0</v>
      </c>
      <c r="F442" s="38">
        <v>16.0</v>
      </c>
      <c r="G442" s="11">
        <v>79802.0</v>
      </c>
      <c r="H442" s="34" t="str">
        <f>IFERROR(__xludf.DUMMYFUNCTION("LOWER(REGEXREPLACE(B442&amp;"" ""&amp;C442,""[^а-яa-z0-9 ]"","" ""))")," ележка для белья типа    120   бъем корзины 120 л  грузоподъемность 75 кг  габаритные размеры   х х   960х530х960 мм ")</f>
        <v> ележка для белья типа    120   бъем корзины 120 л  грузоподъемность 75 кг  габаритные размеры   х х   960х530х960 мм </v>
      </c>
    </row>
    <row r="443">
      <c r="A443" s="35" t="s">
        <v>961</v>
      </c>
      <c r="B443" s="31" t="s">
        <v>962</v>
      </c>
      <c r="C443" s="31"/>
      <c r="D443" s="37" t="s">
        <v>14</v>
      </c>
      <c r="E443" s="38">
        <v>2.0</v>
      </c>
      <c r="F443" s="38">
        <v>29.0</v>
      </c>
      <c r="G443" s="11">
        <v>159592.0</v>
      </c>
      <c r="H443" s="34" t="str">
        <f>IFERROR(__xludf.DUMMYFUNCTION("LOWER(REGEXREPLACE(B443&amp;"" ""&amp;C443,""[^а-яa-z0-9 ]"","" ""))")," ележка для белья типа    200   бъем корзины 200 л  грузоподъемность 75 кг  габаритные размеры   х х   1150х720х900 мм ")</f>
        <v> ележка для белья типа    200   бъем корзины 200 л  грузоподъемность 75 кг  габаритные размеры   х х   1150х720х900 мм </v>
      </c>
    </row>
    <row r="444">
      <c r="A444" s="35" t="s">
        <v>963</v>
      </c>
      <c r="B444" s="31" t="s">
        <v>964</v>
      </c>
      <c r="C444" s="31"/>
      <c r="D444" s="37" t="s">
        <v>14</v>
      </c>
      <c r="E444" s="38">
        <v>2.0</v>
      </c>
      <c r="F444" s="38">
        <v>13.0</v>
      </c>
      <c r="G444" s="11">
        <v>167569.0</v>
      </c>
      <c r="H444" s="34" t="str">
        <f>IFERROR(__xludf.DUMMYFUNCTION("LOWER(REGEXREPLACE(B444&amp;"" ""&amp;C444,""[^а-яa-z0-9 ]"","" ""))")," ележка для белья типа    200   бъем корзины 200 л  грузоподъемность 100 кг  габаритные размеры   х х   650х605х845 мм ")</f>
        <v> ележка для белья типа    200   бъем корзины 200 л  грузоподъемность 100 кг  габаритные размеры   х х   650х605х845 мм </v>
      </c>
    </row>
    <row r="445">
      <c r="A445" s="35" t="s">
        <v>965</v>
      </c>
      <c r="B445" s="31" t="s">
        <v>966</v>
      </c>
      <c r="C445" s="31"/>
      <c r="D445" s="37" t="s">
        <v>14</v>
      </c>
      <c r="E445" s="38">
        <v>2.0</v>
      </c>
      <c r="F445" s="38">
        <v>36.0</v>
      </c>
      <c r="G445" s="11">
        <v>232367.0</v>
      </c>
      <c r="H445" s="34" t="str">
        <f>IFERROR(__xludf.DUMMYFUNCTION("LOWER(REGEXREPLACE(B445&amp;"" ""&amp;C445,""[^а-яa-z0-9 ]"","" ""))")," ележка для белья типа    200   бъем корзины 200 л  грузоподъемность 100 кг  габаритные размеры   х х   1255х540х950 мм ")</f>
        <v> ележка для белья типа    200   бъем корзины 200 л  грузоподъемность 100 кг  габаритные размеры   х х   1255х540х950 мм </v>
      </c>
    </row>
    <row r="446">
      <c r="A446" s="35" t="s">
        <v>967</v>
      </c>
      <c r="B446" s="31" t="s">
        <v>968</v>
      </c>
      <c r="C446" s="31"/>
      <c r="D446" s="37" t="s">
        <v>14</v>
      </c>
      <c r="E446" s="38">
        <v>2.0</v>
      </c>
      <c r="F446" s="38">
        <v>16.0</v>
      </c>
      <c r="G446" s="11">
        <v>188067.0</v>
      </c>
      <c r="H446" s="34" t="str">
        <f>IFERROR(__xludf.DUMMYFUNCTION("LOWER(REGEXREPLACE(B446&amp;"" ""&amp;C446,""[^а-яa-z0-9 ]"","" ""))")," ележка для белья типа    300   бъем корзины 300 л  грузоподъемность 150 кг  габаритные размеры   х х   950х605х845 мм ")</f>
        <v> ележка для белья типа    300   бъем корзины 300 л  грузоподъемность 150 кг  габаритные размеры   х х   950х605х845 мм </v>
      </c>
    </row>
    <row r="447">
      <c r="A447" s="35" t="s">
        <v>969</v>
      </c>
      <c r="B447" s="31" t="s">
        <v>970</v>
      </c>
      <c r="C447" s="31"/>
      <c r="D447" s="37" t="s">
        <v>14</v>
      </c>
      <c r="E447" s="38">
        <v>2.0</v>
      </c>
      <c r="F447" s="38">
        <v>40.0</v>
      </c>
      <c r="G447" s="11">
        <v>246452.0</v>
      </c>
      <c r="H447" s="34" t="str">
        <f>IFERROR(__xludf.DUMMYFUNCTION("LOWER(REGEXREPLACE(B447&amp;"" ""&amp;C447,""[^а-яa-z0-9 ]"","" ""))")," ележка для белья типа    300   бъем корзины 300 л  грузоподъемность 150 кг  габаритные размеры   х х   1135х600х930 мм ")</f>
        <v> ележка для белья типа    300   бъем корзины 300 л  грузоподъемность 150 кг  габаритные размеры   х х   1135х600х930 мм </v>
      </c>
    </row>
    <row r="448">
      <c r="A448" s="35" t="s">
        <v>971</v>
      </c>
      <c r="B448" s="31" t="s">
        <v>972</v>
      </c>
      <c r="C448" s="31"/>
      <c r="D448" s="37" t="s">
        <v>14</v>
      </c>
      <c r="E448" s="38">
        <v>2.0</v>
      </c>
      <c r="F448" s="39">
        <v>22.5</v>
      </c>
      <c r="G448" s="11">
        <v>195080.0</v>
      </c>
      <c r="H448" s="34" t="str">
        <f>IFERROR(__xludf.DUMMYFUNCTION("LOWER(REGEXREPLACE(B448&amp;"" ""&amp;C448,""[^а-яa-z0-9 ]"","" ""))")," ележка сетчатая с полками для белья типа     500   бъем корзины 500 л  грузоподъемность 100 кг  габаритные размеры   х х   1053х437х1640 мм ")</f>
        <v> ележка сетчатая с полками для белья типа     500   бъем корзины 500 л  грузоподъемность 100 кг  габаритные размеры   х х   1053х437х1640 мм </v>
      </c>
    </row>
    <row r="449">
      <c r="A449" s="35" t="s">
        <v>973</v>
      </c>
      <c r="B449" s="31" t="s">
        <v>974</v>
      </c>
      <c r="C449" s="31"/>
      <c r="D449" s="37" t="s">
        <v>14</v>
      </c>
      <c r="E449" s="38">
        <v>2.0</v>
      </c>
      <c r="F449" s="39">
        <v>35.5</v>
      </c>
      <c r="G449" s="11">
        <v>279078.0</v>
      </c>
      <c r="H449" s="34" t="str">
        <f>IFERROR(__xludf.DUMMYFUNCTION("LOWER(REGEXREPLACE(B449&amp;"" ""&amp;C449,""[^а-яa-z0-9 ]"","" ""))")," ележка сетчатая с полками для белья типа     600   бъем корзины 600 л  грузоподъемность 120 кг  габаритные размеры   х х   960х610х1655 мм ")</f>
        <v> ележка сетчатая с полками для белья типа     600   бъем корзины 600 л  грузоподъемность 120 кг  габаритные размеры   х х   960х610х1655 мм </v>
      </c>
    </row>
    <row r="450">
      <c r="A450" s="35" t="s">
        <v>975</v>
      </c>
      <c r="B450" s="31" t="s">
        <v>976</v>
      </c>
      <c r="C450" s="31"/>
      <c r="D450" s="37" t="s">
        <v>14</v>
      </c>
      <c r="E450" s="38">
        <v>2.0</v>
      </c>
      <c r="F450" s="38">
        <v>51.0</v>
      </c>
      <c r="G450" s="11">
        <v>363474.0</v>
      </c>
      <c r="H450" s="34" t="str">
        <f>IFERROR(__xludf.DUMMYFUNCTION("LOWER(REGEXREPLACE(B450&amp;"" ""&amp;C450,""[^а-яa-z0-9 ]"","" ""))")," ележка сетчатая с полками для белья типа      800   бъем корзины 800 л  грузоподъемность 140 кг  габаритные размеры   х х   900х700х1800 мм ")</f>
        <v> ележка сетчатая с полками для белья типа      800   бъем корзины 800 л  грузоподъемность 140 кг  габаритные размеры   х х   900х700х1800 мм </v>
      </c>
    </row>
    <row r="451">
      <c r="A451" s="35" t="s">
        <v>977</v>
      </c>
      <c r="B451" s="31" t="s">
        <v>978</v>
      </c>
      <c r="C451" s="31" t="s">
        <v>979</v>
      </c>
      <c r="D451" s="37" t="s">
        <v>14</v>
      </c>
      <c r="E451" s="38">
        <v>2.0</v>
      </c>
      <c r="F451" s="38">
        <v>22.0</v>
      </c>
      <c r="G451" s="11">
        <v>330000.0</v>
      </c>
      <c r="H451" s="34" t="str">
        <f>IFERROR(__xludf.DUMMYFUNCTION("LOWER(REGEXREPLACE(B451&amp;"" ""&amp;C451,""[^а-яa-z0-9 ]"","" ""))"),"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f>
        <v>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v>
      </c>
    </row>
    <row r="452">
      <c r="A452" s="35" t="s">
        <v>980</v>
      </c>
      <c r="B452" s="31" t="s">
        <v>981</v>
      </c>
      <c r="C452" s="31" t="s">
        <v>979</v>
      </c>
      <c r="D452" s="37" t="s">
        <v>14</v>
      </c>
      <c r="E452" s="38">
        <v>2.0</v>
      </c>
      <c r="F452" s="38">
        <v>26.0</v>
      </c>
      <c r="G452" s="11">
        <v>412492.0</v>
      </c>
      <c r="H452" s="34" t="str">
        <f>IFERROR(__xludf.DUMMYFUNCTION("LOWER(REGEXREPLACE(B452&amp;"" ""&amp;C452,""[^а-яa-z0-9 ]"","" ""))"),"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f>
        <v>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v>
      </c>
    </row>
    <row r="453">
      <c r="A453" s="35" t="s">
        <v>982</v>
      </c>
      <c r="B453" s="31" t="s">
        <v>983</v>
      </c>
      <c r="C453" s="31" t="s">
        <v>979</v>
      </c>
      <c r="D453" s="37" t="s">
        <v>14</v>
      </c>
      <c r="E453" s="38">
        <v>2.0</v>
      </c>
      <c r="F453" s="38">
        <v>30.0</v>
      </c>
      <c r="G453" s="11">
        <v>529134.0</v>
      </c>
      <c r="H453" s="34" t="str">
        <f>IFERROR(__xludf.DUMMYFUNCTION("LOWER(REGEXREPLACE(B453&amp;"" ""&amp;C453,""[^а-яa-z0-9 ]"","" ""))"),"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f>
        <v>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v>
      </c>
    </row>
    <row r="454">
      <c r="A454" s="35" t="s">
        <v>984</v>
      </c>
      <c r="B454" s="31" t="s">
        <v>985</v>
      </c>
      <c r="C454" s="31" t="s">
        <v>986</v>
      </c>
      <c r="D454" s="37" t="s">
        <v>14</v>
      </c>
      <c r="E454" s="38">
        <v>2.0</v>
      </c>
      <c r="F454" s="38">
        <v>26.0</v>
      </c>
      <c r="G454" s="11">
        <v>526641.0</v>
      </c>
      <c r="H454" s="34" t="str">
        <f>IFERROR(__xludf.DUMMYFUNCTION("LOWER(REGEXREPLACE(B454&amp;"" ""&amp;C454,""[^а-яa-z0-9 ]"","" ""))"),"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f>
        <v>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v>
      </c>
    </row>
    <row r="455">
      <c r="A455" s="35" t="s">
        <v>987</v>
      </c>
      <c r="B455" s="31" t="s">
        <v>988</v>
      </c>
      <c r="C455" s="31" t="s">
        <v>986</v>
      </c>
      <c r="D455" s="37" t="s">
        <v>14</v>
      </c>
      <c r="E455" s="38">
        <v>2.0</v>
      </c>
      <c r="F455" s="38">
        <v>32.0</v>
      </c>
      <c r="G455" s="11">
        <v>575855.0</v>
      </c>
      <c r="H455" s="34" t="str">
        <f>IFERROR(__xludf.DUMMYFUNCTION("LOWER(REGEXREPLACE(B455&amp;"" ""&amp;C455,""[^а-яa-z0-9 ]"","" ""))"),"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f>
        <v>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v>
      </c>
    </row>
    <row r="456">
      <c r="A456" s="35" t="s">
        <v>989</v>
      </c>
      <c r="B456" s="31" t="s">
        <v>990</v>
      </c>
      <c r="C456" s="31" t="s">
        <v>986</v>
      </c>
      <c r="D456" s="37" t="s">
        <v>14</v>
      </c>
      <c r="E456" s="38">
        <v>2.0</v>
      </c>
      <c r="F456" s="38">
        <v>36.0</v>
      </c>
      <c r="G456" s="11">
        <v>629968.0</v>
      </c>
      <c r="H456" s="34" t="str">
        <f>IFERROR(__xludf.DUMMYFUNCTION("LOWER(REGEXREPLACE(B456&amp;"" ""&amp;C456,""[^а-яa-z0-9 ]"","" ""))"),"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f>
        <v>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v>
      </c>
    </row>
    <row r="457">
      <c r="A457" s="35" t="s">
        <v>991</v>
      </c>
      <c r="B457" s="31" t="s">
        <v>992</v>
      </c>
      <c r="C457" s="31"/>
      <c r="D457" s="37" t="s">
        <v>14</v>
      </c>
      <c r="E457" s="10"/>
      <c r="F457" s="36"/>
      <c r="G457" s="11"/>
      <c r="H457" s="34" t="str">
        <f>IFERROR(__xludf.DUMMYFUNCTION("LOWER(REGEXREPLACE(B457&amp;"" ""&amp;C457,""[^а-яa-z0-9 ]"","" ""))")," ашина стиральная профессиональная ")</f>
        <v> ашина стиральная профессиональная </v>
      </c>
    </row>
    <row r="458">
      <c r="A458" s="35" t="s">
        <v>993</v>
      </c>
      <c r="B458" s="31" t="s">
        <v>994</v>
      </c>
      <c r="C458" s="31"/>
      <c r="D458" s="37" t="s">
        <v>14</v>
      </c>
      <c r="E458" s="10"/>
      <c r="F458" s="36"/>
      <c r="G458" s="11">
        <v>2509081.0</v>
      </c>
      <c r="H458" s="34" t="str">
        <f>IFERROR(__xludf.DUMMYFUNCTION("LOWER(REGEXREPLACE(B458&amp;"" ""&amp;C458,""[^а-яa-z0-9 ]"","" ""))")," тиральная машина с отжимом 535 об мин   агрузочная масса 11 кг ")</f>
        <v> тиральная машина с отжимом 535 об мин   агрузочная масса 11 кг </v>
      </c>
    </row>
    <row r="459">
      <c r="A459" s="35" t="s">
        <v>995</v>
      </c>
      <c r="B459" s="31" t="s">
        <v>996</v>
      </c>
      <c r="C459" s="31"/>
      <c r="D459" s="37" t="s">
        <v>14</v>
      </c>
      <c r="E459" s="10"/>
      <c r="F459" s="36"/>
      <c r="G459" s="11">
        <v>3155295.0</v>
      </c>
      <c r="H459" s="34" t="str">
        <f>IFERROR(__xludf.DUMMYFUNCTION("LOWER(REGEXREPLACE(B459&amp;"" ""&amp;C459,""[^а-яa-z0-9 ]"","" ""))")," тиральная машина с отжимом 470 об мин   агрузочная масса 18 кг ")</f>
        <v> тиральная машина с отжимом 470 об мин   агрузочная масса 18 кг </v>
      </c>
    </row>
    <row r="460">
      <c r="A460" s="35" t="s">
        <v>997</v>
      </c>
      <c r="B460" s="31" t="s">
        <v>998</v>
      </c>
      <c r="C460" s="31"/>
      <c r="D460" s="37" t="s">
        <v>14</v>
      </c>
      <c r="E460" s="10"/>
      <c r="F460" s="36"/>
      <c r="G460" s="11">
        <v>3881273.0</v>
      </c>
      <c r="H460" s="34" t="str">
        <f>IFERROR(__xludf.DUMMYFUNCTION("LOWER(REGEXREPLACE(B460&amp;"" ""&amp;C460,""[^а-яa-z0-9 ]"","" ""))")," тиральная машина с отжимом 470 об мин   агрузочная масса 23 кг ")</f>
        <v> тиральная машина с отжимом 470 об мин   агрузочная масса 23 кг </v>
      </c>
    </row>
    <row r="461">
      <c r="A461" s="35" t="s">
        <v>999</v>
      </c>
      <c r="B461" s="31" t="s">
        <v>1000</v>
      </c>
      <c r="C461" s="31"/>
      <c r="D461" s="37" t="s">
        <v>14</v>
      </c>
      <c r="E461" s="10"/>
      <c r="F461" s="36"/>
      <c r="G461" s="11">
        <v>4606817.0</v>
      </c>
      <c r="H461" s="34" t="str">
        <f>IFERROR(__xludf.DUMMYFUNCTION("LOWER(REGEXREPLACE(B461&amp;"" ""&amp;C461,""[^а-яa-z0-9 ]"","" ""))")," тиральная машина с отжимом 450 об мин   агрузочная масса 30 кг ")</f>
        <v> тиральная машина с отжимом 450 об мин   агрузочная масса 30 кг </v>
      </c>
    </row>
    <row r="462">
      <c r="A462" s="35" t="s">
        <v>1001</v>
      </c>
      <c r="B462" s="31" t="s">
        <v>1002</v>
      </c>
      <c r="C462" s="31"/>
      <c r="D462" s="37" t="s">
        <v>14</v>
      </c>
      <c r="E462" s="10"/>
      <c r="F462" s="36"/>
      <c r="G462" s="11">
        <v>5142957.0</v>
      </c>
      <c r="H462" s="34" t="str">
        <f>IFERROR(__xludf.DUMMYFUNCTION("LOWER(REGEXREPLACE(B462&amp;"" ""&amp;C462,""[^а-яa-z0-9 ]"","" ""))")," тиральная машина с отжимом 450 об мин   агрузочная масса 40 кг ")</f>
        <v> тиральная машина с отжимом 450 об мин   агрузочная масса 40 кг </v>
      </c>
    </row>
    <row r="463">
      <c r="A463" s="35" t="s">
        <v>1003</v>
      </c>
      <c r="B463" s="31" t="s">
        <v>1004</v>
      </c>
      <c r="C463" s="31"/>
      <c r="D463" s="37" t="s">
        <v>14</v>
      </c>
      <c r="E463" s="10"/>
      <c r="F463" s="36"/>
      <c r="G463" s="11">
        <v>7683723.0</v>
      </c>
      <c r="H463" s="34" t="str">
        <f>IFERROR(__xludf.DUMMYFUNCTION("LOWER(REGEXREPLACE(B463&amp;"" ""&amp;C463,""[^а-яa-z0-9 ]"","" ""))")," тиральная машина с отжимом 408 об мин   агрузочная масса 55 кг ")</f>
        <v> тиральная машина с отжимом 408 об мин   агрузочная масса 55 кг </v>
      </c>
    </row>
    <row r="464">
      <c r="A464" s="35" t="s">
        <v>1005</v>
      </c>
      <c r="B464" s="31" t="s">
        <v>1006</v>
      </c>
      <c r="C464" s="31"/>
      <c r="D464" s="37" t="s">
        <v>14</v>
      </c>
      <c r="E464" s="10"/>
      <c r="F464" s="36"/>
      <c r="G464" s="11">
        <v>9018302.0</v>
      </c>
      <c r="H464" s="34" t="str">
        <f>IFERROR(__xludf.DUMMYFUNCTION("LOWER(REGEXREPLACE(B464&amp;"" ""&amp;C464,""[^а-яa-z0-9 ]"","" ""))")," тиральная машина с отжимом 360 об мин   агрузочная масса 70 кг ")</f>
        <v> тиральная машина с отжимом 360 об мин   агрузочная масса 70 кг </v>
      </c>
    </row>
    <row r="465">
      <c r="A465" s="35" t="s">
        <v>1007</v>
      </c>
      <c r="B465" s="31" t="s">
        <v>1008</v>
      </c>
      <c r="C465" s="31"/>
      <c r="D465" s="37" t="s">
        <v>14</v>
      </c>
      <c r="E465" s="10"/>
      <c r="F465" s="36"/>
      <c r="G465" s="11">
        <v>9018302.0</v>
      </c>
      <c r="H465" s="34" t="str">
        <f>IFERROR(__xludf.DUMMYFUNCTION("LOWER(REGEXREPLACE(B465&amp;"" ""&amp;C465,""[^а-яa-z0-9 ]"","" ""))")," тиральная машина с отжимом 360 об мин   агрузочная масса 85 кг ")</f>
        <v> тиральная машина с отжимом 360 об мин   агрузочная масса 85 кг </v>
      </c>
    </row>
    <row r="466">
      <c r="A466" s="35" t="s">
        <v>1009</v>
      </c>
      <c r="B466" s="31" t="s">
        <v>1010</v>
      </c>
      <c r="C466" s="31"/>
      <c r="D466" s="37" t="s">
        <v>14</v>
      </c>
      <c r="E466" s="10"/>
      <c r="F466" s="36"/>
      <c r="G466" s="11">
        <v>2799916.0</v>
      </c>
      <c r="H466" s="34" t="str">
        <f>IFERROR(__xludf.DUMMYFUNCTION("LOWER(REGEXREPLACE(B466&amp;"" ""&amp;C466,""[^а-яa-z0-9 ]"","" ""))")," тиральная машина с окончательным отжимом 1002 об мин   агрузочная масса 8 кг ")</f>
        <v> тиральная машина с окончательным отжимом 1002 об мин   агрузочная масса 8 кг </v>
      </c>
    </row>
    <row r="467">
      <c r="A467" s="35" t="s">
        <v>1011</v>
      </c>
      <c r="B467" s="31" t="s">
        <v>1012</v>
      </c>
      <c r="C467" s="31"/>
      <c r="D467" s="37" t="s">
        <v>14</v>
      </c>
      <c r="E467" s="10"/>
      <c r="F467" s="36"/>
      <c r="G467" s="11">
        <v>3000105.0</v>
      </c>
      <c r="H467" s="34" t="str">
        <f>IFERROR(__xludf.DUMMYFUNCTION("LOWER(REGEXREPLACE(B467&amp;"" ""&amp;C467,""[^а-яa-z0-9 ]"","" ""))")," тиральная машина с окончательным отжимом 1002 об мин   агрузочная масса 11 кг ")</f>
        <v> тиральная машина с окончательным отжимом 1002 об мин   агрузочная масса 11 кг </v>
      </c>
    </row>
    <row r="468">
      <c r="A468" s="35" t="s">
        <v>1013</v>
      </c>
      <c r="B468" s="31" t="s">
        <v>1014</v>
      </c>
      <c r="C468" s="31"/>
      <c r="D468" s="37" t="s">
        <v>14</v>
      </c>
      <c r="E468" s="10"/>
      <c r="F468" s="36"/>
      <c r="G468" s="11">
        <v>3845459.0</v>
      </c>
      <c r="H468" s="34" t="str">
        <f>IFERROR(__xludf.DUMMYFUNCTION("LOWER(REGEXREPLACE(B468&amp;"" ""&amp;C468,""[^а-яa-z0-9 ]"","" ""))")," тиральная машина с окончательным отжимом 947 об мин   агрузочная масса 14 кг ")</f>
        <v> тиральная машина с окончательным отжимом 947 об мин   агрузочная масса 14 кг </v>
      </c>
    </row>
    <row r="469">
      <c r="A469" s="35" t="s">
        <v>1015</v>
      </c>
      <c r="B469" s="31" t="s">
        <v>1016</v>
      </c>
      <c r="C469" s="31"/>
      <c r="D469" s="37" t="s">
        <v>14</v>
      </c>
      <c r="E469" s="10"/>
      <c r="F469" s="36"/>
      <c r="G469" s="11">
        <v>4205633.0</v>
      </c>
      <c r="H469" s="34" t="str">
        <f>IFERROR(__xludf.DUMMYFUNCTION("LOWER(REGEXREPLACE(B469&amp;"" ""&amp;C469,""[^а-яa-z0-9 ]"","" ""))")," тиральная машина с окончательным отжимом 947 об мин   агрузочная масса 18 кг ")</f>
        <v> тиральная машина с окончательным отжимом 947 об мин   агрузочная масса 18 кг </v>
      </c>
    </row>
    <row r="470">
      <c r="A470" s="35" t="s">
        <v>1017</v>
      </c>
      <c r="B470" s="31" t="s">
        <v>1018</v>
      </c>
      <c r="C470" s="31"/>
      <c r="D470" s="37" t="s">
        <v>14</v>
      </c>
      <c r="E470" s="10"/>
      <c r="F470" s="36"/>
      <c r="G470" s="11">
        <v>5187682.0</v>
      </c>
      <c r="H470" s="34" t="str">
        <f>IFERROR(__xludf.DUMMYFUNCTION("LOWER(REGEXREPLACE(B470&amp;"" ""&amp;C470,""[^а-яa-z0-9 ]"","" ""))")," тиральная машина с окончательным отжимом  947 об мин   агрузочная масса 23 кг ")</f>
        <v> тиральная машина с окончательным отжимом  947 об мин   агрузочная масса 23 кг </v>
      </c>
    </row>
    <row r="471">
      <c r="A471" s="35" t="s">
        <v>1019</v>
      </c>
      <c r="B471" s="31" t="s">
        <v>1020</v>
      </c>
      <c r="C471" s="31"/>
      <c r="D471" s="37" t="s">
        <v>14</v>
      </c>
      <c r="E471" s="10"/>
      <c r="F471" s="36"/>
      <c r="G471" s="11">
        <v>5991218.0</v>
      </c>
      <c r="H471" s="34" t="str">
        <f>IFERROR(__xludf.DUMMYFUNCTION("LOWER(REGEXREPLACE(B471&amp;"" ""&amp;C471,""[^а-яa-z0-9 ]"","" ""))")," тиральная машина с окончательным отжимом 840 об мин   агрузочная масса 26 кг ")</f>
        <v> тиральная машина с окончательным отжимом 840 об мин   агрузочная масса 26 кг </v>
      </c>
    </row>
    <row r="472">
      <c r="A472" s="35" t="s">
        <v>1021</v>
      </c>
      <c r="B472" s="31" t="s">
        <v>1022</v>
      </c>
      <c r="C472" s="31"/>
      <c r="D472" s="37" t="s">
        <v>14</v>
      </c>
      <c r="E472" s="10"/>
      <c r="F472" s="36"/>
      <c r="G472" s="11">
        <v>1.0927092E7</v>
      </c>
      <c r="H472" s="34" t="str">
        <f>IFERROR(__xludf.DUMMYFUNCTION("LOWER(REGEXREPLACE(B472&amp;"" ""&amp;C472,""[^а-яa-z0-9 ]"","" ""))")," тиральная машина с окончательным отжимом 830 об мин   агрузочная масса 40 кг ")</f>
        <v> тиральная машина с окончательным отжимом 830 об мин   агрузочная масса 40 кг </v>
      </c>
    </row>
    <row r="473">
      <c r="A473" s="35" t="s">
        <v>1023</v>
      </c>
      <c r="B473" s="31" t="s">
        <v>1024</v>
      </c>
      <c r="C473" s="31"/>
      <c r="D473" s="37" t="s">
        <v>14</v>
      </c>
      <c r="E473" s="10"/>
      <c r="F473" s="36"/>
      <c r="G473" s="11">
        <v>1.256384E7</v>
      </c>
      <c r="H473" s="34" t="str">
        <f>IFERROR(__xludf.DUMMYFUNCTION("LOWER(REGEXREPLACE(B473&amp;"" ""&amp;C473,""[^а-яa-z0-9 ]"","" ""))")," тиральная машина с окончательным отжимом 829 об мин   агрузочная масса 55 кг ")</f>
        <v> тиральная машина с окончательным отжимом 829 об мин   агрузочная масса 55 кг </v>
      </c>
    </row>
    <row r="474">
      <c r="A474" s="35" t="s">
        <v>1025</v>
      </c>
      <c r="B474" s="31" t="s">
        <v>1026</v>
      </c>
      <c r="C474" s="31"/>
      <c r="D474" s="37" t="s">
        <v>14</v>
      </c>
      <c r="E474" s="10"/>
      <c r="F474" s="36"/>
      <c r="G474" s="11">
        <v>1.5041446E7</v>
      </c>
      <c r="H474" s="34" t="str">
        <f>IFERROR(__xludf.DUMMYFUNCTION("LOWER(REGEXREPLACE(B474&amp;"" ""&amp;C474,""[^а-яa-z0-9 ]"","" ""))")," тиральная машина с окончательным отжимом 750 об мин   агрузочная масса 70 кг ")</f>
        <v> тиральная машина с окончательным отжимом 750 об мин   агрузочная масса 70 кг </v>
      </c>
    </row>
    <row r="475">
      <c r="A475" s="35" t="s">
        <v>1027</v>
      </c>
      <c r="B475" s="31" t="s">
        <v>1028</v>
      </c>
      <c r="C475" s="31"/>
      <c r="D475" s="37" t="s">
        <v>14</v>
      </c>
      <c r="E475" s="10"/>
      <c r="F475" s="36"/>
      <c r="G475" s="11">
        <v>1.6923256E7</v>
      </c>
      <c r="H475" s="34" t="str">
        <f>IFERROR(__xludf.DUMMYFUNCTION("LOWER(REGEXREPLACE(B475&amp;"" ""&amp;C475,""[^а-яa-z0-9 ]"","" ""))")," тиральная машина с окончательным отжимом 750 об мин   агрузочная масса 85 кг ")</f>
        <v> тиральная машина с окончательным отжимом 750 об мин   агрузочная масса 85 кг </v>
      </c>
    </row>
    <row r="476">
      <c r="A476" s="35" t="s">
        <v>1029</v>
      </c>
      <c r="B476" s="31" t="s">
        <v>1030</v>
      </c>
      <c r="C476" s="31"/>
      <c r="D476" s="37" t="s">
        <v>14</v>
      </c>
      <c r="E476" s="10"/>
      <c r="F476" s="36"/>
      <c r="G476" s="11">
        <v>2.1248497E7</v>
      </c>
      <c r="H476" s="34" t="str">
        <f>IFERROR(__xludf.DUMMYFUNCTION("LOWER(REGEXREPLACE(B476&amp;"" ""&amp;C476,""[^а-яa-z0-9 ]"","" ""))")," тиральная машина с окончательным отжимом 750 об мин   агрузочная масса 100 кг ")</f>
        <v> тиральная машина с окончательным отжимом 750 об мин   агрузочная масса 100 кг </v>
      </c>
    </row>
    <row r="477">
      <c r="A477" s="35" t="s">
        <v>1031</v>
      </c>
      <c r="B477" s="31" t="s">
        <v>1032</v>
      </c>
      <c r="C477" s="31"/>
      <c r="D477" s="37" t="s">
        <v>14</v>
      </c>
      <c r="E477" s="10"/>
      <c r="F477" s="36"/>
      <c r="G477" s="11">
        <v>2.2640183E7</v>
      </c>
      <c r="H477" s="34" t="str">
        <f>IFERROR(__xludf.DUMMYFUNCTION("LOWER(REGEXREPLACE(B477&amp;"" ""&amp;C477,""[^а-яa-z0-9 ]"","" ""))")," тиральная машина с окончательным отжимом 700 об мин   агрузочная масса 125 кг ")</f>
        <v> тиральная машина с окончательным отжимом 700 об мин   агрузочная масса 125 кг </v>
      </c>
    </row>
    <row r="478">
      <c r="A478" s="35" t="s">
        <v>1033</v>
      </c>
      <c r="B478" s="31" t="s">
        <v>1034</v>
      </c>
      <c r="C478" s="31"/>
      <c r="D478" s="37" t="s">
        <v>14</v>
      </c>
      <c r="E478" s="10"/>
      <c r="F478" s="36"/>
      <c r="G478" s="11">
        <v>7708004.0</v>
      </c>
      <c r="H478" s="34" t="str">
        <f>IFERROR(__xludf.DUMMYFUNCTION("LOWER(REGEXREPLACE(B478&amp;"" ""&amp;C478,""[^а-яa-z0-9 ]"","" ""))")," тиральная машина санитарно барьерного типа с окончательным отжимом 947 об мин   агрузочная масса 18 кг ")</f>
        <v> тиральная машина санитарно барьерного типа с окончательным отжимом 947 об мин   агрузочная масса 18 кг </v>
      </c>
    </row>
    <row r="479">
      <c r="A479" s="35" t="s">
        <v>1035</v>
      </c>
      <c r="B479" s="31" t="s">
        <v>1036</v>
      </c>
      <c r="C479" s="31"/>
      <c r="D479" s="37" t="s">
        <v>14</v>
      </c>
      <c r="E479" s="10"/>
      <c r="F479" s="36"/>
      <c r="G479" s="11">
        <v>8446339.0</v>
      </c>
      <c r="H479" s="34" t="str">
        <f>IFERROR(__xludf.DUMMYFUNCTION("LOWER(REGEXREPLACE(B479&amp;"" ""&amp;C479,""[^а-яa-z0-9 ]"","" ""))")," тиральная машина санитарно барьерного типа с окончательным отжимом 947 об мин   агрузочная масса 23 кг ")</f>
        <v> тиральная машина санитарно барьерного типа с окончательным отжимом 947 об мин   агрузочная масса 23 кг </v>
      </c>
    </row>
    <row r="480">
      <c r="A480" s="35" t="s">
        <v>1037</v>
      </c>
      <c r="B480" s="31" t="s">
        <v>1038</v>
      </c>
      <c r="C480" s="31"/>
      <c r="D480" s="37" t="s">
        <v>14</v>
      </c>
      <c r="E480" s="10"/>
      <c r="F480" s="36"/>
      <c r="G480" s="11">
        <v>1.1592134E7</v>
      </c>
      <c r="H480" s="34" t="str">
        <f>IFERROR(__xludf.DUMMYFUNCTION("LOWER(REGEXREPLACE(B480&amp;"" ""&amp;C480,""[^а-яa-z0-9 ]"","" ""))")," тиральная машина санитарно барьерного типа с окончательным отжимом 846 об мин   агрузочная масса 30 кг ")</f>
        <v> тиральная машина санитарно барьерного типа с окончательным отжимом 846 об мин   агрузочная масса 30 кг </v>
      </c>
    </row>
    <row r="481">
      <c r="A481" s="35" t="s">
        <v>1039</v>
      </c>
      <c r="B481" s="31" t="s">
        <v>1040</v>
      </c>
      <c r="C481" s="31"/>
      <c r="D481" s="37" t="s">
        <v>14</v>
      </c>
      <c r="E481" s="10"/>
      <c r="F481" s="36"/>
      <c r="G481" s="11">
        <v>1.7212385E7</v>
      </c>
      <c r="H481" s="34" t="str">
        <f>IFERROR(__xludf.DUMMYFUNCTION("LOWER(REGEXREPLACE(B481&amp;"" ""&amp;C481,""[^а-яa-z0-9 ]"","" ""))")," тиральная машина санитарно барьерного типа с окончательным отжимом 802 об мин   агрузочная масса 55 кг ")</f>
        <v> тиральная машина санитарно барьерного типа с окончательным отжимом 802 об мин   агрузочная масса 55 кг </v>
      </c>
    </row>
    <row r="482">
      <c r="A482" s="35" t="s">
        <v>1041</v>
      </c>
      <c r="B482" s="31" t="s">
        <v>1042</v>
      </c>
      <c r="C482" s="31"/>
      <c r="D482" s="37" t="s">
        <v>14</v>
      </c>
      <c r="E482" s="38">
        <v>2.0</v>
      </c>
      <c r="F482" s="38">
        <v>240.0</v>
      </c>
      <c r="G482" s="11">
        <v>3349369.0</v>
      </c>
      <c r="H482" s="34" t="str">
        <f>IFERROR(__xludf.DUMMYFUNCTION("LOWER(REGEXREPLACE(B482&amp;"" ""&amp;C482,""[^а-яa-z0-9 ]"","" ""))")," ашина стирально отжимная типа    11   блицовки нержавеющая сталь   агрузка 11 кг  объем барабана 100л  габаритные размеры   х х   850х750х1125 мм  напряжение 380  ")</f>
        <v> ашина стирально отжимная типа    11   блицовки нержавеющая сталь   агрузка 11 кг  объем барабана 100л  габаритные размеры   х х   850х750х1125 мм  напряжение 380  </v>
      </c>
    </row>
    <row r="483">
      <c r="A483" s="35" t="s">
        <v>1043</v>
      </c>
      <c r="B483" s="31" t="s">
        <v>1044</v>
      </c>
      <c r="C483" s="31"/>
      <c r="D483" s="37" t="s">
        <v>14</v>
      </c>
      <c r="E483" s="38">
        <v>2.0</v>
      </c>
      <c r="F483" s="38">
        <v>452.0</v>
      </c>
      <c r="G483" s="11">
        <v>4649652.0</v>
      </c>
      <c r="H483" s="34" t="str">
        <f>IFERROR(__xludf.DUMMYFUNCTION("LOWER(REGEXREPLACE(B483&amp;"" ""&amp;C483,""[^а-яa-z0-9 ]"","" ""))")," ашина стирально отжимная типа    15   блицовки нержавеющая сталь   агрузка 15 кг  объем барабана 150л  габаритные размеры   х х   935х930х1330 мм  напряжение 380  ")</f>
        <v> ашина стирально отжимная типа    15   блицовки нержавеющая сталь   агрузка 15 кг  объем барабана 150л  габаритные размеры   х х   935х930х1330 мм  напряжение 380  </v>
      </c>
    </row>
    <row r="484">
      <c r="A484" s="35" t="s">
        <v>1045</v>
      </c>
      <c r="B484" s="31" t="s">
        <v>1046</v>
      </c>
      <c r="C484" s="31"/>
      <c r="D484" s="37" t="s">
        <v>14</v>
      </c>
      <c r="E484" s="38">
        <v>2.0</v>
      </c>
      <c r="F484" s="38">
        <v>510.0</v>
      </c>
      <c r="G484" s="11">
        <v>5603435.0</v>
      </c>
      <c r="H484" s="34" t="str">
        <f>IFERROR(__xludf.DUMMYFUNCTION("LOWER(REGEXREPLACE(B484&amp;"" ""&amp;C484,""[^а-яa-z0-9 ]"","" ""))")," ашина стирально отжимная типа    20   блицовки нержавеющая сталь   агрузка 20 кг  объем барабана 200л  габаритные размеры   х х   1020х1015х1440 мм  напряжение 380  ")</f>
        <v> ашина стирально отжимная типа    20   блицовки нержавеющая сталь   агрузка 20 кг  объем барабана 200л  габаритные размеры   х х   1020х1015х1440 мм  напряжение 380  </v>
      </c>
    </row>
    <row r="485">
      <c r="A485" s="35" t="s">
        <v>1047</v>
      </c>
      <c r="B485" s="31" t="s">
        <v>1048</v>
      </c>
      <c r="C485" s="31"/>
      <c r="D485" s="37" t="s">
        <v>14</v>
      </c>
      <c r="E485" s="38">
        <v>2.0</v>
      </c>
      <c r="F485" s="38">
        <v>733.0</v>
      </c>
      <c r="G485" s="11">
        <v>6958176.0</v>
      </c>
      <c r="H485" s="34" t="str">
        <f>IFERROR(__xludf.DUMMYFUNCTION("LOWER(REGEXREPLACE(B485&amp;"" ""&amp;C485,""[^а-яa-z0-9 ]"","" ""))")," ашина стирально отжимная типа    25   блицовки нержавеющая сталь   агрузка 25 кг  объем барабана 250л  габаритные размеры   х х   1080х1190х1585 мм  напряжение 380  ")</f>
        <v> ашина стирально отжимная типа    25   блицовки нержавеющая сталь   агрузка 25 кг  объем барабана 250л  габаритные размеры   х х   1080х1190х1585 мм  напряжение 380  </v>
      </c>
    </row>
    <row r="486">
      <c r="A486" s="35" t="s">
        <v>1049</v>
      </c>
      <c r="B486" s="31" t="s">
        <v>1050</v>
      </c>
      <c r="C486" s="31"/>
      <c r="D486" s="37" t="s">
        <v>14</v>
      </c>
      <c r="E486" s="38">
        <v>2.0</v>
      </c>
      <c r="F486" s="38">
        <v>755.0</v>
      </c>
      <c r="G486" s="11">
        <v>8465438.0</v>
      </c>
      <c r="H486" s="34" t="str">
        <f>IFERROR(__xludf.DUMMYFUNCTION("LOWER(REGEXREPLACE(B486&amp;"" ""&amp;C486,""[^а-яa-z0-9 ]"","" ""))")," ашина стирально отжимная типа    30   блицовки нержавеющая сталь   агрузка 30 кг  объем барабана 300л  габаритные размеры   х х   1180х1185х1550 мм  напряжение 380  ")</f>
        <v> ашина стирально отжимная типа    30   блицовки нержавеющая сталь   агрузка 30 кг  объем барабана 300л  габаритные размеры   х х   1180х1185х1550 мм  напряжение 380  </v>
      </c>
    </row>
    <row r="487">
      <c r="A487" s="35" t="s">
        <v>1051</v>
      </c>
      <c r="B487" s="31" t="s">
        <v>1052</v>
      </c>
      <c r="C487" s="31"/>
      <c r="D487" s="37" t="s">
        <v>14</v>
      </c>
      <c r="E487" s="38">
        <v>2.0</v>
      </c>
      <c r="F487" s="38">
        <v>955.0</v>
      </c>
      <c r="G487" s="11">
        <v>1.0227061E7</v>
      </c>
      <c r="H487" s="34" t="str">
        <f>IFERROR(__xludf.DUMMYFUNCTION("LOWER(REGEXREPLACE(B487&amp;"" ""&amp;C487,""[^а-яa-z0-9 ]"","" ""))")," ашина стирально отжимная типа    40   блицовки нержавеющая сталь   агрузка 40 кг  объем барабана 400л  габаритные размеры   х х   1290х1265х1700 мм  напряжение 380  ")</f>
        <v> ашина стирально отжимная типа    40   блицовки нержавеющая сталь   агрузка 40 кг  объем барабана 400л  габаритные размеры   х х   1290х1265х1700 мм  напряжение 380  </v>
      </c>
    </row>
    <row r="488">
      <c r="A488" s="35" t="s">
        <v>1053</v>
      </c>
      <c r="B488" s="31" t="s">
        <v>1054</v>
      </c>
      <c r="C488" s="31"/>
      <c r="D488" s="37" t="s">
        <v>14</v>
      </c>
      <c r="E488" s="38">
        <v>2.0</v>
      </c>
      <c r="F488" s="38">
        <v>1890.0</v>
      </c>
      <c r="G488" s="11">
        <v>1.2550578E7</v>
      </c>
      <c r="H488" s="34" t="str">
        <f>IFERROR(__xludf.DUMMYFUNCTION("LOWER(REGEXREPLACE(B488&amp;"" ""&amp;C488,""[^а-яa-z0-9 ]"","" ""))")," ашина стирально отжимная типа    50   блицовки нержавеющая сталь   агрузка 50 кг  объем барабана 500 л  габаритные размеры   х х   1450х1345х1905 мм  напряжение 380  ")</f>
        <v> ашина стирально отжимная типа    50   блицовки нержавеющая сталь   агрузка 50 кг  объем барабана 500 л  габаритные размеры   х х   1450х1345х1905 мм  напряжение 380  </v>
      </c>
    </row>
    <row r="489">
      <c r="A489" s="35" t="s">
        <v>1055</v>
      </c>
      <c r="B489" s="31" t="s">
        <v>1056</v>
      </c>
      <c r="C489" s="31"/>
      <c r="D489" s="37" t="s">
        <v>14</v>
      </c>
      <c r="E489" s="38">
        <v>2.0</v>
      </c>
      <c r="F489" s="38">
        <v>1860.0</v>
      </c>
      <c r="G489" s="11">
        <v>1.440799E7</v>
      </c>
      <c r="H489" s="34" t="str">
        <f>IFERROR(__xludf.DUMMYFUNCTION("LOWER(REGEXREPLACE(B489&amp;"" ""&amp;C489,""[^а-яa-z0-9 ]"","" ""))")," ашина стирально отжимная типа    60   блицовки нержавеющая сталь   агрузка 60 кг  объем барабана 600 л  габаритные размеры   х х   1460х1494х1895 мм  напряжение 380  ")</f>
        <v> ашина стирально отжимная типа    60   блицовки нержавеющая сталь   агрузка 60 кг  объем барабана 600 л  габаритные размеры   х х   1460х1494х1895 мм  напряжение 380  </v>
      </c>
    </row>
    <row r="490">
      <c r="A490" s="35" t="s">
        <v>1057</v>
      </c>
      <c r="B490" s="31" t="s">
        <v>1058</v>
      </c>
      <c r="C490" s="31"/>
      <c r="D490" s="37" t="s">
        <v>14</v>
      </c>
      <c r="E490" s="38">
        <v>2.0</v>
      </c>
      <c r="F490" s="38">
        <v>2260.0</v>
      </c>
      <c r="G490" s="11">
        <v>2.0524989E7</v>
      </c>
      <c r="H490" s="34" t="str">
        <f>IFERROR(__xludf.DUMMYFUNCTION("LOWER(REGEXREPLACE(B490&amp;"" ""&amp;C490,""[^а-яa-z0-9 ]"","" ""))")," ашина стирально отжимная типа    80   блицовки нержавеющая сталь   агрузка 80 кг  объем барабана 800 л  габаритные размеры   х х   1570х1690х2215 мм  напряжение 380  ")</f>
        <v> ашина стирально отжимная типа    80   блицовки нержавеющая сталь   агрузка 80 кг  объем барабана 800 л  габаритные размеры   х х   1570х1690х2215 мм  напряжение 380  </v>
      </c>
    </row>
    <row r="491">
      <c r="A491" s="35" t="s">
        <v>1059</v>
      </c>
      <c r="B491" s="31" t="s">
        <v>1060</v>
      </c>
      <c r="C491" s="31"/>
      <c r="D491" s="37" t="s">
        <v>14</v>
      </c>
      <c r="E491" s="38">
        <v>2.0</v>
      </c>
      <c r="F491" s="38">
        <v>2975.0</v>
      </c>
      <c r="G491" s="11">
        <v>2.244455E7</v>
      </c>
      <c r="H491" s="34" t="str">
        <f>IFERROR(__xludf.DUMMYFUNCTION("LOWER(REGEXREPLACE(B491&amp;"" ""&amp;C491,""[^а-яa-z0-9 ]"","" ""))")," ашина стирально отжимная типа    100   блицовки нержавеющая сталь   агрузка 100 кг  объем барабана 1000 л  габаритные размеры   х х   1730х1690х2215 мм  напряжение 380  ")</f>
        <v> ашина стирально отжимная типа    100   блицовки нержавеющая сталь   агрузка 100 кг  объем барабана 1000 л  габаритные размеры   х х   1730х1690х2215 мм  напряжение 380  </v>
      </c>
    </row>
    <row r="492">
      <c r="A492" s="35" t="s">
        <v>1061</v>
      </c>
      <c r="B492" s="31" t="s">
        <v>1062</v>
      </c>
      <c r="C492" s="31"/>
      <c r="D492" s="37" t="s">
        <v>14</v>
      </c>
      <c r="E492" s="38">
        <v>2.0</v>
      </c>
      <c r="F492" s="38">
        <v>818.0</v>
      </c>
      <c r="G492" s="11">
        <v>9987894.0</v>
      </c>
      <c r="H492" s="34" t="str">
        <f>IFERROR(__xludf.DUMMYFUNCTION("LOWER(REGEXREPLACE(B492&amp;"" ""&amp;C492,""[^а-яa-z0-9 ]"","" ""))")," ашина стирально отжимная барьерная типа    20   блицовки нержавеющая сталь   агрузка 20 кг  объем барабана 200 л  габаритные размеры   х х   1090х1080х1800 мм  напряжение 380  ")</f>
        <v> ашина стирально отжимная барьерная типа    20   блицовки нержавеющая сталь   агрузка 20 кг  объем барабана 200 л  габаритные размеры   х х   1090х1080х1800 мм  напряжение 380  </v>
      </c>
    </row>
    <row r="493">
      <c r="A493" s="35" t="s">
        <v>1063</v>
      </c>
      <c r="B493" s="31" t="s">
        <v>1064</v>
      </c>
      <c r="C493" s="31"/>
      <c r="D493" s="37" t="s">
        <v>14</v>
      </c>
      <c r="E493" s="38">
        <v>2.0</v>
      </c>
      <c r="F493" s="38">
        <v>895.0</v>
      </c>
      <c r="G493" s="11">
        <v>1.2754909E7</v>
      </c>
      <c r="H493" s="34" t="str">
        <f>IFERROR(__xludf.DUMMYFUNCTION("LOWER(REGEXREPLACE(B493&amp;"" ""&amp;C493,""[^а-яa-z0-9 ]"","" ""))")," ашина стирально отжимная барьерная типа    30   блицовки нержавеющая сталь   агрузка 30 кг  объем барабана 300 л  габаритные размеры   х х   1090х1340х1800 мм  напряжение 380  ")</f>
        <v> ашина стирально отжимная барьерная типа    30   блицовки нержавеющая сталь   агрузка 30 кг  объем барабана 300 л  габаритные размеры   х х   1090х1340х1800 мм  напряжение 380  </v>
      </c>
    </row>
    <row r="494">
      <c r="A494" s="35" t="s">
        <v>1065</v>
      </c>
      <c r="B494" s="31" t="s">
        <v>1066</v>
      </c>
      <c r="C494" s="31"/>
      <c r="D494" s="37" t="s">
        <v>14</v>
      </c>
      <c r="E494" s="38">
        <v>2.0</v>
      </c>
      <c r="F494" s="38">
        <v>980.0</v>
      </c>
      <c r="G494" s="11">
        <v>1.4774064E7</v>
      </c>
      <c r="H494" s="34" t="str">
        <f>IFERROR(__xludf.DUMMYFUNCTION("LOWER(REGEXREPLACE(B494&amp;"" ""&amp;C494,""[^а-яa-z0-9 ]"","" ""))")," ашина стирально отжимная барьерная типа    40   блицовки нержавеющая сталь   агрузка 40 кг  объем барабана 400 л  габаритные размеры   х х   1090х1600х1800 мм  напряжение 380  ")</f>
        <v> ашина стирально отжимная барьерная типа    40   блицовки нержавеющая сталь   агрузка 40 кг  объем барабана 400 л  габаритные размеры   х х   1090х1600х1800 мм  напряжение 380  </v>
      </c>
    </row>
    <row r="495">
      <c r="A495" s="35" t="s">
        <v>1067</v>
      </c>
      <c r="B495" s="31" t="s">
        <v>1068</v>
      </c>
      <c r="C495" s="31"/>
      <c r="D495" s="37" t="s">
        <v>14</v>
      </c>
      <c r="E495" s="38">
        <v>2.0</v>
      </c>
      <c r="F495" s="38">
        <v>1320.0</v>
      </c>
      <c r="G495" s="11">
        <v>1.8402861E7</v>
      </c>
      <c r="H495" s="34" t="str">
        <f>IFERROR(__xludf.DUMMYFUNCTION("LOWER(REGEXREPLACE(B495&amp;"" ""&amp;C495,""[^а-яa-z0-9 ]"","" ""))"),"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f>
        <v>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v>
      </c>
    </row>
    <row r="496">
      <c r="A496" s="35" t="s">
        <v>1069</v>
      </c>
      <c r="B496" s="31" t="s">
        <v>1070</v>
      </c>
      <c r="C496" s="31"/>
      <c r="D496" s="37" t="s">
        <v>14</v>
      </c>
      <c r="E496" s="38">
        <v>2.0</v>
      </c>
      <c r="F496" s="38">
        <v>3180.0</v>
      </c>
      <c r="G496" s="11">
        <v>3.0149428E7</v>
      </c>
      <c r="H496" s="34" t="str">
        <f>IFERROR(__xludf.DUMMYFUNCTION("LOWER(REGEXREPLACE(B496&amp;"" ""&amp;C496,""[^а-яa-z0-9 ]"","" ""))"),"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f>
        <v>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v>
      </c>
    </row>
    <row r="497">
      <c r="A497" s="35" t="s">
        <v>1071</v>
      </c>
      <c r="B497" s="31" t="s">
        <v>1072</v>
      </c>
      <c r="C497" s="31"/>
      <c r="D497" s="37" t="s">
        <v>14</v>
      </c>
      <c r="E497" s="38">
        <v>2.0</v>
      </c>
      <c r="F497" s="38">
        <v>231.0</v>
      </c>
      <c r="G497" s="11">
        <v>2662415.0</v>
      </c>
      <c r="H497" s="34" t="str">
        <f>IFERROR(__xludf.DUMMYFUNCTION("LOWER(REGEXREPLACE(B497&amp;"" ""&amp;C497,""[^а-яa-z0-9 ]"","" ""))")," ашина стирально отжимная типа   11   блицовки окрашенная сталь   агрузка 11 кг  объем барабана 100 л  габаритные размеры   х х   815х760х1230 мм  напряжение 380  ")</f>
        <v> ашина стирально отжимная типа   11   блицовки окрашенная сталь   агрузка 11 кг  объем барабана 100 л  габаритные размеры   х х   815х760х1230 мм  напряжение 380  </v>
      </c>
    </row>
    <row r="498">
      <c r="A498" s="35" t="s">
        <v>1073</v>
      </c>
      <c r="B498" s="31" t="s">
        <v>1074</v>
      </c>
      <c r="C498" s="31"/>
      <c r="D498" s="37" t="s">
        <v>14</v>
      </c>
      <c r="E498" s="38">
        <v>2.0</v>
      </c>
      <c r="F498" s="38">
        <v>287.0</v>
      </c>
      <c r="G498" s="11">
        <v>3363428.0</v>
      </c>
      <c r="H498" s="34" t="str">
        <f>IFERROR(__xludf.DUMMYFUNCTION("LOWER(REGEXREPLACE(B498&amp;"" ""&amp;C498,""[^а-яa-z0-9 ]"","" ""))")," ашина стирально отжимная типа   15   блицовки окрашенная сталь   агрузка 15 кг  объем барабана 150 л  габаритные размеры   х х   850х870х1380 мм  напряжение 380  ")</f>
        <v> ашина стирально отжимная типа   15   блицовки окрашенная сталь   агрузка 15 кг  объем барабана 150 л  габаритные размеры   х х   850х870х1380 мм  напряжение 380  </v>
      </c>
    </row>
    <row r="499">
      <c r="A499" s="35" t="s">
        <v>1075</v>
      </c>
      <c r="B499" s="31" t="s">
        <v>1076</v>
      </c>
      <c r="C499" s="31"/>
      <c r="D499" s="37" t="s">
        <v>14</v>
      </c>
      <c r="E499" s="38">
        <v>2.0</v>
      </c>
      <c r="F499" s="38">
        <v>301.0</v>
      </c>
      <c r="G499" s="11">
        <v>3661191.0</v>
      </c>
      <c r="H499" s="34" t="str">
        <f>IFERROR(__xludf.DUMMYFUNCTION("LOWER(REGEXREPLACE(B499&amp;"" ""&amp;C499,""[^а-яa-z0-9 ]"","" ""))")," ашина стирально отжимная типа   18   блицовки окрашенная сталь   агрузка 18 кг  объем барабана 180 л  габаритные размеры   х х   920х870х1380 мм  напряжение 380  ")</f>
        <v> ашина стирально отжимная типа   18   блицовки окрашенная сталь   агрузка 18 кг  объем барабана 180 л  габаритные размеры   х х   920х870х1380 мм  напряжение 380  </v>
      </c>
    </row>
    <row r="500">
      <c r="A500" s="35" t="s">
        <v>1077</v>
      </c>
      <c r="B500" s="31" t="s">
        <v>1078</v>
      </c>
      <c r="C500" s="31"/>
      <c r="D500" s="37" t="s">
        <v>14</v>
      </c>
      <c r="E500" s="38">
        <v>2.0</v>
      </c>
      <c r="F500" s="38">
        <v>340.0</v>
      </c>
      <c r="G500" s="11">
        <v>4143791.0</v>
      </c>
      <c r="H500" s="34" t="str">
        <f>IFERROR(__xludf.DUMMYFUNCTION("LOWER(REGEXREPLACE(B500&amp;"" ""&amp;C500,""[^а-яa-z0-9 ]"","" ""))")," ашина стирально отжимная типа   25   блицовки окрашенная сталь   агрузка 25 кг  объем барабана 250 л  габаритные размеры   х х   955х970х1445 мм  напряжение 380  ")</f>
        <v> ашина стирально отжимная типа   25   блицовки окрашенная сталь   агрузка 25 кг  объем барабана 250 л  габаритные размеры   х х   955х970х1445 мм  напряжение 380  </v>
      </c>
    </row>
    <row r="501">
      <c r="A501" s="35" t="s">
        <v>1079</v>
      </c>
      <c r="B501" s="31" t="s">
        <v>1080</v>
      </c>
      <c r="C501" s="31"/>
      <c r="D501" s="37" t="s">
        <v>14</v>
      </c>
      <c r="E501" s="38">
        <v>2.0</v>
      </c>
      <c r="F501" s="38">
        <v>506.0</v>
      </c>
      <c r="G501" s="11">
        <v>5338117.0</v>
      </c>
      <c r="H501" s="34" t="str">
        <f>IFERROR(__xludf.DUMMYFUNCTION("LOWER(REGEXREPLACE(B501&amp;"" ""&amp;C501,""[^а-яa-z0-9 ]"","" ""))")," ашина стирально отжимная типа   35   блицовки окрашенная сталь   агрузка 35 кг  объем барабана 350 л  габаритные размеры   х х   1050х1115х1550 мм  напряжение 380  ")</f>
        <v> ашина стирально отжимная типа   35   блицовки окрашенная сталь   агрузка 35 кг  объем барабана 350 л  габаритные размеры   х х   1050х1115х1550 мм  напряжение 380  </v>
      </c>
    </row>
    <row r="502">
      <c r="A502" s="35" t="s">
        <v>1081</v>
      </c>
      <c r="B502" s="31" t="s">
        <v>1082</v>
      </c>
      <c r="C502" s="31"/>
      <c r="D502" s="37" t="s">
        <v>14</v>
      </c>
      <c r="E502" s="38">
        <v>2.0</v>
      </c>
      <c r="F502" s="38">
        <v>630.0</v>
      </c>
      <c r="G502" s="11">
        <v>6578709.0</v>
      </c>
      <c r="H502" s="34" t="str">
        <f>IFERROR(__xludf.DUMMYFUNCTION("LOWER(REGEXREPLACE(B502&amp;"" ""&amp;C502,""[^а-яa-z0-9 ]"","" ""))")," ашина стирально отжимная типа   50   блицовки окрашенная сталь   агрузка 50 кг  объем барабана 500 л  габаритные размеры   х х   1350х1130х1660 мм  напряжение 380  ")</f>
        <v> ашина стирально отжимная типа   50   блицовки окрашенная сталь   агрузка 50 кг  объем барабана 500 л  габаритные размеры   х х   1350х1130х1660 мм  напряжение 380  </v>
      </c>
    </row>
    <row r="503">
      <c r="A503" s="35" t="s">
        <v>1083</v>
      </c>
      <c r="B503" s="9" t="s">
        <v>1084</v>
      </c>
      <c r="C503" s="31" t="s">
        <v>1085</v>
      </c>
      <c r="D503" s="37" t="s">
        <v>14</v>
      </c>
      <c r="E503" s="38">
        <v>2.0</v>
      </c>
      <c r="F503" s="38">
        <v>240.0</v>
      </c>
      <c r="G503" s="11">
        <v>4096650.0</v>
      </c>
      <c r="H503" s="34" t="str">
        <f>IFERROR(__xludf.DUMMYFUNCTION("LOWER(REGEXREPLACE(B503&amp;"" ""&amp;C503,""[^а-яa-z0-9 ]"","" ""))"),"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"&amp;"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310 мм   вес 190 кг  обогрев электрический подготовленна к паровому обогреву ")</f>
        <v>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310 мм   вес 190 кг  обогрев электрический подготовленна к паровому обогреву </v>
      </c>
    </row>
    <row r="504">
      <c r="A504" s="35" t="s">
        <v>1086</v>
      </c>
      <c r="B504" s="9" t="s">
        <v>1087</v>
      </c>
      <c r="C504" s="31" t="s">
        <v>1088</v>
      </c>
      <c r="D504" s="37" t="s">
        <v>14</v>
      </c>
      <c r="E504" s="38">
        <v>2.0</v>
      </c>
      <c r="F504" s="38">
        <v>260.0</v>
      </c>
      <c r="G504" s="11">
        <v>5251179.0</v>
      </c>
      <c r="H504" s="34" t="str">
        <f>IFERROR(__xludf.DUMMYFUNCTION("LOWER(REGEXREPLACE(B504&amp;"" ""&amp;C504,""[^а-яa-z0-9 ]"","" ""))"),"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"&amp;"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обогрев электрический подготовленна к паровому обогреву ")</f>
        <v>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5">
      <c r="A505" s="35" t="s">
        <v>1089</v>
      </c>
      <c r="B505" s="9" t="s">
        <v>1090</v>
      </c>
      <c r="C505" s="31" t="s">
        <v>1088</v>
      </c>
      <c r="D505" s="37" t="s">
        <v>14</v>
      </c>
      <c r="E505" s="38">
        <v>2.0</v>
      </c>
      <c r="F505" s="38">
        <v>330.0</v>
      </c>
      <c r="G505" s="11">
        <v>6303803.0</v>
      </c>
      <c r="H505" s="34" t="str">
        <f>IFERROR(__xludf.DUMMYFUNCTION("LOWER(REGEXREPLACE(B505&amp;"" ""&amp;C505,""[^а-яa-z0-9 ]"","" ""))"),"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200"&amp;"  обогрев электрический подготовленна к паровому обогреву ")</f>
        <v>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6">
      <c r="A506" s="35" t="s">
        <v>1091</v>
      </c>
      <c r="B506" s="9" t="s">
        <v>1092</v>
      </c>
      <c r="C506" s="31" t="s">
        <v>1093</v>
      </c>
      <c r="D506" s="37" t="s">
        <v>14</v>
      </c>
      <c r="E506" s="38">
        <v>2.0</v>
      </c>
      <c r="F506" s="38">
        <v>610.0</v>
      </c>
      <c r="G506" s="11">
        <v>7610095.0</v>
      </c>
      <c r="H506" s="34" t="str">
        <f>IFERROR(__xludf.DUMMYFUNCTION("LOWER(REGEXREPLACE(B506&amp;"" ""&amp;C506,""[^а-яa-z0-9 ]"","" ""))"),"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2"&amp;"00  обогрев комбинированный электрический и паровой ")</f>
        <v>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комбинированный электрический и паровой </v>
      </c>
    </row>
    <row r="507">
      <c r="A507" s="35" t="s">
        <v>1094</v>
      </c>
      <c r="B507" s="9" t="s">
        <v>1095</v>
      </c>
      <c r="C507" s="31" t="s">
        <v>1096</v>
      </c>
      <c r="D507" s="37" t="s">
        <v>14</v>
      </c>
      <c r="E507" s="38">
        <v>2.0</v>
      </c>
      <c r="F507" s="38">
        <v>290.0</v>
      </c>
      <c r="G507" s="11">
        <v>4990964.0</v>
      </c>
      <c r="H507" s="34" t="str">
        <f>IFERROR(__xludf.DUMMYFUNCTION("LOWER(REGEXREPLACE(B507&amp;"" ""&amp;C507,""[^а-яa-z0-9 ]"","" ""))"),"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"&amp;"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f"&amp;"orce 400  обогрев электрический подготовленна к паровому обогреву ")</f>
        <v>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8">
      <c r="A508" s="35" t="s">
        <v>1097</v>
      </c>
      <c r="B508" s="9" t="s">
        <v>1098</v>
      </c>
      <c r="C508" s="31" t="s">
        <v>1099</v>
      </c>
      <c r="D508" s="37" t="s">
        <v>14</v>
      </c>
      <c r="E508" s="38">
        <v>2.0</v>
      </c>
      <c r="F508" s="38">
        <v>340.0</v>
      </c>
      <c r="G508" s="11">
        <v>6509798.0</v>
      </c>
      <c r="H508" s="34" t="str">
        <f>IFERROR(__xludf.DUMMYFUNCTION("LOWER(REGEXREPLACE(B508&amp;"" ""&amp;C508,""[^а-яa-z0-9 ]"","" ""))"),"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"&amp;"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"&amp;"force 400  обогрев электрический подготовленна к паровому обогреву ")</f>
        <v>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9">
      <c r="A509" s="35" t="s">
        <v>1100</v>
      </c>
      <c r="B509" s="9" t="s">
        <v>1101</v>
      </c>
      <c r="C509" s="31" t="s">
        <v>1096</v>
      </c>
      <c r="D509" s="37" t="s">
        <v>14</v>
      </c>
      <c r="E509" s="38">
        <v>2.0</v>
      </c>
      <c r="F509" s="38">
        <v>450.0</v>
      </c>
      <c r="G509" s="11">
        <v>8274750.0</v>
      </c>
      <c r="H509" s="34" t="str">
        <f>IFERROR(__xludf.DUMMYFUNCTION("LOWER(REGEXREPLACE(B509&amp;"" ""&amp;C509,""[^а-яa-z0-9 ]"","" ""))"),"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мм"&amp;"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0">
      <c r="A510" s="35" t="s">
        <v>1102</v>
      </c>
      <c r="B510" s="9" t="s">
        <v>1103</v>
      </c>
      <c r="C510" s="31" t="s">
        <v>1096</v>
      </c>
      <c r="D510" s="37" t="s">
        <v>14</v>
      </c>
      <c r="E510" s="38">
        <v>2.0</v>
      </c>
      <c r="F510" s="38">
        <v>660.0</v>
      </c>
      <c r="G510" s="11">
        <v>1.0625865E7</v>
      </c>
      <c r="H510" s="34" t="str">
        <f>IFERROR(__xludf.DUMMYFUNCTION("LOWER(REGEXREPLACE(B510&amp;"" ""&amp;C510,""[^а-яa-z0-9 ]"","" ""))"),"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м"&amp;"м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1">
      <c r="A511" s="35" t="s">
        <v>1104</v>
      </c>
      <c r="B511" s="9" t="s">
        <v>1105</v>
      </c>
      <c r="C511" s="31" t="s">
        <v>1106</v>
      </c>
      <c r="D511" s="37" t="s">
        <v>14</v>
      </c>
      <c r="E511" s="38">
        <v>2.0</v>
      </c>
      <c r="F511" s="38">
        <v>1290.0</v>
      </c>
      <c r="G511" s="11">
        <v>1.836621E7</v>
      </c>
      <c r="H511" s="34" t="str">
        <f>IFERROR(__xludf.DUMMYFUNCTION("LOWER(REGEXREPLACE(B511&amp;"" ""&amp;C511,""[^а-яa-z0-9 ]"","" ""))"),"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мм"&amp;"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350  обогрев электрический подготовленна к паровому обогреву ")</f>
        <v>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350  обогрев электрический подготовленна к паровому обогреву </v>
      </c>
    </row>
    <row r="512">
      <c r="A512" s="35" t="s">
        <v>1107</v>
      </c>
      <c r="B512" s="9" t="s">
        <v>1108</v>
      </c>
      <c r="C512" s="31" t="s">
        <v>1109</v>
      </c>
      <c r="D512" s="37" t="s">
        <v>14</v>
      </c>
      <c r="E512" s="38">
        <v>2.0</v>
      </c>
      <c r="F512" s="38">
        <v>2210.0</v>
      </c>
      <c r="G512" s="11">
        <v>2.2745051E7</v>
      </c>
      <c r="H512" s="34" t="str">
        <f>IFERROR(__xludf.DUMMYFUNCTION("LOWER(REGEXREPLACE(B512&amp;"" ""&amp;C512,""[^а-яa-z0-9 ]"","" ""))"),"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комбинированный электрический и паровой ")</f>
        <v>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комбинированный электрический и паровой </v>
      </c>
    </row>
    <row r="513">
      <c r="A513" s="35" t="s">
        <v>1110</v>
      </c>
      <c r="B513" s="9" t="s">
        <v>1111</v>
      </c>
      <c r="C513" s="31" t="s">
        <v>1112</v>
      </c>
      <c r="D513" s="37" t="s">
        <v>14</v>
      </c>
      <c r="E513" s="38">
        <v>2.0</v>
      </c>
      <c r="F513" s="38">
        <v>2400.0</v>
      </c>
      <c r="G513" s="11">
        <v>2.5949411E7</v>
      </c>
      <c r="H513" s="34" t="str">
        <f>IFERROR(__xludf.DUMMYFUNCTION("LOWER(REGEXREPLACE(B513&amp;"" ""&amp;C513,""[^а-яa-z0-9 ]"","" ""))"),"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электрический подготовленна к паровому обогреву ")</f>
        <v>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электрический подготовленна к паровому обогреву </v>
      </c>
    </row>
    <row r="514">
      <c r="A514" s="35" t="s">
        <v>1113</v>
      </c>
      <c r="B514" s="9" t="s">
        <v>1114</v>
      </c>
      <c r="C514" s="31" t="s">
        <v>1115</v>
      </c>
      <c r="D514" s="37" t="s">
        <v>14</v>
      </c>
      <c r="E514" s="38">
        <v>2.0</v>
      </c>
      <c r="F514" s="38">
        <v>3370.0</v>
      </c>
      <c r="G514" s="11">
        <v>3.1326413E7</v>
      </c>
      <c r="H514" s="34" t="str">
        <f>IFERROR(__xludf.DUMMYFUNCTION("LOWER(REGEXREPLACE(B514&amp;"" ""&amp;C514,""[^а-яa-z0-9 ]"",""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1774х1761х2"&amp;"092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с"&amp;"пециальную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320  обогрев электрический подготовленна к паровому обогреву ")</f>
        <v>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5">
      <c r="A515" s="35" t="s">
        <v>1116</v>
      </c>
      <c r="B515" s="9" t="s">
        <v>1117</v>
      </c>
      <c r="C515" s="31" t="s">
        <v>1118</v>
      </c>
      <c r="D515" s="37" t="s">
        <v>14</v>
      </c>
      <c r="E515" s="38">
        <v>2.0</v>
      </c>
      <c r="F515" s="38">
        <v>3420.0</v>
      </c>
      <c r="G515" s="11">
        <v>3.6027139E7</v>
      </c>
      <c r="H515" s="34" t="str">
        <f>IFERROR(__xludf.DUMMYFUNCTION("LOWER(REGEXREPLACE(B515&amp;"" ""&amp;C515,""[^а-яa-z0-9 ]"",""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1774х1828х2"&amp;"092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6">
      <c r="A516" s="35" t="s">
        <v>1119</v>
      </c>
      <c r="B516" s="9" t="s">
        <v>1120</v>
      </c>
      <c r="C516" s="31" t="s">
        <v>1121</v>
      </c>
      <c r="D516" s="37" t="s">
        <v>14</v>
      </c>
      <c r="E516" s="38">
        <v>2.0</v>
      </c>
      <c r="F516" s="38">
        <v>3700.0</v>
      </c>
      <c r="G516" s="11">
        <v>3.5044783E7</v>
      </c>
      <c r="H516" s="34" t="str">
        <f>IFERROR(__xludf.DUMMYFUNCTION("LOWER(REGEXREPLACE(B516&amp;"" ""&amp;C516,""[^а-яa-z0-9 ]"",""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1850х1825х2"&amp;"285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"&amp;"компонентов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инверте"&amp;"р      порт  индикатор оставшегося времени    force 320  обогрев электрический подготовленна к паровому обогреву ")</f>
        <v>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7">
      <c r="A517" s="35" t="s">
        <v>1122</v>
      </c>
      <c r="B517" s="9" t="s">
        <v>1123</v>
      </c>
      <c r="C517" s="31" t="s">
        <v>1118</v>
      </c>
      <c r="D517" s="37" t="s">
        <v>14</v>
      </c>
      <c r="E517" s="38">
        <v>2.0</v>
      </c>
      <c r="F517" s="38">
        <v>3780.0</v>
      </c>
      <c r="G517" s="11">
        <v>3.9745631E7</v>
      </c>
      <c r="H517" s="34" t="str">
        <f>IFERROR(__xludf.DUMMYFUNCTION("LOWER(REGEXREPLACE(B517&amp;"" ""&amp;C517,""[^а-яa-z0-9 ]"",""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1850х1895х2"&amp;"290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8">
      <c r="A518" s="35" t="s">
        <v>1124</v>
      </c>
      <c r="B518" s="9" t="s">
        <v>1125</v>
      </c>
      <c r="C518" s="31" t="s">
        <v>1126</v>
      </c>
      <c r="D518" s="37" t="s">
        <v>14</v>
      </c>
      <c r="E518" s="38">
        <v>2.0</v>
      </c>
      <c r="F518" s="38">
        <v>900.0</v>
      </c>
      <c r="G518" s="11">
        <v>2.6210882E7</v>
      </c>
      <c r="H518" s="34" t="str">
        <f>IFERROR(__xludf.DUMMYFUNCTION("LOWER(REGEXREPLACE(B518&amp;"" ""&amp;C518,""[^а-яa-z0-9 ]"","" ""))"),"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1290х1222"&amp;"х1496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средств"&amp;"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времени"&amp;"    force 250  обогрев электрический подготовленна к паровому обогреву ")</f>
        <v>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19">
      <c r="A519" s="35" t="s">
        <v>1127</v>
      </c>
      <c r="B519" s="9" t="s">
        <v>1128</v>
      </c>
      <c r="C519" s="31" t="s">
        <v>1126</v>
      </c>
      <c r="D519" s="37" t="s">
        <v>14</v>
      </c>
      <c r="E519" s="38">
        <v>2.0</v>
      </c>
      <c r="F519" s="38">
        <v>2320.0</v>
      </c>
      <c r="G519" s="11">
        <v>3.8365698E7</v>
      </c>
      <c r="H519" s="34" t="str">
        <f>IFERROR(__xludf.DUMMYFUNCTION("LOWER(REGEXREPLACE(B519&amp;"" ""&amp;C519,""[^а-яa-z0-9 ]"","" ""))"),"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1592х14"&amp;"48х2035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сре"&amp;"дств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250  обогрев электрический подготовленна к паровому обогреву ")</f>
        <v>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0">
      <c r="A520" s="35" t="s">
        <v>1129</v>
      </c>
      <c r="B520" s="9" t="s">
        <v>1130</v>
      </c>
      <c r="C520" s="31" t="s">
        <v>1126</v>
      </c>
      <c r="D520" s="37" t="s">
        <v>14</v>
      </c>
      <c r="E520" s="38">
        <v>2.0</v>
      </c>
      <c r="F520" s="38">
        <v>2560.0</v>
      </c>
      <c r="G520" s="11">
        <v>5.1441359E7</v>
      </c>
      <c r="H520" s="34" t="str">
        <f>IFERROR(__xludf.DUMMYFUNCTION("LOWER(REGEXREPLACE(B520&amp;"" ""&amp;C520,""[^а-яa-z0-9 ]"","" ""))"),"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2100"&amp;"х1448х2035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ср"&amp;"едств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вр"&amp;"емени    force 250  обогрев электрический подготовленна к паровому обогреву ")</f>
        <v>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1">
      <c r="A521" s="35" t="s">
        <v>1131</v>
      </c>
      <c r="B521" s="31" t="s">
        <v>1132</v>
      </c>
      <c r="C521" s="31"/>
      <c r="D521" s="37" t="s">
        <v>14</v>
      </c>
      <c r="E521" s="10"/>
      <c r="F521" s="36"/>
      <c r="G521" s="11"/>
      <c r="H521" s="34" t="str">
        <f>IFERROR(__xludf.DUMMYFUNCTION("LOWER(REGEXREPLACE(B521&amp;"" ""&amp;C521,""[^а-яa-z0-9 ]"","" ""))")," ушильная машина ")</f>
        <v> ушильная машина </v>
      </c>
    </row>
    <row r="522">
      <c r="A522" s="35" t="s">
        <v>1133</v>
      </c>
      <c r="B522" s="9" t="s">
        <v>1134</v>
      </c>
      <c r="C522" s="31"/>
      <c r="D522" s="37" t="s">
        <v>14</v>
      </c>
      <c r="E522" s="10"/>
      <c r="F522" s="36"/>
      <c r="G522" s="11">
        <v>1926776.0</v>
      </c>
      <c r="H522" s="34" t="str">
        <f>IFERROR(__xludf.DUMMYFUNCTION("LOWER(REGEXREPLACE(B522&amp;"" ""&amp;C522,""[^а-яa-z0-9 ]"","" ""))")," ушильный барабан загрузочной массой 8 10 кг   роизводительность 20 25 кг час   правление  микропроцессор   сполнение  электронагрев ")</f>
        <v> ушильный барабан загрузочной массой 8 10 кг   роизводительность 20 25 кг час   правление  микропроцессор   сполнение  электронагрев </v>
      </c>
    </row>
    <row r="523">
      <c r="A523" s="35" t="s">
        <v>1135</v>
      </c>
      <c r="B523" s="9" t="s">
        <v>1136</v>
      </c>
      <c r="C523" s="31"/>
      <c r="D523" s="37" t="s">
        <v>14</v>
      </c>
      <c r="E523" s="10"/>
      <c r="F523" s="36"/>
      <c r="G523" s="11">
        <v>2123276.0</v>
      </c>
      <c r="H523" s="34" t="str">
        <f>IFERROR(__xludf.DUMMYFUNCTION("LOWER(REGEXREPLACE(B523&amp;"" ""&amp;C523,""[^а-яa-z0-9 ]"","" ""))")," ушильный барабан загрузочной массой 11   14 кг   роизводительность 28 35 кг час   правление  микропроцессор   сполнение  электронагрев ")</f>
        <v> ушильный барабан загрузочной массой 11   14 кг   роизводительность 28 35 кг час   правление  микропроцессор   сполнение  электронагрев </v>
      </c>
    </row>
    <row r="524">
      <c r="A524" s="35" t="s">
        <v>1137</v>
      </c>
      <c r="B524" s="9" t="s">
        <v>1138</v>
      </c>
      <c r="C524" s="31"/>
      <c r="D524" s="37" t="s">
        <v>14</v>
      </c>
      <c r="E524" s="10"/>
      <c r="F524" s="36"/>
      <c r="G524" s="11">
        <v>2238388.0</v>
      </c>
      <c r="H524" s="34" t="str">
        <f>IFERROR(__xludf.DUMMYFUNCTION("LOWER(REGEXREPLACE(B524&amp;"" ""&amp;C524,""[^а-яa-z0-9 ]"","" ""))")," ушильный барабан загрузочной массой 15   18 кг   роизводительность 36 45 кг час   правление микропроцессор   сполнение  электронагрев ")</f>
        <v> ушильный барабан загрузочной массой 15   18 кг   роизводительность 36 45 кг час   правление микропроцессор   сполнение  электронагрев </v>
      </c>
    </row>
    <row r="525">
      <c r="A525" s="35" t="s">
        <v>1139</v>
      </c>
      <c r="B525" s="9" t="s">
        <v>1140</v>
      </c>
      <c r="C525" s="31"/>
      <c r="D525" s="37" t="s">
        <v>14</v>
      </c>
      <c r="E525" s="10"/>
      <c r="F525" s="36"/>
      <c r="G525" s="11">
        <v>2610704.0</v>
      </c>
      <c r="H525" s="34" t="str">
        <f>IFERROR(__xludf.DUMMYFUNCTION("LOWER(REGEXREPLACE(B525&amp;"" ""&amp;C525,""[^а-яa-z0-9 ]"","" ""))")," ушильный барабан загрузочной массой 19   23 кг   роизводительность 46 58 кг час   правление  микропроцессор   сполнение  электронагрев ")</f>
        <v> ушильный барабан загрузочной массой 19   23 кг   роизводительность 46 58 кг час   правление  микропроцессор   сполнение  электронагрев </v>
      </c>
    </row>
    <row r="526">
      <c r="A526" s="35" t="s">
        <v>1141</v>
      </c>
      <c r="B526" s="9" t="s">
        <v>1142</v>
      </c>
      <c r="C526" s="31"/>
      <c r="D526" s="37" t="s">
        <v>14</v>
      </c>
      <c r="E526" s="10"/>
      <c r="F526" s="36"/>
      <c r="G526" s="11">
        <v>2793713.0</v>
      </c>
      <c r="H526" s="34" t="str">
        <f>IFERROR(__xludf.DUMMYFUNCTION("LOWER(REGEXREPLACE(B526&amp;"" ""&amp;C526,""[^а-яa-z0-9 ]"","" ""))")," ушильный барабан загрузочной массой 34 кг   роизводительность 68кг час   правление  микропроцессор   сполнение  электронагрев ")</f>
        <v> ушильный барабан загрузочной массой 34 кг   роизводительность 68кг час   правление  микропроцессор   сполнение  электронагрев </v>
      </c>
    </row>
    <row r="527">
      <c r="A527" s="35" t="s">
        <v>1143</v>
      </c>
      <c r="B527" s="31" t="s">
        <v>1144</v>
      </c>
      <c r="C527" s="31"/>
      <c r="D527" s="37" t="s">
        <v>14</v>
      </c>
      <c r="E527" s="38">
        <v>2.0</v>
      </c>
      <c r="F527" s="38">
        <v>207.0</v>
      </c>
      <c r="G527" s="11">
        <v>2219405.0</v>
      </c>
      <c r="H527" s="34" t="str">
        <f>IFERROR(__xludf.DUMMYFUNCTION("LOWER(REGEXREPLACE(B527&amp;"" ""&amp;C527,""[^а-яa-z0-9 ]"","" ""))")," ашина сушильная типа    11   блицовки окрашенная сталь   агрузка 11 кг  объем барабана 250 л  габаритные размеры   х х   860х805х1390 мм  напряжение 380  ")</f>
        <v> ашина сушильная типа    11   блицовки окрашенная сталь   агрузка 11 кг  объем барабана 250 л  габаритные размеры   х х   860х805х1390 мм  напряжение 380  </v>
      </c>
    </row>
    <row r="528">
      <c r="A528" s="35" t="s">
        <v>1145</v>
      </c>
      <c r="B528" s="31" t="s">
        <v>1146</v>
      </c>
      <c r="C528" s="31"/>
      <c r="D528" s="37" t="s">
        <v>14</v>
      </c>
      <c r="E528" s="38">
        <v>2.0</v>
      </c>
      <c r="F528" s="38">
        <v>228.0</v>
      </c>
      <c r="G528" s="11">
        <v>2328229.0</v>
      </c>
      <c r="H528" s="34" t="str">
        <f>IFERROR(__xludf.DUMMYFUNCTION("LOWER(REGEXREPLACE(B528&amp;"" ""&amp;C528,""[^а-яa-z0-9 ]"","" ""))")," ашина сушильная типа    15   блицовки окрашенная сталь   агрузка 15 кг  объем барабана 330 л  габаритные размеры   х х   1070х805х1390 мм  напряжение 380  ")</f>
        <v> ашина сушильная типа    15   блицовки окрашенная сталь   агрузка 15 кг  объем барабана 330 л  габаритные размеры   х х   1070х805х1390 мм  напряжение 380  </v>
      </c>
    </row>
    <row r="529">
      <c r="A529" s="35" t="s">
        <v>1147</v>
      </c>
      <c r="B529" s="31" t="s">
        <v>1148</v>
      </c>
      <c r="C529" s="31"/>
      <c r="D529" s="37" t="s">
        <v>14</v>
      </c>
      <c r="E529" s="38">
        <v>2.0</v>
      </c>
      <c r="F529" s="38">
        <v>325.0</v>
      </c>
      <c r="G529" s="11">
        <v>2715523.0</v>
      </c>
      <c r="H529" s="34" t="str">
        <f>IFERROR(__xludf.DUMMYFUNCTION("LOWER(REGEXREPLACE(B529&amp;"" ""&amp;C529,""[^а-яa-z0-9 ]"","" ""))")," ашина сушильная типа    20   блицовки окрашенная сталь   агрузка 20 кг  объем барабана 500 л  габаритные размеры   х х   1100х950х1735 мм  напряжение 380  ")</f>
        <v> ашина сушильная типа    20   блицовки окрашенная сталь   агрузка 20 кг  объем барабана 500 л  габаритные размеры   х х   1100х950х1735 мм  напряжение 380  </v>
      </c>
    </row>
    <row r="530">
      <c r="A530" s="35" t="s">
        <v>1149</v>
      </c>
      <c r="B530" s="31" t="s">
        <v>1150</v>
      </c>
      <c r="C530" s="31"/>
      <c r="D530" s="37" t="s">
        <v>14</v>
      </c>
      <c r="E530" s="38">
        <v>2.0</v>
      </c>
      <c r="F530" s="38">
        <v>342.0</v>
      </c>
      <c r="G530" s="11">
        <v>2997497.0</v>
      </c>
      <c r="H530" s="34" t="str">
        <f>IFERROR(__xludf.DUMMYFUNCTION("LOWER(REGEXREPLACE(B530&amp;"" ""&amp;C530,""[^а-яa-z0-9 ]"","" ""))")," ашина сушильная типа    25   блицовки окрашенная сталь   агрузка 25 кг  объем барабана 550 л  габаритные размеры   х х   1200х950х1735 мм  напряжение 380  ")</f>
        <v> ашина сушильная типа    25   блицовки окрашенная сталь   агрузка 25 кг  объем барабана 550 л  габаритные размеры   х х   1200х950х1735 мм  напряжение 380  </v>
      </c>
    </row>
    <row r="531">
      <c r="A531" s="35" t="s">
        <v>1151</v>
      </c>
      <c r="B531" s="31" t="s">
        <v>1152</v>
      </c>
      <c r="C531" s="31"/>
      <c r="D531" s="37" t="s">
        <v>14</v>
      </c>
      <c r="E531" s="38">
        <v>2.0</v>
      </c>
      <c r="F531" s="38">
        <v>376.0</v>
      </c>
      <c r="G531" s="11">
        <v>3384646.0</v>
      </c>
      <c r="H531" s="34" t="str">
        <f>IFERROR(__xludf.DUMMYFUNCTION("LOWER(REGEXREPLACE(B531&amp;"" ""&amp;C531,""[^а-яa-z0-9 ]"","" ""))")," ашина сушильная типа    30   блицовки окрашенная сталь   агрузка 30 кг  объем барабана 650 л  габаритные размеры   х х   1360х950х1735 мм  напряжение 380  ")</f>
        <v> ашина сушильная типа    30   блицовки окрашенная сталь   агрузка 30 кг  объем барабана 650 л  габаритные размеры   х х   1360х950х1735 мм  напряжение 380  </v>
      </c>
    </row>
    <row r="532">
      <c r="A532" s="35" t="s">
        <v>1153</v>
      </c>
      <c r="B532" s="31" t="s">
        <v>1154</v>
      </c>
      <c r="C532" s="31"/>
      <c r="D532" s="37" t="s">
        <v>14</v>
      </c>
      <c r="E532" s="38">
        <v>2.0</v>
      </c>
      <c r="F532" s="38">
        <v>546.0</v>
      </c>
      <c r="G532" s="11">
        <v>4507004.0</v>
      </c>
      <c r="H532" s="34" t="str">
        <f>IFERROR(__xludf.DUMMYFUNCTION("LOWER(REGEXREPLACE(B532&amp;"" ""&amp;C532,""[^а-яa-z0-9 ]"","" ""))")," ашина сушильная типа    40   блицовки окрашенная сталь   агрузка 40 кг  объем барабана 880 л  габаритные размеры   х х   1245х1220х2050 мм  напряжение 380  ")</f>
        <v> ашина сушильная типа    40   блицовки окрашенная сталь   агрузка 40 кг  объем барабана 880 л  габаритные размеры   х х   1245х1220х2050 мм  напряжение 380  </v>
      </c>
    </row>
    <row r="533">
      <c r="A533" s="35" t="s">
        <v>1155</v>
      </c>
      <c r="B533" s="31" t="s">
        <v>1156</v>
      </c>
      <c r="C533" s="31"/>
      <c r="D533" s="37" t="s">
        <v>14</v>
      </c>
      <c r="E533" s="38">
        <v>2.0</v>
      </c>
      <c r="F533" s="38">
        <v>715.0</v>
      </c>
      <c r="G533" s="11">
        <v>5525112.0</v>
      </c>
      <c r="H533" s="34" t="str">
        <f>IFERROR(__xludf.DUMMYFUNCTION("LOWER(REGEXREPLACE(B533&amp;"" ""&amp;C533,""[^а-яa-z0-9 ]"","" ""))")," ашина сушильная типа    50   блицовки окрашенная сталь   агрузка 50 кг  объем барабана 1100 л  габаритные размеры   х х   1445х1220х2050 мм  напряжение 380  ")</f>
        <v> ашина сушильная типа    50   блицовки окрашенная сталь   агрузка 50 кг  объем барабана 1100 л  габаритные размеры   х х   1445х1220х2050 мм  напряжение 380  </v>
      </c>
    </row>
    <row r="534">
      <c r="A534" s="35" t="s">
        <v>1157</v>
      </c>
      <c r="B534" s="31" t="s">
        <v>1158</v>
      </c>
      <c r="C534" s="31"/>
      <c r="D534" s="37" t="s">
        <v>14</v>
      </c>
      <c r="E534" s="38">
        <v>2.0</v>
      </c>
      <c r="F534" s="38">
        <v>950.0</v>
      </c>
      <c r="G534" s="11">
        <v>6825386.0</v>
      </c>
      <c r="H534" s="34" t="str">
        <f>IFERROR(__xludf.DUMMYFUNCTION("LOWER(REGEXREPLACE(B534&amp;"" ""&amp;C534,""[^а-яa-z0-9 ]"","" ""))")," ашина сушильная типа    75   блицовки окрашенная сталь  агрузка 75 кг  объем барабана 1500 л  габаритные размеры   х х   1590х1360х2370 мм  напряжение 380  ")</f>
        <v> ашина сушильная типа    75   блицовки окрашенная сталь  агрузка 75 кг  объем барабана 1500 л  габаритные размеры   х х   1590х1360х2370 мм  напряжение 380  </v>
      </c>
    </row>
    <row r="535">
      <c r="A535" s="35" t="s">
        <v>1159</v>
      </c>
      <c r="B535" s="9" t="s">
        <v>1160</v>
      </c>
      <c r="C535" s="31"/>
      <c r="D535" s="37" t="s">
        <v>14</v>
      </c>
      <c r="E535" s="38">
        <v>2.0</v>
      </c>
      <c r="F535" s="38">
        <v>420.0</v>
      </c>
      <c r="G535" s="11">
        <v>4800401.0</v>
      </c>
      <c r="H535" s="34" t="str">
        <f>IFERROR(__xludf.DUMMYFUNCTION("LOWER(REGEXREPLACE(B535&amp;"" ""&amp;C535,""[^а-яa-z0-9 ]"","" ""))"),"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за"&amp;"грузка 11 кг  объем барабана 200 л  мощность суммарная 75 3 к т ")</f>
        <v>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загрузка 11 кг  объем барабана 200 л  мощность суммарная 75 3 к т </v>
      </c>
    </row>
    <row r="536">
      <c r="A536" s="35" t="s">
        <v>1161</v>
      </c>
      <c r="B536" s="31" t="s">
        <v>1162</v>
      </c>
      <c r="C536" s="31" t="s">
        <v>1163</v>
      </c>
      <c r="D536" s="37" t="s">
        <v>14</v>
      </c>
      <c r="E536" s="38">
        <v>2.0</v>
      </c>
      <c r="F536" s="38">
        <v>220.0</v>
      </c>
      <c r="G536" s="11">
        <v>4614638.0</v>
      </c>
      <c r="H536" s="34" t="str">
        <f>IFERROR(__xludf.DUMMYFUNCTION("LOWER(REGEXREPLACE(B536&amp;"" ""&amp;C536,""[^а-яa-z0-9 ]"","" ""))"),"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f>
        <v>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v>
      </c>
    </row>
    <row r="537">
      <c r="A537" s="35" t="s">
        <v>1164</v>
      </c>
      <c r="B537" s="31" t="s">
        <v>1165</v>
      </c>
      <c r="C537" s="31" t="s">
        <v>1166</v>
      </c>
      <c r="D537" s="37" t="s">
        <v>14</v>
      </c>
      <c r="E537" s="38">
        <v>2.0</v>
      </c>
      <c r="F537" s="38">
        <v>255.0</v>
      </c>
      <c r="G537" s="11">
        <v>5158595.0</v>
      </c>
      <c r="H537" s="34" t="str">
        <f>IFERROR(__xludf.DUMMYFUNCTION("LOWER(REGEXREPLACE(B537&amp;"" ""&amp;C537,""[^а-яa-z0-9 ]"","" ""))"),"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8">
      <c r="A538" s="35" t="s">
        <v>1167</v>
      </c>
      <c r="B538" s="9" t="s">
        <v>1168</v>
      </c>
      <c r="C538" s="31" t="s">
        <v>1166</v>
      </c>
      <c r="D538" s="37" t="s">
        <v>14</v>
      </c>
      <c r="E538" s="38">
        <v>2.0</v>
      </c>
      <c r="F538" s="38">
        <v>280.0</v>
      </c>
      <c r="G538" s="11">
        <v>6350460.0</v>
      </c>
      <c r="H538" s="34" t="str">
        <f>IFERROR(__xludf.DUMMYFUNCTION("LOWER(REGEXREPLACE(B538&amp;"" ""&amp;C538,""[^а-яa-z0-9 ]"","" ""))"),"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9">
      <c r="A539" s="35" t="s">
        <v>1169</v>
      </c>
      <c r="B539" s="31" t="s">
        <v>1170</v>
      </c>
      <c r="C539" s="31" t="s">
        <v>1166</v>
      </c>
      <c r="D539" s="37" t="s">
        <v>14</v>
      </c>
      <c r="E539" s="38">
        <v>2.0</v>
      </c>
      <c r="F539" s="38">
        <v>340.0</v>
      </c>
      <c r="G539" s="11">
        <v>7507755.0</v>
      </c>
      <c r="H539" s="34" t="str">
        <f>IFERROR(__xludf.DUMMYFUNCTION("LOWER(REGEXREPLACE(B539&amp;"" ""&amp;C539,""[^а-яa-z0-9 ]"","" ""))"),"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ши"&amp;"рокое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осе"&amp;"вой поток воздуха ")</f>
        <v>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0">
      <c r="A540" s="35" t="s">
        <v>1171</v>
      </c>
      <c r="B540" s="31" t="s">
        <v>1172</v>
      </c>
      <c r="C540" s="31" t="s">
        <v>1173</v>
      </c>
      <c r="D540" s="37" t="s">
        <v>14</v>
      </c>
      <c r="E540" s="38">
        <v>2.0</v>
      </c>
      <c r="F540" s="38">
        <v>900.0</v>
      </c>
      <c r="G540" s="11">
        <v>1.041134E7</v>
      </c>
      <c r="H540" s="34" t="str">
        <f>IFERROR(__xludf.DUMMYFUNCTION("LOWER(REGEXREPLACE(B540&amp;"" ""&amp;C540,""[^а-яa-z0-9 ]"","" ""))"),"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осево"&amp;"й поток воздуха ")</f>
        <v>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1">
      <c r="A541" s="35" t="s">
        <v>1174</v>
      </c>
      <c r="B541" s="9" t="s">
        <v>1175</v>
      </c>
      <c r="C541" s="31" t="s">
        <v>1176</v>
      </c>
      <c r="D541" s="37" t="s">
        <v>14</v>
      </c>
      <c r="E541" s="38">
        <v>2.0</v>
      </c>
      <c r="F541" s="38">
        <v>1370.0</v>
      </c>
      <c r="G541" s="11">
        <v>1.3745559E7</v>
      </c>
      <c r="H541" s="34" t="str">
        <f>IFERROR(__xludf.DUMMYFUNCTION("LOWER(REGEXREPLACE(B541&amp;"" ""&amp;C541,""[^а-яa-z0-9 ]"","" ""))"),"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2">
      <c r="A542" s="35" t="s">
        <v>1177</v>
      </c>
      <c r="B542" s="9" t="s">
        <v>1178</v>
      </c>
      <c r="C542" s="31" t="s">
        <v>1176</v>
      </c>
      <c r="D542" s="37" t="s">
        <v>14</v>
      </c>
      <c r="E542" s="38">
        <v>2.0</v>
      </c>
      <c r="F542" s="38">
        <v>1510.0</v>
      </c>
      <c r="G542" s="11">
        <v>1.9872717E7</v>
      </c>
      <c r="H542" s="34" t="str">
        <f>IFERROR(__xludf.DUMMYFUNCTION("LOWER(REGEXREPLACE(B542&amp;"" ""&amp;C542,""[^а-яa-z0-9 ]"","" ""))"),"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3">
      <c r="A543" s="35" t="s">
        <v>1179</v>
      </c>
      <c r="B543" s="31" t="s">
        <v>1180</v>
      </c>
      <c r="C543" s="31" t="s">
        <v>1181</v>
      </c>
      <c r="D543" s="37" t="s">
        <v>14</v>
      </c>
      <c r="E543" s="38">
        <v>2.0</v>
      </c>
      <c r="F543" s="38">
        <v>310.0</v>
      </c>
      <c r="G543" s="11">
        <v>7251429.0</v>
      </c>
      <c r="H543" s="34" t="str">
        <f>IFERROR(__xludf.DUMMYFUNCTION("LOWER(REGEXREPLACE(B543&amp;"" ""&amp;C543,""[^а-яa-z0-9 ]"","" ""))"),"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710х859х1"&amp;"937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для"&amp;"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бара"&amp;"бана 658 мм  глубина барабана 500 мм ")</f>
        <v>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барабана 658 мм  глубина барабана 500 мм </v>
      </c>
    </row>
    <row r="544">
      <c r="A544" s="35" t="s">
        <v>1182</v>
      </c>
      <c r="B544" s="31" t="s">
        <v>1183</v>
      </c>
      <c r="C544" s="31" t="s">
        <v>1184</v>
      </c>
      <c r="D544" s="37" t="s">
        <v>14</v>
      </c>
      <c r="E544" s="38">
        <v>2.0</v>
      </c>
      <c r="F544" s="38">
        <v>410.0</v>
      </c>
      <c r="G544" s="11">
        <v>9693525.0</v>
      </c>
      <c r="H544" s="34" t="str">
        <f>IFERROR(__xludf.DUMMYFUNCTION("LOWER(REGEXREPLACE(B544&amp;"" ""&amp;C544,""[^а-яa-z0-9 ]"","" ""))"),"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800х987х20"&amp;"55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"&amp;"очистки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бараб"&amp;"ана 720 мм  глубина барабана 635 мм ")</f>
        <v>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барабана 720 мм  глубина барабана 635 мм </v>
      </c>
    </row>
    <row r="545">
      <c r="A545" s="35" t="s">
        <v>1185</v>
      </c>
      <c r="B545" s="31" t="s">
        <v>1186</v>
      </c>
      <c r="C545" s="31"/>
      <c r="D545" s="37" t="s">
        <v>14</v>
      </c>
      <c r="E545" s="10"/>
      <c r="F545" s="36"/>
      <c r="G545" s="11"/>
      <c r="H545" s="34" t="str">
        <f>IFERROR(__xludf.DUMMYFUNCTION("LOWER(REGEXREPLACE(B545&amp;"" ""&amp;C545,""[^а-яa-z0-9 ]"","" ""))")," теллаж для белья ")</f>
        <v> теллаж для белья </v>
      </c>
    </row>
    <row r="546">
      <c r="A546" s="35" t="s">
        <v>1187</v>
      </c>
      <c r="B546" s="31" t="s">
        <v>1188</v>
      </c>
      <c r="C546" s="31"/>
      <c r="D546" s="37" t="s">
        <v>14</v>
      </c>
      <c r="E546" s="10"/>
      <c r="F546" s="36"/>
      <c r="G546" s="11">
        <v>54250.0</v>
      </c>
      <c r="H546" s="34" t="str">
        <f>IFERROR(__xludf.DUMMYFUNCTION("LOWER(REGEXREPLACE(B546&amp;"" ""&amp;C546,""[^а-яa-z0-9 ]"","" ""))")," теллаж металлический 1800 1500 500 мм ")</f>
        <v> теллаж металлический 1800 1500 500 мм </v>
      </c>
    </row>
    <row r="547">
      <c r="A547" s="35" t="s">
        <v>1189</v>
      </c>
      <c r="B547" s="31" t="s">
        <v>1190</v>
      </c>
      <c r="C547" s="31"/>
      <c r="D547" s="37" t="s">
        <v>14</v>
      </c>
      <c r="E547" s="10"/>
      <c r="F547" s="36"/>
      <c r="G547" s="11">
        <v>45714.0</v>
      </c>
      <c r="H547" s="34" t="str">
        <f>IFERROR(__xludf.DUMMYFUNCTION("LOWER(REGEXREPLACE(B547&amp;"" ""&amp;C547,""[^а-яa-z0-9 ]"","" ""))")," теллаж металлический 1800 1200 500 мм ")</f>
        <v> теллаж металлический 1800 1200 500 мм </v>
      </c>
    </row>
    <row r="548">
      <c r="A548" s="35" t="s">
        <v>1191</v>
      </c>
      <c r="B548" s="31" t="s">
        <v>1192</v>
      </c>
      <c r="C548" s="31"/>
      <c r="D548" s="37" t="s">
        <v>14</v>
      </c>
      <c r="E548" s="10"/>
      <c r="F548" s="36"/>
      <c r="G548" s="11">
        <v>35429.0</v>
      </c>
      <c r="H548" s="34" t="str">
        <f>IFERROR(__xludf.DUMMYFUNCTION("LOWER(REGEXREPLACE(B548&amp;"" ""&amp;C548,""[^а-яa-z0-9 ]"","" ""))")," теллаж металлический 1800 1000 500 мм ")</f>
        <v> теллаж металлический 1800 1000 500 мм </v>
      </c>
    </row>
    <row r="549">
      <c r="A549" s="35" t="s">
        <v>1193</v>
      </c>
      <c r="B549" s="31" t="s">
        <v>1194</v>
      </c>
      <c r="C549" s="31"/>
      <c r="D549" s="37" t="s">
        <v>14</v>
      </c>
      <c r="E549" s="10"/>
      <c r="F549" s="36"/>
      <c r="G549" s="11">
        <v>39661.0</v>
      </c>
      <c r="H549" s="34" t="str">
        <f>IFERROR(__xludf.DUMMYFUNCTION("LOWER(REGEXREPLACE(B549&amp;"" ""&amp;C549,""[^а-яa-z0-9 ]"","" ""))")," теллаж металлический 1800 1000 600 мм ")</f>
        <v> теллаж металлический 1800 1000 600 мм </v>
      </c>
    </row>
    <row r="550">
      <c r="A550" s="35" t="s">
        <v>1195</v>
      </c>
      <c r="B550" s="31" t="s">
        <v>1196</v>
      </c>
      <c r="C550" s="31"/>
      <c r="D550" s="37" t="s">
        <v>14</v>
      </c>
      <c r="E550" s="10"/>
      <c r="F550" s="36"/>
      <c r="G550" s="11">
        <v>64464.0</v>
      </c>
      <c r="H550" s="34" t="str">
        <f>IFERROR(__xludf.DUMMYFUNCTION("LOWER(REGEXREPLACE(B550&amp;"" ""&amp;C550,""[^а-яa-z0-9 ]"","" ""))")," теллаж металлический 1800 1500 600 мм ")</f>
        <v> теллаж металлический 1800 1500 600 мм </v>
      </c>
    </row>
    <row r="551">
      <c r="A551" s="35" t="s">
        <v>1197</v>
      </c>
      <c r="B551" s="31" t="s">
        <v>1198</v>
      </c>
      <c r="C551" s="31"/>
      <c r="D551" s="37" t="s">
        <v>14</v>
      </c>
      <c r="E551" s="38">
        <v>2.0</v>
      </c>
      <c r="F551" s="39">
        <v>8.5</v>
      </c>
      <c r="G551" s="11">
        <v>149404.0</v>
      </c>
      <c r="H551" s="34" t="str">
        <f>IFERROR(__xludf.DUMMYFUNCTION("LOWER(REGEXREPLACE(B551&amp;"" ""&amp;C551,""[^а-яa-z0-9 ]"","" ""))")," тойка подвижная типа    15   абаритные размеры   х х   553х1573х1725 5 мм ")</f>
        <v> тойка подвижная типа    15   абаритные размеры   х х   553х1573х1725 5 мм </v>
      </c>
    </row>
    <row r="552">
      <c r="A552" s="35" t="s">
        <v>1199</v>
      </c>
      <c r="B552" s="31" t="s">
        <v>1200</v>
      </c>
      <c r="C552" s="31"/>
      <c r="D552" s="37" t="s">
        <v>14</v>
      </c>
      <c r="E552" s="10"/>
      <c r="F552" s="36"/>
      <c r="G552" s="11"/>
      <c r="H552" s="34" t="str">
        <f>IFERROR(__xludf.DUMMYFUNCTION("LOWER(REGEXREPLACE(B552&amp;"" ""&amp;C552,""[^а-яa-z0-9 ]"","" ""))")," тол гладильный профессиональный ")</f>
        <v> тол гладильный профессиональный </v>
      </c>
    </row>
    <row r="553">
      <c r="A553" s="35" t="s">
        <v>1201</v>
      </c>
      <c r="B553" s="9" t="s">
        <v>1202</v>
      </c>
      <c r="C553" s="31"/>
      <c r="D553" s="37" t="s">
        <v>14</v>
      </c>
      <c r="E553" s="38">
        <v>2.0</v>
      </c>
      <c r="F553" s="38">
        <v>47.0</v>
      </c>
      <c r="G553" s="11">
        <v>1115274.0</v>
      </c>
      <c r="H553" s="34" t="str">
        <f>IFERROR(__xludf.DUMMYFUNCTION("LOWER(REGEXREPLACE(B553&amp;"" ""&amp;C553,""[^а-яa-z0-9 ]"","" ""))"),"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f>
        <v>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v>
      </c>
    </row>
    <row r="554">
      <c r="A554" s="35" t="s">
        <v>1203</v>
      </c>
      <c r="B554" s="31" t="s">
        <v>1204</v>
      </c>
      <c r="C554" s="31"/>
      <c r="D554" s="37" t="s">
        <v>14</v>
      </c>
      <c r="E554" s="38">
        <v>2.0</v>
      </c>
      <c r="F554" s="38">
        <v>62.0</v>
      </c>
      <c r="G554" s="11">
        <v>1675412.0</v>
      </c>
      <c r="H554" s="34" t="str">
        <f>IFERROR(__xludf.DUMMYFUNCTION("LOWER(REGEXREPLACE(B554&amp;"" ""&amp;C554,""[^а-яa-z0-9 ]"","" ""))"),"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6"&amp;" к т  парогенератор 1 3 к т  утюг 0 85 к т ")</f>
        <v>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 к т  парогенератор 1 3 к т  утюг 0 85 к т </v>
      </c>
    </row>
    <row r="555">
      <c r="A555" s="35" t="s">
        <v>1205</v>
      </c>
      <c r="B555" s="9" t="s">
        <v>1206</v>
      </c>
      <c r="C555" s="31"/>
      <c r="D555" s="37" t="s">
        <v>14</v>
      </c>
      <c r="E555" s="38">
        <v>2.0</v>
      </c>
      <c r="F555" s="38">
        <v>220.0</v>
      </c>
      <c r="G555" s="11">
        <v>3159758.0</v>
      </c>
      <c r="H555" s="34" t="str">
        <f>IFERROR(__xludf.DUMMYFUNCTION("LOWER(REGEXREPLACE(B555&amp;"" ""&amp;C555,""[^а-яa-z0-9 ]"","" ""))"),"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f>
        <v>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v>
      </c>
    </row>
    <row r="556">
      <c r="A556" s="35" t="s">
        <v>1207</v>
      </c>
      <c r="B556" s="31" t="s">
        <v>1208</v>
      </c>
      <c r="C556" s="31" t="s">
        <v>1209</v>
      </c>
      <c r="D556" s="37" t="s">
        <v>14</v>
      </c>
      <c r="E556" s="38">
        <v>2.0</v>
      </c>
      <c r="F556" s="38">
        <v>18.0</v>
      </c>
      <c r="G556" s="11">
        <v>420875.0</v>
      </c>
      <c r="H556" s="34" t="str">
        <f>IFERROR(__xludf.DUMMYFUNCTION("LOWER(REGEXREPLACE(B556&amp;"" ""&amp;C556,""[^а-яa-z0-9 ]"","" ""))"),"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под"&amp;"ставка для парогенератора  педаль управления  для подключения вытяжки  ")</f>
        <v>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подставка для парогенератора  педаль управления  для подключения вытяжки  </v>
      </c>
    </row>
    <row r="557">
      <c r="A557" s="35" t="s">
        <v>1210</v>
      </c>
      <c r="B557" s="31" t="s">
        <v>1211</v>
      </c>
      <c r="C557" s="31" t="s">
        <v>1212</v>
      </c>
      <c r="D557" s="37" t="s">
        <v>14</v>
      </c>
      <c r="E557" s="38">
        <v>2.0</v>
      </c>
      <c r="F557" s="38">
        <v>13.0</v>
      </c>
      <c r="G557" s="11">
        <v>252534.0</v>
      </c>
      <c r="H557" s="34" t="str">
        <f>IFERROR(__xludf.DUMMYFUNCTION("LOWER(REGEXREPLACE(B557&amp;"" ""&amp;C557,""[^а-яa-z0-9 ]"","" ""))"),"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подстав"&amp;"ка для парогенератора  педаль управления  для подключения вытяжки  ")</f>
        <v>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подставка для парогенератора  педаль управления  для подключения вытяжки  </v>
      </c>
    </row>
    <row r="558">
      <c r="A558" s="35" t="s">
        <v>1213</v>
      </c>
      <c r="B558" s="31" t="s">
        <v>1214</v>
      </c>
      <c r="C558" s="31" t="s">
        <v>1215</v>
      </c>
      <c r="D558" s="37" t="s">
        <v>14</v>
      </c>
      <c r="E558" s="38">
        <v>2.0</v>
      </c>
      <c r="F558" s="38">
        <v>124.0</v>
      </c>
      <c r="G558" s="11">
        <v>5581950.0</v>
      </c>
      <c r="H558" s="34" t="str">
        <f>IFERROR(__xludf.DUMMYFUNCTION("LOWER(REGEXREPLACE(B558&amp;"" ""&amp;C558,""[^а-яa-z0-9 ]"","" ""))"),"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вы"&amp;"сота от 750 до 930 мм  предусмотрена возможность глажения с обеих сторон  оснащ н вакуумной аспирацией  поддувом и электрическим нагревом ")</f>
        <v>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высота от 750 до 930 мм  предусмотрена возможность глажения с обеих сторон  оснащ н вакуумной аспирацией  поддувом и электрическим нагревом </v>
      </c>
    </row>
    <row r="559">
      <c r="A559" s="35" t="s">
        <v>1216</v>
      </c>
      <c r="B559" s="31" t="s">
        <v>1217</v>
      </c>
      <c r="C559" s="31" t="s">
        <v>1218</v>
      </c>
      <c r="D559" s="37" t="s">
        <v>14</v>
      </c>
      <c r="E559" s="38">
        <v>2.0</v>
      </c>
      <c r="F559" s="38">
        <v>122.0</v>
      </c>
      <c r="G559" s="11">
        <v>7136223.0</v>
      </c>
      <c r="H559" s="34" t="str">
        <f>IFERROR(__xludf.DUMMYFUNCTION("LOWER(REGEXREPLACE(B559&amp;"" ""&amp;C559,""[^а-яa-z0-9 ]"","" ""))"),"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регу"&amp;"лируемая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f>
        <v>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v>
      </c>
    </row>
    <row r="560">
      <c r="A560" s="35" t="s">
        <v>1219</v>
      </c>
      <c r="B560" s="31" t="s">
        <v>1220</v>
      </c>
      <c r="C560" s="31" t="s">
        <v>1221</v>
      </c>
      <c r="D560" s="37" t="s">
        <v>14</v>
      </c>
      <c r="E560" s="38">
        <v>2.0</v>
      </c>
      <c r="F560" s="38">
        <v>205.0</v>
      </c>
      <c r="G560" s="11">
        <v>9162677.0</v>
      </c>
      <c r="H560" s="34" t="str">
        <f>IFERROR(__xludf.DUMMYFUNCTION("LOWER(REGEXREPLACE(B560&amp;"" ""&amp;C560,""[^а-яa-z0-9 ]"","" ""))"),"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"&amp;"аспирацией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"&amp;"кронштейнов с формами  включая форму для рукавов ")</f>
        <v>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кронштейнов с формами  включая форму для рукавов </v>
      </c>
    </row>
    <row r="561">
      <c r="A561" s="35" t="s">
        <v>1222</v>
      </c>
      <c r="B561" s="31" t="s">
        <v>1223</v>
      </c>
      <c r="C561" s="31" t="s">
        <v>1224</v>
      </c>
      <c r="D561" s="37" t="s">
        <v>14</v>
      </c>
      <c r="E561" s="38">
        <v>2.0</v>
      </c>
      <c r="F561" s="38">
        <v>190.0</v>
      </c>
      <c r="G561" s="11">
        <v>1.1160978E7</v>
      </c>
      <c r="H561" s="34" t="str">
        <f>IFERROR(__xludf.DUMMYFUNCTION("LOWER(REGEXREPLACE(B561&amp;"" ""&amp;C561,""[^а-яa-z0-9 ]"","" ""))"),"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аспирацией"&amp;"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f>
        <v>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v>
      </c>
    </row>
    <row r="562">
      <c r="A562" s="35" t="s">
        <v>1225</v>
      </c>
      <c r="B562" s="31" t="s">
        <v>1226</v>
      </c>
      <c r="C562" s="31" t="s">
        <v>1227</v>
      </c>
      <c r="D562" s="37" t="s">
        <v>14</v>
      </c>
      <c r="E562" s="38">
        <v>2.0</v>
      </c>
      <c r="F562" s="38">
        <v>220.0</v>
      </c>
      <c r="G562" s="11">
        <v>1.8121343E7</v>
      </c>
      <c r="H562" s="34" t="str">
        <f>IFERROR(__xludf.DUMMYFUNCTION("LOWER(REGEXREPLACE(B562&amp;"" ""&amp;C562,""[^а-яa-z0-9 ]"","" ""))"),"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регулируема"&amp;"я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"&amp;"насос подачи воды  утюг  регулируемый педальный блок ")</f>
        <v>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насос подачи воды  утюг  регулируемый педальный блок </v>
      </c>
    </row>
    <row r="563">
      <c r="A563" s="35" t="s">
        <v>1228</v>
      </c>
      <c r="B563" s="9" t="s">
        <v>1229</v>
      </c>
      <c r="C563" s="31" t="s">
        <v>1230</v>
      </c>
      <c r="D563" s="37" t="s">
        <v>14</v>
      </c>
      <c r="E563" s="38">
        <v>2.0</v>
      </c>
      <c r="F563" s="38">
        <v>160.0</v>
      </c>
      <c r="G563" s="11">
        <v>9281572.0</v>
      </c>
      <c r="H563" s="34" t="str">
        <f>IFERROR(__xludf.DUMMYFUNCTION("LOWER(REGEXREPLACE(B563&amp;"" ""&amp;C563,""[^а-яa-z0-9 ]"","" ""))"),"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"&amp;"предусмотрен автоматический и ручной режим работы с управлением от педали  регулятор потока горячего воздуха ")</f>
        <v>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 </v>
      </c>
    </row>
    <row r="564">
      <c r="A564" s="35" t="s">
        <v>1231</v>
      </c>
      <c r="B564" s="31" t="s">
        <v>1232</v>
      </c>
      <c r="C564" s="31" t="s">
        <v>1233</v>
      </c>
      <c r="D564" s="37" t="s">
        <v>14</v>
      </c>
      <c r="E564" s="38">
        <v>2.0</v>
      </c>
      <c r="F564" s="38">
        <v>235.0</v>
      </c>
      <c r="G564" s="11">
        <v>1.3663589E7</v>
      </c>
      <c r="H564" s="34" t="str">
        <f>IFERROR(__xludf.DUMMYFUNCTION("LOWER(REGEXREPLACE(B564&amp;"" ""&amp;C564,""[^а-яa-z0-9 ]"","" ""))"),"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литр"&amp;"ов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f>
        <v>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v>
      </c>
    </row>
    <row r="565">
      <c r="A565" s="35" t="s">
        <v>1234</v>
      </c>
      <c r="B565" s="31" t="s">
        <v>1235</v>
      </c>
      <c r="C565" s="31"/>
      <c r="D565" s="37" t="s">
        <v>14</v>
      </c>
      <c r="E565" s="10"/>
      <c r="F565" s="36"/>
      <c r="G565" s="11"/>
      <c r="H565" s="34" t="str">
        <f>IFERROR(__xludf.DUMMYFUNCTION("LOWER(REGEXREPLACE(B565&amp;"" ""&amp;C565,""[^а-яa-z0-9 ]"","" ""))")," оска гладильная ")</f>
        <v> оска гладильная </v>
      </c>
    </row>
    <row r="566">
      <c r="A566" s="35" t="s">
        <v>1236</v>
      </c>
      <c r="B566" s="31" t="s">
        <v>1237</v>
      </c>
      <c r="C566" s="31"/>
      <c r="D566" s="37" t="s">
        <v>14</v>
      </c>
      <c r="E566" s="10"/>
      <c r="F566" s="36"/>
      <c r="G566" s="11">
        <v>25884.0</v>
      </c>
      <c r="H566" s="34" t="str">
        <f>IFERROR(__xludf.DUMMYFUNCTION("LOWER(REGEXREPLACE(B566&amp;"" ""&amp;C566,""[^а-яa-z0-9 ]"","" ""))")," ладильная доска  erilla  лона 214702 ")</f>
        <v> ладильная доска  erilla  лона 214702 </v>
      </c>
    </row>
    <row r="567">
      <c r="A567" s="35" t="s">
        <v>1238</v>
      </c>
      <c r="B567" s="31" t="s">
        <v>1239</v>
      </c>
      <c r="C567" s="31"/>
      <c r="D567" s="37" t="s">
        <v>14</v>
      </c>
      <c r="E567" s="10"/>
      <c r="F567" s="36"/>
      <c r="G567" s="11">
        <v>24991.0</v>
      </c>
      <c r="H567" s="34" t="str">
        <f>IFERROR(__xludf.DUMMYFUNCTION("LOWER(REGEXREPLACE(B567&amp;"" ""&amp;C567,""[^а-яa-z0-9 ]"","" ""))")," ладильная доска  aulshalt    ")</f>
        <v> ладильная доска  aulshalt    </v>
      </c>
    </row>
    <row r="568">
      <c r="A568" s="35" t="s">
        <v>1240</v>
      </c>
      <c r="B568" s="31" t="s">
        <v>1241</v>
      </c>
      <c r="C568" s="31"/>
      <c r="D568" s="37" t="s">
        <v>14</v>
      </c>
      <c r="E568" s="10"/>
      <c r="F568" s="36"/>
      <c r="G568" s="11">
        <v>19634.0</v>
      </c>
      <c r="H568" s="34" t="str">
        <f>IFERROR(__xludf.DUMMYFUNCTION("LOWER(REGEXREPLACE(B568&amp;"" ""&amp;C568,""[^а-яa-z0-9 ]"","" ""))")," ладильная доска  erilla  ити 223712 ")</f>
        <v> ладильная доска  erilla  ити 223712 </v>
      </c>
    </row>
    <row r="569">
      <c r="A569" s="35" t="s">
        <v>1242</v>
      </c>
      <c r="B569" s="31" t="s">
        <v>1243</v>
      </c>
      <c r="C569" s="31"/>
      <c r="D569" s="37" t="s">
        <v>14</v>
      </c>
      <c r="E569" s="10"/>
      <c r="F569" s="36"/>
      <c r="G569" s="11"/>
      <c r="H569" s="34" t="str">
        <f>IFERROR(__xludf.DUMMYFUNCTION("LOWER(REGEXREPLACE(B569&amp;"" ""&amp;C569,""[^а-яa-z0-9 ]"","" ""))")," ентрифуга ")</f>
        <v> ентрифуга </v>
      </c>
    </row>
    <row r="570">
      <c r="A570" s="35" t="s">
        <v>1244</v>
      </c>
      <c r="B570" s="31" t="s">
        <v>1245</v>
      </c>
      <c r="C570" s="31"/>
      <c r="D570" s="37" t="s">
        <v>14</v>
      </c>
      <c r="E570" s="38">
        <v>2.0</v>
      </c>
      <c r="F570" s="38">
        <v>133.0</v>
      </c>
      <c r="G570" s="11">
        <v>1320381.0</v>
      </c>
      <c r="H570" s="34" t="str">
        <f>IFERROR(__xludf.DUMMYFUNCTION("LOWER(REGEXREPLACE(B570&amp;"" ""&amp;C570,""[^а-яa-z0-9 ]"","" ""))")," ентрифуга типа    10   агрузка 10 кг  объем барабана 50 л  номинальная мощность 1 1 к т  габаритные размеры   х х   760х620х950 мм  напряжение 380  ")</f>
        <v> ентрифуга типа    10   агрузка 10 кг  объем барабана 50 л  номинальная мощность 1 1 к т  габаритные размеры   х х   760х620х950 мм  напряжение 380  </v>
      </c>
    </row>
    <row r="571">
      <c r="A571" s="35" t="s">
        <v>1246</v>
      </c>
      <c r="B571" s="31" t="s">
        <v>1247</v>
      </c>
      <c r="C571" s="31"/>
      <c r="D571" s="37" t="s">
        <v>14</v>
      </c>
      <c r="E571" s="38">
        <v>2.0</v>
      </c>
      <c r="F571" s="38">
        <v>343.0</v>
      </c>
      <c r="G571" s="11">
        <v>2523668.0</v>
      </c>
      <c r="H571" s="34" t="str">
        <f>IFERROR(__xludf.DUMMYFUNCTION("LOWER(REGEXREPLACE(B571&amp;"" ""&amp;C571,""[^а-яa-z0-9 ]"","" ""))")," ентрифуга типа    25   агрузка 25 кг  объем барабана 125 л  габаритные размеры   х х   1050х840х1030 мм  напряжение 220  ")</f>
        <v> ентрифуга типа    25   агрузка 25 кг  объем барабана 125 л  габаритные размеры   х х   1050х840х1030 мм  напряжение 220  </v>
      </c>
    </row>
    <row r="572">
      <c r="A572" s="35" t="s">
        <v>1248</v>
      </c>
      <c r="B572" s="31" t="s">
        <v>1249</v>
      </c>
      <c r="C572" s="31"/>
      <c r="D572" s="37" t="s">
        <v>14</v>
      </c>
      <c r="E572" s="38">
        <v>2.0</v>
      </c>
      <c r="F572" s="38">
        <v>1050.0</v>
      </c>
      <c r="G572" s="11">
        <v>5902082.0</v>
      </c>
      <c r="H572" s="34" t="str">
        <f>IFERROR(__xludf.DUMMYFUNCTION("LOWER(REGEXREPLACE(B572&amp;"" ""&amp;C572,""[^а-яa-z0-9 ]"","" ""))")," ентрифуга типа    223   агрузка 50 кг  объем барабана 320 л  номинальная мощность 4 к т  габаритные размеры   х х   1605х1150х1170 мм  напряжение 380  ")</f>
        <v> ентрифуга типа    223   агрузка 50 кг  объем барабана 320 л  номинальная мощность 4 к т  габаритные размеры   х х   1605х1150х1170 мм  напряжение 380  </v>
      </c>
    </row>
    <row r="573">
      <c r="A573" s="35" t="s">
        <v>1250</v>
      </c>
      <c r="B573" s="31" t="s">
        <v>1251</v>
      </c>
      <c r="C573" s="31"/>
      <c r="D573" s="37" t="s">
        <v>14</v>
      </c>
      <c r="E573" s="10"/>
      <c r="F573" s="36"/>
      <c r="G573" s="11"/>
      <c r="H573" s="34" t="str">
        <f>IFERROR(__xludf.DUMMYFUNCTION("LOWER(REGEXREPLACE(B573&amp;"" ""&amp;C573,""[^а-яa-z0-9 ]"","" ""))")," аток гладильный ")</f>
        <v> аток гладильный </v>
      </c>
    </row>
    <row r="574">
      <c r="A574" s="35" t="s">
        <v>1252</v>
      </c>
      <c r="B574" s="31" t="s">
        <v>1253</v>
      </c>
      <c r="C574" s="31"/>
      <c r="D574" s="37" t="s">
        <v>14</v>
      </c>
      <c r="E574" s="38">
        <v>2.0</v>
      </c>
      <c r="F574" s="38">
        <v>104.0</v>
      </c>
      <c r="G574" s="11">
        <v>1291536.0</v>
      </c>
      <c r="H574" s="34" t="str">
        <f>IFERROR(__xludf.DUMMYFUNCTION("LOWER(REGEXREPLACE(B574&amp;"" ""&amp;C574,""[^а-яa-z0-9 ]"","" ""))")," аток гладильный типа    1018   лектрический обогрев   ощность суммарная 2 772 к т  габаритные размеры   х х   450х1180х970 мм  напряжение 220  ")</f>
        <v> аток гладильный типа    1018   лектрический обогрев   ощность суммарная 2 772 к т  габаритные размеры   х х   450х1180х970 мм  напряжение 220  </v>
      </c>
    </row>
    <row r="575">
      <c r="A575" s="35" t="s">
        <v>1254</v>
      </c>
      <c r="B575" s="31" t="s">
        <v>1255</v>
      </c>
      <c r="C575" s="31"/>
      <c r="D575" s="37" t="s">
        <v>14</v>
      </c>
      <c r="E575" s="38">
        <v>2.0</v>
      </c>
      <c r="F575" s="38">
        <v>113.0</v>
      </c>
      <c r="G575" s="11">
        <v>1427687.0</v>
      </c>
      <c r="H575" s="34" t="str">
        <f>IFERROR(__xludf.DUMMYFUNCTION("LOWER(REGEXREPLACE(B575&amp;"" ""&amp;C575,""[^а-яa-z0-9 ]"","" ""))")," аток гладильный типа    1218   лектрический обогрев   ощность суммарная 3 272 к т  габаритные размеры   х х   450х1380х970 мм  напряжение 220  ")</f>
        <v> аток гладильный типа    1218   лектрический обогрев   ощность суммарная 3 272 к т  габаритные размеры   х х   450х1380х970 мм  напряжение 220  </v>
      </c>
    </row>
    <row r="576">
      <c r="A576" s="35" t="s">
        <v>1256</v>
      </c>
      <c r="B576" s="31" t="s">
        <v>1257</v>
      </c>
      <c r="C576" s="31"/>
      <c r="D576" s="37" t="s">
        <v>14</v>
      </c>
      <c r="E576" s="38">
        <v>2.0</v>
      </c>
      <c r="F576" s="38">
        <v>315.0</v>
      </c>
      <c r="G576" s="11">
        <v>3467881.0</v>
      </c>
      <c r="H576" s="34" t="str">
        <f>IFERROR(__xludf.DUMMYFUNCTION("LOWER(REGEXREPLACE(B576&amp;"" ""&amp;C576,""[^а-яa-z0-9 ]"","" ""))")," аток гладильный типа    1430   лектрический обогрев   ощность суммарная 10 63 к т  габаритные размеры   х х   740х1925х1085 мм  напряжение 380  ")</f>
        <v> аток гладильный типа    1430   лектрический обогрев   ощность суммарная 10 63 к т  габаритные размеры   х х   740х1925х1085 мм  напряжение 380  </v>
      </c>
    </row>
    <row r="577">
      <c r="A577" s="35" t="s">
        <v>1258</v>
      </c>
      <c r="B577" s="31" t="s">
        <v>1259</v>
      </c>
      <c r="C577" s="31"/>
      <c r="D577" s="37" t="s">
        <v>14</v>
      </c>
      <c r="E577" s="38">
        <v>2.0</v>
      </c>
      <c r="F577" s="38">
        <v>340.0</v>
      </c>
      <c r="G577" s="11">
        <v>3767498.0</v>
      </c>
      <c r="H577" s="34" t="str">
        <f>IFERROR(__xludf.DUMMYFUNCTION("LOWER(REGEXREPLACE(B577&amp;"" ""&amp;C577,""[^а-яa-z0-9 ]"","" ""))")," аток гладильный типа    1630   лектрический обогрев   ощность суммарная 10 93 к т  габаритные размеры   х х   740х2125х1085 мм  напряжение 380  ")</f>
        <v> аток гладильный типа    1630   лектрический обогрев   ощность суммарная 10 93 к т  габаритные размеры   х х   740х2125х1085 мм  напряжение 380  </v>
      </c>
    </row>
    <row r="578">
      <c r="A578" s="35" t="s">
        <v>1260</v>
      </c>
      <c r="B578" s="31" t="s">
        <v>1261</v>
      </c>
      <c r="C578" s="31"/>
      <c r="D578" s="37" t="s">
        <v>14</v>
      </c>
      <c r="E578" s="38">
        <v>2.0</v>
      </c>
      <c r="F578" s="38">
        <v>475.0</v>
      </c>
      <c r="G578" s="11">
        <v>4186627.0</v>
      </c>
      <c r="H578" s="34" t="str">
        <f>IFERROR(__xludf.DUMMYFUNCTION("LOWER(REGEXREPLACE(B578&amp;"" ""&amp;C578,""[^а-яa-z0-9 ]"","" ""))")," аток гладильный типа    2030   лектрический обогрев   ощность суммарная 15 73 к т   габаритные размеры   х х   740х2525х1085 мм  напряжение 380  ")</f>
        <v> аток гладильный типа    2030   лектрический обогрев   ощность суммарная 15 73 к т   габаритные размеры   х х   740х2525х1085 мм  напряжение 380  </v>
      </c>
    </row>
    <row r="579">
      <c r="A579" s="35" t="s">
        <v>1262</v>
      </c>
      <c r="B579" s="31" t="s">
        <v>1263</v>
      </c>
      <c r="C579" s="31" t="s">
        <v>1264</v>
      </c>
      <c r="D579" s="37" t="s">
        <v>14</v>
      </c>
      <c r="E579" s="38">
        <v>2.0</v>
      </c>
      <c r="F579" s="39">
        <v>85.5</v>
      </c>
      <c r="G579" s="11">
        <v>3828892.0</v>
      </c>
      <c r="H579" s="34" t="str">
        <f>IFERROR(__xludf.DUMMYFUNCTION("LOWER(REGEXREPLACE(B579&amp;"" ""&amp;C579,""[^а-яa-z0-9 ]"","" ""))"),"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управл"&amp;"ение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глажен"&amp;"ия с остаточной влажностью 10 15   ")</f>
        <v>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0">
      <c r="A580" s="35" t="s">
        <v>1265</v>
      </c>
      <c r="B580" s="31" t="s">
        <v>1266</v>
      </c>
      <c r="C580" s="31" t="s">
        <v>1264</v>
      </c>
      <c r="D580" s="37" t="s">
        <v>14</v>
      </c>
      <c r="E580" s="38">
        <v>2.0</v>
      </c>
      <c r="F580" s="38">
        <v>93.0</v>
      </c>
      <c r="G580" s="11">
        <v>3911520.0</v>
      </c>
      <c r="H580" s="34" t="str">
        <f>IFERROR(__xludf.DUMMYFUNCTION("LOWER(REGEXREPLACE(B580&amp;"" ""&amp;C580,""[^а-яa-z0-9 ]"","" ""))"),"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управлен"&amp;"ие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глажения"&amp;" с остаточной влажностью 10 15   ")</f>
        <v>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1">
      <c r="A581" s="35" t="s">
        <v>1267</v>
      </c>
      <c r="B581" s="31" t="s">
        <v>1268</v>
      </c>
      <c r="C581" s="31" t="s">
        <v>1264</v>
      </c>
      <c r="D581" s="37" t="s">
        <v>14</v>
      </c>
      <c r="E581" s="38">
        <v>2.0</v>
      </c>
      <c r="F581" s="38">
        <v>146.0</v>
      </c>
      <c r="G581" s="11">
        <v>4871662.0</v>
      </c>
      <c r="H581" s="34" t="str">
        <f>IFERROR(__xludf.DUMMYFUNCTION("LOWER(REGEXREPLACE(B581&amp;"" ""&amp;C581,""[^а-яa-z0-9 ]"","" ""))"),"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управ"&amp;"ление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глаже"&amp;"ния с остаточной влажностью 10 15   ")</f>
        <v>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2">
      <c r="A582" s="35" t="s">
        <v>1269</v>
      </c>
      <c r="B582" s="9" t="s">
        <v>1270</v>
      </c>
      <c r="C582" s="31" t="s">
        <v>1271</v>
      </c>
      <c r="D582" s="37" t="s">
        <v>14</v>
      </c>
      <c r="E582" s="38">
        <v>2.0</v>
      </c>
      <c r="F582" s="38">
        <v>268.0</v>
      </c>
      <c r="G582" s="11">
        <v>8001963.0</v>
      </c>
      <c r="H582" s="34" t="str">
        <f>IFERROR(__xludf.DUMMYFUNCTION("LOWER(REGEXREPLACE(B582&amp;"" ""&amp;C582,""[^а-яa-z0-9 ]"","" ""))"),"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"&amp;"управление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"&amp;"глажения с остаточной влажностью 25   ")</f>
        <v>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3">
      <c r="A583" s="35" t="s">
        <v>1272</v>
      </c>
      <c r="B583" s="9" t="s">
        <v>1273</v>
      </c>
      <c r="C583" s="31" t="s">
        <v>1271</v>
      </c>
      <c r="D583" s="37" t="s">
        <v>14</v>
      </c>
      <c r="E583" s="38">
        <v>2.0</v>
      </c>
      <c r="F583" s="38">
        <v>296.0</v>
      </c>
      <c r="G583" s="11">
        <v>8935215.0</v>
      </c>
      <c r="H583" s="34" t="str">
        <f>IFERROR(__xludf.DUMMYFUNCTION("LOWER(REGEXREPLACE(B583&amp;"" ""&amp;C583,""[^а-яa-z0-9 ]"","" ""))"),"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уп"&amp;"равление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гл"&amp;"ажения с остаточной влажностью 25   ")</f>
        <v>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4">
      <c r="A584" s="35" t="s">
        <v>1274</v>
      </c>
      <c r="B584" s="31" t="s">
        <v>1275</v>
      </c>
      <c r="C584" s="31"/>
      <c r="D584" s="37" t="s">
        <v>14</v>
      </c>
      <c r="E584" s="10"/>
      <c r="F584" s="36"/>
      <c r="G584" s="11"/>
      <c r="H584" s="34" t="str">
        <f>IFERROR(__xludf.DUMMYFUNCTION("LOWER(REGEXREPLACE(B584&amp;"" ""&amp;C584,""[^а-яa-z0-9 ]"","" ""))")," аландр гладильный ")</f>
        <v> аландр гладильный </v>
      </c>
    </row>
    <row r="585">
      <c r="A585" s="35" t="s">
        <v>1276</v>
      </c>
      <c r="B585" s="31" t="s">
        <v>1277</v>
      </c>
      <c r="C585" s="31"/>
      <c r="D585" s="37" t="s">
        <v>14</v>
      </c>
      <c r="E585" s="38">
        <v>2.0</v>
      </c>
      <c r="F585" s="38">
        <v>330.0</v>
      </c>
      <c r="G585" s="11">
        <v>4510760.0</v>
      </c>
      <c r="H585" s="34" t="str">
        <f>IFERROR(__xludf.DUMMYFUNCTION("LOWER(REGEXREPLACE(B585&amp;"" ""&amp;C585,""[^а-яa-z0-9 ]"","" ""))")," аландр гладильный типа    1424   лектрический обогрев   ощность суммарная 12 3 к т  габаритные размеры   х х   600х1880х1085 мм  напряжение 380  ")</f>
        <v> аландр гладильный типа    1424   лектрический обогрев   ощность суммарная 12 3 к т  габаритные размеры   х х   600х1880х1085 мм  напряжение 380  </v>
      </c>
    </row>
    <row r="586">
      <c r="A586" s="35" t="s">
        <v>1278</v>
      </c>
      <c r="B586" s="31" t="s">
        <v>1279</v>
      </c>
      <c r="C586" s="31"/>
      <c r="D586" s="37" t="s">
        <v>14</v>
      </c>
      <c r="E586" s="38">
        <v>2.0</v>
      </c>
      <c r="F586" s="38">
        <v>588.0</v>
      </c>
      <c r="G586" s="11">
        <v>6053017.0</v>
      </c>
      <c r="H586" s="34" t="str">
        <f>IFERROR(__xludf.DUMMYFUNCTION("LOWER(REGEXREPLACE(B586&amp;"" ""&amp;C586,""[^а-яa-z0-9 ]"","" ""))")," аландр гладильный типа    1640   лектрический обогрев   ощность суммарная 23 24 к т  габаритные размеры   х х   1025х2130х1225 мм  напряжение 380  ")</f>
        <v> аландр гладильный типа    1640   лектрический обогрев   ощность суммарная 23 24 к т  габаритные размеры   х х   1025х2130х1225 мм  напряжение 380  </v>
      </c>
    </row>
    <row r="587">
      <c r="A587" s="35" t="s">
        <v>1280</v>
      </c>
      <c r="B587" s="31" t="s">
        <v>1281</v>
      </c>
      <c r="C587" s="31"/>
      <c r="D587" s="37" t="s">
        <v>14</v>
      </c>
      <c r="E587" s="38">
        <v>2.0</v>
      </c>
      <c r="F587" s="38">
        <v>758.0</v>
      </c>
      <c r="G587" s="11">
        <v>6315963.0</v>
      </c>
      <c r="H587" s="34" t="str">
        <f>IFERROR(__xludf.DUMMYFUNCTION("LOWER(REGEXREPLACE(B587&amp;"" ""&amp;C587,""[^а-яa-z0-9 ]"","" ""))")," аландр гладильный типа    1840   лектрический обогрев   ощность суммарная 25 94 к т   габаритные размеры   х х   1025х2330х1225 мм  напряжение 380  ")</f>
        <v> аландр гладильный типа    1840   лектрический обогрев   ощность суммарная 25 94 к т   габаритные размеры   х х   1025х2330х1225 мм  напряжение 380  </v>
      </c>
    </row>
    <row r="588">
      <c r="A588" s="35" t="s">
        <v>1282</v>
      </c>
      <c r="B588" s="31" t="s">
        <v>1283</v>
      </c>
      <c r="C588" s="31"/>
      <c r="D588" s="37" t="s">
        <v>14</v>
      </c>
      <c r="E588" s="38">
        <v>2.0</v>
      </c>
      <c r="F588" s="38">
        <v>860.0</v>
      </c>
      <c r="G588" s="11">
        <v>7313996.0</v>
      </c>
      <c r="H588" s="34" t="str">
        <f>IFERROR(__xludf.DUMMYFUNCTION("LOWER(REGEXREPLACE(B588&amp;"" ""&amp;C588,""[^а-яa-z0-9 ]"","" ""))")," аландр гладильный типа    2050   лектрический обогрев   ощность суммарная 34 94 к т  габаритные размеры   х х   1060х2565х1215 мм  напряжение 380  ")</f>
        <v> аландр гладильный типа    2050   лектрический обогрев   ощность суммарная 34 94 к т  габаритные размеры   х х   1060х2565х1215 мм  напряжение 380  </v>
      </c>
    </row>
    <row r="589">
      <c r="A589" s="35" t="s">
        <v>1284</v>
      </c>
      <c r="B589" s="31" t="s">
        <v>1285</v>
      </c>
      <c r="C589" s="31"/>
      <c r="D589" s="37" t="s">
        <v>14</v>
      </c>
      <c r="E589" s="38">
        <v>2.0</v>
      </c>
      <c r="F589" s="38">
        <v>926.0</v>
      </c>
      <c r="G589" s="11">
        <v>7807232.0</v>
      </c>
      <c r="H589" s="34" t="str">
        <f>IFERROR(__xludf.DUMMYFUNCTION("LOWER(REGEXREPLACE(B589&amp;"" ""&amp;C589,""[^а-яa-z0-9 ]"","" ""))")," аландр гладильный типа    2250   лектрический обогрев   ощность суммарная 38 54 к т  габаритные размеры   х х   1060х2730х1215 мм  напряжение 380  ")</f>
        <v> аландр гладильный типа    2250   лектрический обогрев   ощность суммарная 38 54 к т  габаритные размеры   х х   1060х2730х1215 мм  напряжение 380  </v>
      </c>
    </row>
    <row r="590">
      <c r="A590" s="35" t="s">
        <v>1286</v>
      </c>
      <c r="B590" s="31" t="s">
        <v>1287</v>
      </c>
      <c r="C590" s="31"/>
      <c r="D590" s="37" t="s">
        <v>14</v>
      </c>
      <c r="E590" s="38">
        <v>2.0</v>
      </c>
      <c r="F590" s="38">
        <v>1002.0</v>
      </c>
      <c r="G590" s="11">
        <v>9131204.0</v>
      </c>
      <c r="H590" s="34" t="str">
        <f>IFERROR(__xludf.DUMMYFUNCTION("LOWER(REGEXREPLACE(B590&amp;"" ""&amp;C590,""[^а-яa-z0-9 ]"","" ""))")," аландр гладильный типа    2450   лектрический обогрев   ощность суммарная 42 14 к т  габаритные размеры   х х   1060х2970х1215 мм  напряжение 380  ")</f>
        <v> аландр гладильный типа    2450   лектрический обогрев   ощность суммарная 42 14 к т  габаритные размеры   х х   1060х2970х1215 мм  напряжение 380  </v>
      </c>
    </row>
    <row r="591">
      <c r="A591" s="35" t="s">
        <v>1288</v>
      </c>
      <c r="B591" s="31" t="s">
        <v>1289</v>
      </c>
      <c r="C591" s="31"/>
      <c r="D591" s="37" t="s">
        <v>14</v>
      </c>
      <c r="E591" s="38">
        <v>2.0</v>
      </c>
      <c r="F591" s="38">
        <v>2470.0</v>
      </c>
      <c r="G591" s="11">
        <v>1.6475233E7</v>
      </c>
      <c r="H591" s="34" t="str">
        <f>IFERROR(__xludf.DUMMYFUNCTION("LOWER(REGEXREPLACE(B591&amp;"" ""&amp;C591,""[^а-яa-z0-9 ]"","" ""))")," аландр гладильный типа    2880   лектрический обогрев   ощность суммарная 75 89 к т  габаритные размеры   х х   1550х3870х1635 мм  напряжение 380  ")</f>
        <v> аландр гладильный типа    2880   лектрический обогрев   ощность суммарная 75 89 к т  габаритные размеры   х х   1550х3870х1635 мм  напряжение 380  </v>
      </c>
    </row>
    <row r="592">
      <c r="A592" s="35" t="s">
        <v>1290</v>
      </c>
      <c r="B592" s="31" t="s">
        <v>1291</v>
      </c>
      <c r="C592" s="31" t="s">
        <v>1292</v>
      </c>
      <c r="D592" s="37" t="s">
        <v>14</v>
      </c>
      <c r="E592" s="38">
        <v>2.0</v>
      </c>
      <c r="F592" s="38">
        <v>1990.0</v>
      </c>
      <c r="G592" s="11">
        <v>1.697646E7</v>
      </c>
      <c r="H592" s="34" t="str">
        <f>IFERROR(__xludf.DUMMYFUNCTION("LOWER(REGEXREPLACE(B592&amp;"" ""&amp;C592,""[^а-яa-z0-9 ]"","" ""))"),"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"&amp;"проходного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в"&amp;"лажности  автоматическая регулировка скорости и температуры глажки  предназначен для глажения с остаточной влажностью 50   ")</f>
        <v>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3">
      <c r="A593" s="35" t="s">
        <v>1293</v>
      </c>
      <c r="B593" s="31" t="s">
        <v>1294</v>
      </c>
      <c r="C593" s="31" t="s">
        <v>1295</v>
      </c>
      <c r="D593" s="37" t="s">
        <v>14</v>
      </c>
      <c r="E593" s="38">
        <v>2.0</v>
      </c>
      <c r="F593" s="38">
        <v>2103.0</v>
      </c>
      <c r="G593" s="11">
        <v>1.7612265E7</v>
      </c>
      <c r="H593" s="34" t="str">
        <f>IFERROR(__xludf.DUMMYFUNCTION("LOWER(REGEXREPLACE(B593&amp;"" ""&amp;C593,""[^а-яa-z0-9 ]"","" ""))"),"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"&amp;"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"&amp;"влажности  автоматическая регулировка скорости и температуры глажки  предназначен для глажения с остаточной влажностью 50   ")</f>
        <v>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4">
      <c r="A594" s="35" t="s">
        <v>1296</v>
      </c>
      <c r="B594" s="9" t="s">
        <v>1297</v>
      </c>
      <c r="C594" s="31" t="s">
        <v>1298</v>
      </c>
      <c r="D594" s="37" t="s">
        <v>14</v>
      </c>
      <c r="E594" s="38">
        <v>2.0</v>
      </c>
      <c r="F594" s="38">
        <v>360.0</v>
      </c>
      <c r="G594" s="11">
        <v>1.2324239E7</v>
      </c>
      <c r="H594" s="34" t="str">
        <f>IFERROR(__xludf.DUMMYFUNCTION("LOWER(REGEXREPLACE(B594&amp;"" ""&amp;C594,""[^а-яa-z0-9 ]"","" ""))"),"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двойно"&amp;"й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у"&amp;"правляемый инвертером и регулируемая скорость  предназначен для глажения с остаточной влажностью 50   ")</f>
        <v>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595">
      <c r="A595" s="35" t="s">
        <v>1299</v>
      </c>
      <c r="B595" s="31" t="s">
        <v>1300</v>
      </c>
      <c r="C595" s="31" t="s">
        <v>1301</v>
      </c>
      <c r="D595" s="37" t="s">
        <v>14</v>
      </c>
      <c r="E595" s="38">
        <v>2.0</v>
      </c>
      <c r="F595" s="38">
        <v>540.0</v>
      </c>
      <c r="G595" s="11">
        <v>1.6867839E7</v>
      </c>
      <c r="H595" s="34" t="str">
        <f>IFERROR(__xludf.DUMMYFUNCTION("LOWER(REGEXREPLACE(B595&amp;"" ""&amp;C595,""[^а-яa-z0-9 ]"","" ""))"),"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гладильный"&amp;"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дв"&amp;"игатель управляемый инвертером и регулируемая скорость  предназначен для глажения с остаточной влажностью 50   ")</f>
        <v>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6">
      <c r="A596" s="35" t="s">
        <v>1302</v>
      </c>
      <c r="B596" s="31" t="s">
        <v>1303</v>
      </c>
      <c r="C596" s="31" t="s">
        <v>1304</v>
      </c>
      <c r="D596" s="37" t="s">
        <v>14</v>
      </c>
      <c r="E596" s="38">
        <v>2.0</v>
      </c>
      <c r="F596" s="38">
        <v>602.0</v>
      </c>
      <c r="G596" s="11">
        <v>1.987069E7</v>
      </c>
      <c r="H596" s="34" t="str">
        <f>IFERROR(__xludf.DUMMYFUNCTION("LOWER(REGEXREPLACE(B596&amp;"" ""&amp;C596,""[^а-яa-z0-9 ]"","" ""))"),"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7">
      <c r="A597" s="35" t="s">
        <v>1305</v>
      </c>
      <c r="B597" s="9" t="s">
        <v>1306</v>
      </c>
      <c r="C597" s="31" t="s">
        <v>1304</v>
      </c>
      <c r="D597" s="37" t="s">
        <v>14</v>
      </c>
      <c r="E597" s="38">
        <v>2.0</v>
      </c>
      <c r="F597" s="38">
        <v>700.0</v>
      </c>
      <c r="G597" s="11">
        <v>2.3777766E7</v>
      </c>
      <c r="H597" s="34" t="str">
        <f>IFERROR(__xludf.DUMMYFUNCTION("LOWER(REGEXREPLACE(B597&amp;"" ""&amp;C597,""[^а-яa-z0-9 ]"","" ""))"),"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контро"&amp;"ль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управляе"&amp;"мый инвертером и регулируемая скорость  предназначен для глажения с остаточной влажностью 50   ")</f>
        <v>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8">
      <c r="A598" s="35" t="s">
        <v>1307</v>
      </c>
      <c r="B598" s="9" t="s">
        <v>1308</v>
      </c>
      <c r="C598" s="31" t="s">
        <v>1304</v>
      </c>
      <c r="D598" s="37" t="s">
        <v>14</v>
      </c>
      <c r="E598" s="38">
        <v>2.0</v>
      </c>
      <c r="F598" s="38">
        <v>810.0</v>
      </c>
      <c r="G598" s="11">
        <v>2.6905787E7</v>
      </c>
      <c r="H598" s="34" t="str">
        <f>IFERROR(__xludf.DUMMYFUNCTION("LOWER(REGEXREPLACE(B598&amp;"" ""&amp;C598,""[^а-яa-z0-9 ]"","" ""))"),"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гладил"&amp;"ьный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термостататом"&amp;"  двигатель управляемый инвертером и регулируемая скорость  предназначен для глажения с остаточной влажностью 50   ")</f>
        <v>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9">
      <c r="A599" s="35" t="s">
        <v>1309</v>
      </c>
      <c r="B599" s="31" t="s">
        <v>1310</v>
      </c>
      <c r="C599" s="31" t="s">
        <v>1304</v>
      </c>
      <c r="D599" s="37" t="s">
        <v>14</v>
      </c>
      <c r="E599" s="38">
        <v>2.0</v>
      </c>
      <c r="F599" s="38">
        <v>1288.0</v>
      </c>
      <c r="G599" s="11">
        <v>3.5093898E7</v>
      </c>
      <c r="H599" s="34" t="str">
        <f>IFERROR(__xludf.DUMMYFUNCTION("LOWER(REGEXREPLACE(B599&amp;"" ""&amp;C599,""[^а-яa-z0-9 ]"","" ""))"),"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0">
      <c r="A600" s="35" t="s">
        <v>1311</v>
      </c>
      <c r="B600" s="31" t="s">
        <v>1312</v>
      </c>
      <c r="C600" s="31" t="s">
        <v>1304</v>
      </c>
      <c r="D600" s="37" t="s">
        <v>14</v>
      </c>
      <c r="E600" s="38">
        <v>2.0</v>
      </c>
      <c r="F600" s="38">
        <v>1413.0</v>
      </c>
      <c r="G600" s="11">
        <v>3.7277674E7</v>
      </c>
      <c r="H600" s="34" t="str">
        <f>IFERROR(__xludf.DUMMYFUNCTION("LOWER(REGEXREPLACE(B600&amp;"" ""&amp;C600,""[^а-яa-z0-9 ]"","" ""))"),"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1">
      <c r="A601" s="35" t="s">
        <v>1313</v>
      </c>
      <c r="B601" s="31" t="s">
        <v>1314</v>
      </c>
      <c r="C601" s="31" t="s">
        <v>1298</v>
      </c>
      <c r="D601" s="37" t="s">
        <v>14</v>
      </c>
      <c r="E601" s="38">
        <v>2.0</v>
      </c>
      <c r="F601" s="38">
        <v>1800.0</v>
      </c>
      <c r="G601" s="11">
        <v>4.1083235E7</v>
      </c>
      <c r="H601" s="34" t="str">
        <f>IFERROR(__xludf.DUMMYFUNCTION("LOWER(REGEXREPLACE(B601&amp;"" ""&amp;C601,""[^а-яa-z0-9 ]"","" ""))"),"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"&amp;"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двиг"&amp;"атель управляемый инвертером и регулируемая скорость  предназначен для глажения с остаточной влажностью 50   ")</f>
        <v>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602">
      <c r="A602" s="35" t="s">
        <v>1315</v>
      </c>
      <c r="B602" s="31" t="s">
        <v>1316</v>
      </c>
      <c r="C602" s="31"/>
      <c r="D602" s="37" t="s">
        <v>14</v>
      </c>
      <c r="E602" s="10"/>
      <c r="F602" s="36"/>
      <c r="G602" s="11"/>
      <c r="H602" s="34" t="str">
        <f>IFERROR(__xludf.DUMMYFUNCTION("LOWER(REGEXREPLACE(B602&amp;"" ""&amp;C602,""[^а-яa-z0-9 ]"","" ""))")," ресс гладильный ")</f>
        <v> ресс гладильный </v>
      </c>
    </row>
    <row r="603">
      <c r="A603" s="35" t="s">
        <v>1317</v>
      </c>
      <c r="B603" s="31" t="s">
        <v>1318</v>
      </c>
      <c r="C603" s="31"/>
      <c r="D603" s="37" t="s">
        <v>14</v>
      </c>
      <c r="E603" s="38">
        <v>2.0</v>
      </c>
      <c r="F603" s="38">
        <v>795.0</v>
      </c>
      <c r="G603" s="11">
        <v>8032920.0</v>
      </c>
      <c r="H603" s="34" t="str">
        <f>IFERROR(__xludf.DUMMYFUNCTION("LOWER(REGEXREPLACE(B603&amp;"" ""&amp;C603,""[^а-яa-z0-9 ]"","" ""))")," ресс гладильный типа    150   абаритные размеры гладильного стола   х   1490х540 мм  мощность суммарная 11 17 к т  напряжение 380  ")</f>
        <v> ресс гладильный типа    150   абаритные размеры гладильного стола   х   1490х540 мм  мощность суммарная 11 17 к т  напряжение 380  </v>
      </c>
    </row>
    <row r="604">
      <c r="A604" s="35" t="s">
        <v>1319</v>
      </c>
      <c r="B604" s="9" t="s">
        <v>1320</v>
      </c>
      <c r="C604" s="31" t="s">
        <v>1321</v>
      </c>
      <c r="D604" s="37" t="s">
        <v>14</v>
      </c>
      <c r="E604" s="38">
        <v>2.0</v>
      </c>
      <c r="F604" s="38">
        <v>410.0</v>
      </c>
      <c r="G604" s="11">
        <v>1.4213134E7</v>
      </c>
      <c r="H604" s="34" t="str">
        <f>IFERROR(__xludf.DUMMYFUNCTION("LOWER(REGEXREPLACE(B604&amp;"" ""&amp;C604,""[^а-яa-z0-9 ]"","" ""))"),"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"&amp;" отпаривающая верхняя поверхность  нижняя поверхность с отпариванием и аспирацией ")</f>
        <v>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отпаривающая верхняя поверхность  нижняя поверхность с отпариванием и аспирацией </v>
      </c>
    </row>
    <row r="605">
      <c r="A605" s="35" t="s">
        <v>1322</v>
      </c>
      <c r="B605" s="31" t="s">
        <v>1323</v>
      </c>
      <c r="C605" s="31" t="s">
        <v>1324</v>
      </c>
      <c r="D605" s="37" t="s">
        <v>14</v>
      </c>
      <c r="E605" s="38">
        <v>2.0</v>
      </c>
      <c r="F605" s="38">
        <v>295.0</v>
      </c>
      <c r="G605" s="11">
        <v>1.4635258E7</v>
      </c>
      <c r="H605" s="34" t="str">
        <f>IFERROR(__xludf.DUMMYFUNCTION("LOWER(REGEXREPLACE(B605&amp;"" ""&amp;C605,""[^а-яa-z0-9 ]"","" ""))"),"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без"&amp;" аспирации  регулируемое давление прижима  открытие верхней поверхности под углом 50 градусов  бойлер объ мом 7 литров  давление 5 6 бар ")</f>
        <v>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 мом 7 литров  давление 5 6 бар </v>
      </c>
    </row>
    <row r="606">
      <c r="A606" s="35" t="s">
        <v>1325</v>
      </c>
      <c r="B606" s="31" t="s">
        <v>1326</v>
      </c>
      <c r="C606" s="31"/>
      <c r="D606" s="37" t="s">
        <v>14</v>
      </c>
      <c r="E606" s="10"/>
      <c r="F606" s="36"/>
      <c r="G606" s="11"/>
      <c r="H606" s="34" t="str">
        <f>IFERROR(__xludf.DUMMYFUNCTION("LOWER(REGEXREPLACE(B606&amp;"" ""&amp;C606,""[^а-яa-z0-9 ]"","" ""))")," теллаж металлический ")</f>
        <v> теллаж металлический </v>
      </c>
    </row>
    <row r="607">
      <c r="A607" s="35" t="s">
        <v>1327</v>
      </c>
      <c r="B607" s="31" t="s">
        <v>1328</v>
      </c>
      <c r="C607" s="31" t="s">
        <v>1329</v>
      </c>
      <c r="D607" s="37" t="s">
        <v>14</v>
      </c>
      <c r="E607" s="38">
        <v>2.0</v>
      </c>
      <c r="F607" s="38">
        <v>28.0</v>
      </c>
      <c r="G607" s="11">
        <v>136585.0</v>
      </c>
      <c r="H607" s="34" t="str">
        <f>IFERROR(__xludf.DUMMYFUNCTION("LOWER(REGEXREPLACE(B607&amp;"" ""&amp;C607,""[^а-яa-z0-9 ]"","" ""))"),"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д"&amp;"ля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показател"&amp;"ями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f>
        <v>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v>
      </c>
    </row>
    <row r="608">
      <c r="A608" s="35" t="s">
        <v>1330</v>
      </c>
      <c r="B608" s="31" t="s">
        <v>1331</v>
      </c>
      <c r="C608" s="31" t="s">
        <v>1332</v>
      </c>
      <c r="D608" s="37" t="s">
        <v>14</v>
      </c>
      <c r="E608" s="38">
        <v>2.0</v>
      </c>
      <c r="F608" s="38">
        <v>30.0</v>
      </c>
      <c r="G608" s="11">
        <v>145643.0</v>
      </c>
      <c r="H608" s="34" t="str">
        <f>IFERROR(__xludf.DUMMYFUNCTION("LOWER(REGEXREPLACE(B608&amp;"" ""&amp;C608,""[^а-яa-z0-9 ]"","" ""))"),"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для"&amp;"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показателям"&amp;"и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f>
        <v>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v>
      </c>
    </row>
    <row r="609">
      <c r="A609" s="35" t="s">
        <v>1333</v>
      </c>
      <c r="B609" s="31" t="s">
        <v>1334</v>
      </c>
      <c r="C609" s="31" t="s">
        <v>1335</v>
      </c>
      <c r="D609" s="37" t="s">
        <v>14</v>
      </c>
      <c r="E609" s="38">
        <v>2.0</v>
      </c>
      <c r="F609" s="38">
        <v>32.0</v>
      </c>
      <c r="G609" s="11">
        <v>155524.0</v>
      </c>
      <c r="H609" s="34" t="str">
        <f>IFERROR(__xludf.DUMMYFUNCTION("LOWER(REGEXREPLACE(B609&amp;"" ""&amp;C609,""[^а-яa-z0-9 ]"","" ""))"),"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размещен"&amp;"ия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по"&amp;"лимерное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f>
        <v>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v>
      </c>
    </row>
    <row r="610">
      <c r="A610" s="35" t="s">
        <v>1336</v>
      </c>
      <c r="B610" s="31" t="s">
        <v>1337</v>
      </c>
      <c r="C610" s="31" t="s">
        <v>1338</v>
      </c>
      <c r="D610" s="37" t="s">
        <v>14</v>
      </c>
      <c r="E610" s="38">
        <v>2.0</v>
      </c>
      <c r="F610" s="38">
        <v>24.0</v>
      </c>
      <c r="G610" s="11">
        <v>205282.0</v>
      </c>
      <c r="H610" s="34" t="str">
        <f>IFERROR(__xludf.DUMMYFUNCTION("LOWER(REGEXREPLACE(B610&amp;"" ""&amp;C610,""[^а-яa-z0-9 ]"","" ""))"),"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f>
        <v>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v>
      </c>
    </row>
    <row r="611">
      <c r="A611" s="35" t="s">
        <v>1339</v>
      </c>
      <c r="B611" s="31" t="s">
        <v>1340</v>
      </c>
      <c r="C611" s="31" t="s">
        <v>1341</v>
      </c>
      <c r="D611" s="37" t="s">
        <v>14</v>
      </c>
      <c r="E611" s="38">
        <v>2.0</v>
      </c>
      <c r="F611" s="38">
        <v>24.0</v>
      </c>
      <c r="G611" s="11">
        <v>234867.0</v>
      </c>
      <c r="H611" s="34" t="str">
        <f>IFERROR(__xludf.DUMMYFUNCTION("LOWER(REGEXREPLACE(B611&amp;"" ""&amp;C611,""[^а-яa-z0-9 ]"","" ""))"),"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f>
        <v>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2">
      <c r="A612" s="35" t="s">
        <v>1342</v>
      </c>
      <c r="B612" s="31" t="s">
        <v>1343</v>
      </c>
      <c r="C612" s="31" t="s">
        <v>1344</v>
      </c>
      <c r="D612" s="37" t="s">
        <v>14</v>
      </c>
      <c r="E612" s="38">
        <v>2.0</v>
      </c>
      <c r="F612" s="38">
        <v>21.0</v>
      </c>
      <c r="G612" s="11">
        <v>101246.0</v>
      </c>
      <c r="H612" s="34" t="str">
        <f>IFERROR(__xludf.DUMMYFUNCTION("LOWER(REGEXREPLACE(B612&amp;"" ""&amp;C612,""[^а-яa-z0-9 ]"","" ""))"),"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3">
      <c r="A613" s="35" t="s">
        <v>1345</v>
      </c>
      <c r="B613" s="31" t="s">
        <v>1346</v>
      </c>
      <c r="C613" s="31" t="s">
        <v>1344</v>
      </c>
      <c r="D613" s="37" t="s">
        <v>14</v>
      </c>
      <c r="E613" s="38">
        <v>2.0</v>
      </c>
      <c r="F613" s="38">
        <v>24.0</v>
      </c>
      <c r="G613" s="11">
        <v>126071.0</v>
      </c>
      <c r="H613" s="34" t="str">
        <f>IFERROR(__xludf.DUMMYFUNCTION("LOWER(REGEXREPLACE(B613&amp;"" ""&amp;C613,""[^а-яa-z0-9 ]"","" ""))"),"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4">
      <c r="A614" s="35" t="s">
        <v>1347</v>
      </c>
      <c r="B614" s="31" t="s">
        <v>1348</v>
      </c>
      <c r="C614" s="31" t="s">
        <v>1344</v>
      </c>
      <c r="D614" s="37" t="s">
        <v>14</v>
      </c>
      <c r="E614" s="38">
        <v>2.0</v>
      </c>
      <c r="F614" s="38">
        <v>24.0</v>
      </c>
      <c r="G614" s="11">
        <v>157565.0</v>
      </c>
      <c r="H614" s="34" t="str">
        <f>IFERROR(__xludf.DUMMYFUNCTION("LOWER(REGEXREPLACE(B614&amp;"" ""&amp;C614,""[^а-яa-z0-9 ]"","" ""))"),"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5">
      <c r="A615" s="35" t="s">
        <v>1349</v>
      </c>
      <c r="B615" s="31" t="s">
        <v>1350</v>
      </c>
      <c r="C615" s="31" t="s">
        <v>1351</v>
      </c>
      <c r="D615" s="37" t="s">
        <v>14</v>
      </c>
      <c r="E615" s="38">
        <v>2.0</v>
      </c>
      <c r="F615" s="38">
        <v>26.0</v>
      </c>
      <c r="G615" s="11">
        <v>195746.0</v>
      </c>
      <c r="H615" s="34" t="str">
        <f>IFERROR(__xludf.DUMMYFUNCTION("LOWER(REGEXREPLACE(B615&amp;"" ""&amp;C615,""[^а-яa-z0-9 ]"","" ""))"),"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6">
      <c r="A616" s="35" t="s">
        <v>1352</v>
      </c>
      <c r="B616" s="31" t="s">
        <v>1353</v>
      </c>
      <c r="C616" s="31" t="s">
        <v>1351</v>
      </c>
      <c r="D616" s="37" t="s">
        <v>14</v>
      </c>
      <c r="E616" s="38">
        <v>2.0</v>
      </c>
      <c r="F616" s="38">
        <v>28.0</v>
      </c>
      <c r="G616" s="11">
        <v>214842.0</v>
      </c>
      <c r="H616" s="34" t="str">
        <f>IFERROR(__xludf.DUMMYFUNCTION("LOWER(REGEXREPLACE(B616&amp;"" ""&amp;C616,""[^а-яa-z0-9 ]"","" ""))"),"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7">
      <c r="A617" s="35" t="s">
        <v>1354</v>
      </c>
      <c r="B617" s="31" t="s">
        <v>1355</v>
      </c>
      <c r="C617" s="31" t="s">
        <v>1356</v>
      </c>
      <c r="D617" s="37" t="s">
        <v>14</v>
      </c>
      <c r="E617" s="38">
        <v>2.0</v>
      </c>
      <c r="F617" s="38">
        <v>13.0</v>
      </c>
      <c r="G617" s="11">
        <v>71629.0</v>
      </c>
      <c r="H617" s="34" t="str">
        <f>IFERROR(__xludf.DUMMYFUNCTION("LOWER(REGEXREPLACE(B617&amp;"" ""&amp;C617,""[^а-яa-z0-9 ]"","" ""))"),"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разм"&amp;"ещения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"&amp;"незаметной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б"&amp;"олее 100 кг ")</f>
        <v>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18">
      <c r="A618" s="35" t="s">
        <v>1357</v>
      </c>
      <c r="B618" s="31" t="s">
        <v>1358</v>
      </c>
      <c r="C618" s="31" t="s">
        <v>1359</v>
      </c>
      <c r="D618" s="37" t="s">
        <v>14</v>
      </c>
      <c r="E618" s="38">
        <v>2.0</v>
      </c>
      <c r="F618" s="38">
        <v>16.0</v>
      </c>
      <c r="G618" s="11">
        <v>75755.0</v>
      </c>
      <c r="H618" s="34" t="str">
        <f>IFERROR(__xludf.DUMMYFUNCTION("LOWER(REGEXREPLACE(B618&amp;"" ""&amp;C618,""[^а-яa-z0-9 ]"","" ""))"),"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размещ"&amp;"ения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точной"&amp;"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не"&amp;" более 150 кг ")</f>
        <v>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19">
      <c r="A619" s="35" t="s">
        <v>1360</v>
      </c>
      <c r="B619" s="31" t="s">
        <v>1361</v>
      </c>
      <c r="C619" s="31" t="s">
        <v>1362</v>
      </c>
      <c r="D619" s="37" t="s">
        <v>14</v>
      </c>
      <c r="E619" s="38">
        <v>2.0</v>
      </c>
      <c r="F619" s="38">
        <v>19.0</v>
      </c>
      <c r="G619" s="11">
        <v>84274.0</v>
      </c>
      <c r="H619" s="34" t="str">
        <f>IFERROR(__xludf.DUMMYFUNCTION("LOWER(REGEXREPLACE(B619&amp;"" ""&amp;C619,""[^а-яa-z0-9 ]"","" ""))"),"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размещ"&amp;"ения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высоки"&amp;"ми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0">
      <c r="A620" s="35" t="s">
        <v>1363</v>
      </c>
      <c r="B620" s="31" t="s">
        <v>1364</v>
      </c>
      <c r="C620" s="31" t="s">
        <v>1365</v>
      </c>
      <c r="D620" s="37" t="s">
        <v>14</v>
      </c>
      <c r="E620" s="38">
        <v>2.0</v>
      </c>
      <c r="F620" s="38">
        <v>19.0</v>
      </c>
      <c r="G620" s="11">
        <v>134179.0</v>
      </c>
      <c r="H620" s="34" t="str">
        <f>IFERROR(__xludf.DUMMYFUNCTION("LOWER(REGEXREPLACE(B620&amp;"" ""&amp;C620,""[^а-яa-z0-9 ]"","" ""))"),"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раз"&amp;"мещения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100 кг ")</f>
        <v>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1">
      <c r="A621" s="35" t="s">
        <v>1366</v>
      </c>
      <c r="B621" s="31" t="s">
        <v>1367</v>
      </c>
      <c r="C621" s="31" t="s">
        <v>1368</v>
      </c>
      <c r="D621" s="37" t="s">
        <v>14</v>
      </c>
      <c r="E621" s="38">
        <v>2.0</v>
      </c>
      <c r="F621" s="38">
        <v>21.0</v>
      </c>
      <c r="G621" s="11">
        <v>145788.0</v>
      </c>
      <c r="H621" s="34" t="str">
        <f>IFERROR(__xludf.DUMMYFUNCTION("LOWER(REGEXREPLACE(B621&amp;"" ""&amp;C621,""[^а-яa-z0-9 ]"","" ""))"),"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разме"&amp;"щения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полк"&amp;"у не более 150 кг ")</f>
        <v>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2">
      <c r="A622" s="35" t="s">
        <v>1369</v>
      </c>
      <c r="B622" s="31" t="s">
        <v>1370</v>
      </c>
      <c r="C622" s="31" t="s">
        <v>1371</v>
      </c>
      <c r="D622" s="37" t="s">
        <v>14</v>
      </c>
      <c r="E622" s="38">
        <v>2.0</v>
      </c>
      <c r="F622" s="38">
        <v>23.0</v>
      </c>
      <c r="G622" s="11">
        <v>144644.0</v>
      </c>
      <c r="H622" s="34" t="str">
        <f>IFERROR(__xludf.DUMMYFUNCTION("LOWER(REGEXREPLACE(B622&amp;"" ""&amp;C622,""[^а-яa-z0-9 ]"","" ""))"),"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разм"&amp;"ещения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высок"&amp;"ими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3">
      <c r="A623" s="35" t="s">
        <v>1372</v>
      </c>
      <c r="B623" s="31" t="s">
        <v>1373</v>
      </c>
      <c r="C623" s="31" t="s">
        <v>1374</v>
      </c>
      <c r="D623" s="37" t="s">
        <v>14</v>
      </c>
      <c r="E623" s="38">
        <v>2.0</v>
      </c>
      <c r="F623" s="38">
        <v>19.0</v>
      </c>
      <c r="G623" s="11">
        <v>98375.0</v>
      </c>
      <c r="H623" s="34" t="str">
        <f>IFERROR(__xludf.DUMMYFUNCTION("LOWER(REGEXREPLACE(B623&amp;"" ""&amp;C623,""[^а-яa-z0-9 ]"","" ""))"),"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сварк"&amp;"и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на"&amp;" полку не более 100 кг ")</f>
        <v>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100 кг </v>
      </c>
    </row>
    <row r="624">
      <c r="A624" s="35" t="s">
        <v>1375</v>
      </c>
      <c r="B624" s="31" t="s">
        <v>1376</v>
      </c>
      <c r="C624" s="31" t="s">
        <v>1377</v>
      </c>
      <c r="D624" s="37" t="s">
        <v>14</v>
      </c>
      <c r="E624" s="38">
        <v>2.0</v>
      </c>
      <c r="F624" s="38">
        <v>21.0</v>
      </c>
      <c r="G624" s="11">
        <v>101711.0</v>
      </c>
      <c r="H624" s="34" t="str">
        <f>IFERROR(__xludf.DUMMYFUNCTION("LOWER(REGEXREPLACE(B624&amp;"" ""&amp;C624,""[^а-яa-z0-9 ]"","" ""))"),"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полк"&amp;"у не более 150 кг ")</f>
        <v>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150 кг </v>
      </c>
    </row>
    <row r="625">
      <c r="A625" s="35" t="s">
        <v>1378</v>
      </c>
      <c r="B625" s="31" t="s">
        <v>1379</v>
      </c>
      <c r="C625" s="31" t="s">
        <v>1380</v>
      </c>
      <c r="D625" s="37" t="s">
        <v>14</v>
      </c>
      <c r="E625" s="38">
        <v>2.0</v>
      </c>
      <c r="F625" s="38">
        <v>23.0</v>
      </c>
      <c r="G625" s="11">
        <v>114714.0</v>
      </c>
      <c r="H625" s="34" t="str">
        <f>IFERROR(__xludf.DUMMYFUNCTION("LOWER(REGEXREPLACE(B625&amp;"" ""&amp;C625,""[^а-яa-z0-9 ]"","" ""))"),"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кач"&amp;"ества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f>
        <v>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v>
      </c>
    </row>
    <row r="626">
      <c r="A626" s="35" t="s">
        <v>1381</v>
      </c>
      <c r="B626" s="31" t="s">
        <v>1382</v>
      </c>
      <c r="C626" s="31" t="s">
        <v>1383</v>
      </c>
      <c r="D626" s="37" t="s">
        <v>14</v>
      </c>
      <c r="E626" s="38">
        <v>2.0</v>
      </c>
      <c r="F626" s="38">
        <v>24.0</v>
      </c>
      <c r="G626" s="11">
        <v>115573.0</v>
      </c>
      <c r="H626" s="34" t="str">
        <f>IFERROR(__xludf.DUMMYFUNCTION("LOWER(REGEXREPLACE(B626&amp;"" ""&amp;C626,""[^а-яa-z0-9 ]"","" ""))"),"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7">
      <c r="A627" s="35" t="s">
        <v>1384</v>
      </c>
      <c r="B627" s="31" t="s">
        <v>1385</v>
      </c>
      <c r="C627" s="31" t="s">
        <v>1383</v>
      </c>
      <c r="D627" s="37" t="s">
        <v>14</v>
      </c>
      <c r="E627" s="38">
        <v>2.0</v>
      </c>
      <c r="F627" s="38">
        <v>24.0</v>
      </c>
      <c r="G627" s="11">
        <v>122254.0</v>
      </c>
      <c r="H627" s="34" t="str">
        <f>IFERROR(__xludf.DUMMYFUNCTION("LOWER(REGEXREPLACE(B627&amp;"" ""&amp;C627,""[^а-яa-z0-9 ]"","" ""))"),"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8">
      <c r="A628" s="35" t="s">
        <v>1386</v>
      </c>
      <c r="B628" s="31" t="s">
        <v>1387</v>
      </c>
      <c r="C628" s="31" t="s">
        <v>1388</v>
      </c>
      <c r="D628" s="37" t="s">
        <v>14</v>
      </c>
      <c r="E628" s="38">
        <v>2.0</v>
      </c>
      <c r="F628" s="38">
        <v>26.0</v>
      </c>
      <c r="G628" s="11">
        <v>126474.0</v>
      </c>
      <c r="H628" s="34" t="str">
        <f>IFERROR(__xludf.DUMMYFUNCTION("LOWER(REGEXREPLACE(B628&amp;"" ""&amp;C628,""[^а-яa-z0-9 ]"","" ""))"),"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9">
      <c r="A629" s="35" t="s">
        <v>1389</v>
      </c>
      <c r="B629" s="31" t="s">
        <v>1390</v>
      </c>
      <c r="C629" s="31" t="s">
        <v>1388</v>
      </c>
      <c r="D629" s="37" t="s">
        <v>14</v>
      </c>
      <c r="E629" s="38">
        <v>2.0</v>
      </c>
      <c r="F629" s="38">
        <v>26.0</v>
      </c>
      <c r="G629" s="11">
        <v>126474.0</v>
      </c>
      <c r="H629" s="34" t="str">
        <f>IFERROR(__xludf.DUMMYFUNCTION("LOWER(REGEXREPLACE(B629&amp;"" ""&amp;C629,""[^а-яa-z0-9 ]"","" ""))"),"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30">
      <c r="A630" s="35" t="s">
        <v>1391</v>
      </c>
      <c r="B630" s="31" t="s">
        <v>1392</v>
      </c>
      <c r="C630" s="31" t="s">
        <v>1393</v>
      </c>
      <c r="D630" s="37" t="s">
        <v>14</v>
      </c>
      <c r="E630" s="38">
        <v>2.0</v>
      </c>
      <c r="F630" s="38">
        <v>28.0</v>
      </c>
      <c r="G630" s="11">
        <v>121571.0</v>
      </c>
      <c r="H630" s="34" t="str">
        <f>IFERROR(__xludf.DUMMYFUNCTION("LOWER(REGEXREPLACE(B630&amp;"" ""&amp;C630,""[^а-яa-z0-9 ]"","" ""))"),"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1">
      <c r="A631" s="35" t="s">
        <v>1394</v>
      </c>
      <c r="B631" s="31" t="s">
        <v>1395</v>
      </c>
      <c r="C631" s="31" t="s">
        <v>1393</v>
      </c>
      <c r="D631" s="37" t="s">
        <v>14</v>
      </c>
      <c r="E631" s="38">
        <v>2.0</v>
      </c>
      <c r="F631" s="38">
        <v>28.0</v>
      </c>
      <c r="G631" s="11">
        <v>121571.0</v>
      </c>
      <c r="H631" s="34" t="str">
        <f>IFERROR(__xludf.DUMMYFUNCTION("LOWER(REGEXREPLACE(B631&amp;"" ""&amp;C631,""[^а-яa-z0-9 ]"","" ""))"),"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2">
      <c r="A632" s="35" t="s">
        <v>1396</v>
      </c>
      <c r="B632" s="31" t="s">
        <v>1397</v>
      </c>
      <c r="C632" s="31"/>
      <c r="D632" s="37" t="s">
        <v>14</v>
      </c>
      <c r="E632" s="10"/>
      <c r="F632" s="36"/>
      <c r="G632" s="11"/>
      <c r="H632" s="34" t="str">
        <f>IFERROR(__xludf.DUMMYFUNCTION("LOWER(REGEXREPLACE(B632&amp;"" ""&amp;C632,""[^а-яa-z0-9 ]"","" ""))")," паковщик ")</f>
        <v> паковщик </v>
      </c>
    </row>
    <row r="633">
      <c r="A633" s="35" t="s">
        <v>1398</v>
      </c>
      <c r="B633" s="9" t="s">
        <v>1399</v>
      </c>
      <c r="C633" s="31" t="s">
        <v>1400</v>
      </c>
      <c r="D633" s="37" t="s">
        <v>14</v>
      </c>
      <c r="E633" s="38">
        <v>2.0</v>
      </c>
      <c r="F633" s="38">
        <v>45.0</v>
      </c>
      <c r="G633" s="11">
        <v>1664673.0</v>
      </c>
      <c r="H633" s="34" t="str">
        <f>IFERROR(__xludf.DUMMYFUNCTION("LOWER(REGEXREPLACE(B633&amp;"" ""&amp;C633,""[^а-яa-z0-9 ]"","" ""))"),"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стен"&amp;"е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4">
      <c r="A634" s="35" t="s">
        <v>1401</v>
      </c>
      <c r="B634" s="31" t="s">
        <v>1402</v>
      </c>
      <c r="C634" s="31" t="s">
        <v>1400</v>
      </c>
      <c r="D634" s="37" t="s">
        <v>14</v>
      </c>
      <c r="E634" s="38">
        <v>2.0</v>
      </c>
      <c r="F634" s="38">
        <v>66.0</v>
      </c>
      <c r="G634" s="11">
        <v>2116144.0</v>
      </c>
      <c r="H634" s="34" t="str">
        <f>IFERROR(__xludf.DUMMYFUNCTION("LOWER(REGEXREPLACE(B634&amp;"" ""&amp;C634,""[^а-яa-z0-9 ]"","" ""))"),"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сте"&amp;"не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5">
      <c r="A635" s="35" t="s">
        <v>1403</v>
      </c>
      <c r="B635" s="31" t="s">
        <v>1404</v>
      </c>
      <c r="C635" s="31" t="s">
        <v>1405</v>
      </c>
      <c r="D635" s="37" t="s">
        <v>14</v>
      </c>
      <c r="E635" s="38">
        <v>2.0</v>
      </c>
      <c r="F635" s="38">
        <v>88.0</v>
      </c>
      <c r="G635" s="11">
        <v>3089537.0</v>
      </c>
      <c r="H635" s="34" t="str">
        <f>IFERROR(__xludf.DUMMYFUNCTION("LOWER(REGEXREPLACE(B635&amp;"" ""&amp;C635,""[^а-яa-z0-9 ]"","" ""))"),"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о"&amp;"деял и покрывал   одель оснащена пневматическим управлением и 4 колесами для удобства перемещения   аксимальный размер катушки  750 мм ")</f>
        <v>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одеял и покрывал   одель оснащена пневматическим управлением и 4 колесами для удобства перемещения   аксимальный размер катушки  750 мм </v>
      </c>
    </row>
    <row r="636">
      <c r="A636" s="35" t="s">
        <v>1406</v>
      </c>
      <c r="B636" s="31" t="s">
        <v>1407</v>
      </c>
      <c r="C636" s="31"/>
      <c r="D636" s="37" t="s">
        <v>14</v>
      </c>
      <c r="E636" s="10"/>
      <c r="F636" s="36"/>
      <c r="G636" s="11"/>
      <c r="H636" s="34" t="str">
        <f>IFERROR(__xludf.DUMMYFUNCTION("LOWER(REGEXREPLACE(B636&amp;"" ""&amp;C636,""[^а-яa-z0-9 ]"","" ""))")," тол пятновыводной ")</f>
        <v> тол пятновыводной </v>
      </c>
    </row>
    <row r="637">
      <c r="A637" s="35" t="s">
        <v>1408</v>
      </c>
      <c r="B637" s="31" t="s">
        <v>1409</v>
      </c>
      <c r="C637" s="31" t="s">
        <v>1410</v>
      </c>
      <c r="D637" s="37" t="s">
        <v>14</v>
      </c>
      <c r="E637" s="38">
        <v>2.0</v>
      </c>
      <c r="F637" s="38">
        <v>12.0</v>
      </c>
      <c r="G637" s="11">
        <v>2151511.0</v>
      </c>
      <c r="H637" s="34" t="str">
        <f>IFERROR(__xludf.DUMMYFUNCTION("LOWER(REGEXREPLACE(B637&amp;"" ""&amp;C637,""[^а-яa-z0-9 ]"","" ""))"),"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"&amp;"сушки  встроенным аспиратором  работающим от педали  баком для отделения жидкостей и воздушным фильтром ")</f>
        <v>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 </v>
      </c>
    </row>
    <row r="638">
      <c r="A638" s="35" t="s">
        <v>1411</v>
      </c>
      <c r="B638" s="9" t="s">
        <v>1412</v>
      </c>
      <c r="C638" s="31" t="s">
        <v>1413</v>
      </c>
      <c r="D638" s="37" t="s">
        <v>14</v>
      </c>
      <c r="E638" s="38">
        <v>2.0</v>
      </c>
      <c r="F638" s="38">
        <v>70.0</v>
      </c>
      <c r="G638" s="11">
        <v>5005142.0</v>
      </c>
      <c r="H638" s="34" t="str">
        <f>IFERROR(__xludf.DUMMYFUNCTION("LOWER(REGEXREPLACE(B638&amp;"" ""&amp;C638,""[^а-яa-z0-9 ]"","" ""))"),"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из"&amp;"делий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управлением"&amp;"  баком для сбора остатков жидкости и воздушным фильтром ")</f>
        <v>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 </v>
      </c>
    </row>
    <row r="639">
      <c r="A639" s="41" t="s">
        <v>1414</v>
      </c>
      <c r="B639" s="30"/>
      <c r="C639" s="31"/>
      <c r="D639" s="30"/>
      <c r="E639" s="32"/>
      <c r="F639" s="30"/>
      <c r="G639" s="33"/>
      <c r="H639" s="34" t="str">
        <f>IFERROR(__xludf.DUMMYFUNCTION("LOWER(REGEXREPLACE(B639&amp;"" ""&amp;C639,""[^а-яa-z0-9 ]"","" ""))")," ")</f>
        <v> </v>
      </c>
    </row>
    <row r="640">
      <c r="A640" s="35" t="s">
        <v>1415</v>
      </c>
      <c r="B640" s="31" t="s">
        <v>1416</v>
      </c>
      <c r="C640" s="31"/>
      <c r="D640" s="36"/>
      <c r="E640" s="10"/>
      <c r="F640" s="36"/>
      <c r="G640" s="11"/>
      <c r="H640" s="34" t="str">
        <f>IFERROR(__xludf.DUMMYFUNCTION("LOWER(REGEXREPLACE(B640&amp;"" ""&amp;C640,""[^а-яa-z0-9 ]"","" ""))")," редмет   узыка  ")</f>
        <v> редмет   узыка  </v>
      </c>
    </row>
    <row r="641">
      <c r="A641" s="35" t="s">
        <v>1417</v>
      </c>
      <c r="B641" s="31" t="s">
        <v>1418</v>
      </c>
      <c r="C641" s="31" t="s">
        <v>1419</v>
      </c>
      <c r="D641" s="37" t="s">
        <v>14</v>
      </c>
      <c r="E641" s="10"/>
      <c r="F641" s="36"/>
      <c r="G641" s="11">
        <v>1338393.0</v>
      </c>
      <c r="H641" s="34" t="str">
        <f>IFERROR(__xludf.DUMMYFUNCTION("LOWER(REGEXREPLACE(B641&amp;"" ""&amp;C641,""[^а-яa-z0-9 ]"","" ""))")," ианино  ианино акустическое в комплекте со стулом ")</f>
        <v> ианино  ианино акустическое в комплекте со стулом </v>
      </c>
    </row>
    <row r="642">
      <c r="A642" s="35" t="s">
        <v>1420</v>
      </c>
      <c r="B642" s="31" t="s">
        <v>1421</v>
      </c>
      <c r="C642" s="31"/>
      <c r="D642" s="36"/>
      <c r="E642" s="10"/>
      <c r="F642" s="36"/>
      <c r="G642" s="11"/>
      <c r="H642" s="34" t="str">
        <f>IFERROR(__xludf.DUMMYFUNCTION("LOWER(REGEXREPLACE(B642&amp;"" ""&amp;C642,""[^а-яa-z0-9 ]"","" ""))")," узыкальные инструменты ")</f>
        <v> узыкальные инструменты </v>
      </c>
    </row>
    <row r="643">
      <c r="A643" s="35" t="s">
        <v>1422</v>
      </c>
      <c r="B643" s="31" t="s">
        <v>1423</v>
      </c>
      <c r="C643" s="31"/>
      <c r="D643" s="37" t="s">
        <v>14</v>
      </c>
      <c r="E643" s="10"/>
      <c r="F643" s="36"/>
      <c r="G643" s="11">
        <v>79286.0</v>
      </c>
      <c r="H643" s="34" t="str">
        <f>IFERROR(__xludf.DUMMYFUNCTION("LOWER(REGEXREPLACE(B643&amp;"" ""&amp;C643,""[^а-яa-z0-9 ]"","" ""))")," крипичный комплект  ewa  iolin  utfit    1 2 ")</f>
        <v> крипичный комплект  ewa  iolin  utfit    1 2 </v>
      </c>
    </row>
    <row r="644">
      <c r="A644" s="35" t="s">
        <v>1424</v>
      </c>
      <c r="B644" s="31" t="s">
        <v>1425</v>
      </c>
      <c r="C644" s="31"/>
      <c r="D644" s="37" t="s">
        <v>14</v>
      </c>
      <c r="E644" s="10"/>
      <c r="F644" s="36"/>
      <c r="G644" s="11">
        <v>102768.0</v>
      </c>
      <c r="H644" s="34" t="str">
        <f>IFERROR(__xludf.DUMMYFUNCTION("LOWER(REGEXREPLACE(B644&amp;"" ""&amp;C644,""[^а-яa-z0-9 ]"","" ""))")," кустическая гитара  nya     1 ")</f>
        <v> кустическая гитара  nya     1 </v>
      </c>
    </row>
    <row r="645">
      <c r="A645" s="35" t="s">
        <v>1426</v>
      </c>
      <c r="B645" s="31" t="s">
        <v>1427</v>
      </c>
      <c r="C645" s="31"/>
      <c r="D645" s="37" t="s">
        <v>14</v>
      </c>
      <c r="E645" s="10"/>
      <c r="F645" s="36"/>
      <c r="G645" s="11">
        <v>85625.0</v>
      </c>
      <c r="H645" s="34" t="str">
        <f>IFERROR(__xludf.DUMMYFUNCTION("LOWER(REGEXREPLACE(B645&amp;"" ""&amp;C645,""[^а-яa-z0-9 ]"","" ""))")," лассическая гитара  alden  350 ")</f>
        <v> лассическая гитара  alden  350 </v>
      </c>
    </row>
    <row r="646">
      <c r="A646" s="35" t="s">
        <v>1428</v>
      </c>
      <c r="B646" s="31" t="s">
        <v>1429</v>
      </c>
      <c r="C646" s="31"/>
      <c r="D646" s="37" t="s">
        <v>14</v>
      </c>
      <c r="E646" s="10"/>
      <c r="F646" s="36"/>
      <c r="G646" s="11">
        <v>26607.0</v>
      </c>
      <c r="H646" s="34" t="str">
        <f>IFERROR(__xludf.DUMMYFUNCTION("LOWER(REGEXREPLACE(B646&amp;"" ""&amp;C646,""[^а-яa-z0-9 ]"","" ""))")," кулеле сопрано  nya     20 ")</f>
        <v> кулеле сопрано  nya     20 </v>
      </c>
    </row>
    <row r="647">
      <c r="A647" s="35" t="s">
        <v>1430</v>
      </c>
      <c r="B647" s="31" t="s">
        <v>1431</v>
      </c>
      <c r="C647" s="31"/>
      <c r="D647" s="37" t="s">
        <v>68</v>
      </c>
      <c r="E647" s="10"/>
      <c r="F647" s="36"/>
      <c r="G647" s="11">
        <v>199821.0</v>
      </c>
      <c r="H647" s="34" t="str">
        <f>IFERROR(__xludf.DUMMYFUNCTION("LOWER(REGEXREPLACE(B647&amp;"" ""&amp;C647,""[^а-яa-z0-9 ]"","" ""))")," абор электрогитара  quier  ffinity  eries  tratocaster      ake  lacid  lue ")</f>
        <v> абор электрогитара  quier  ffinity  eries  tratocaster      ake  lacid  lue </v>
      </c>
    </row>
    <row r="648">
      <c r="A648" s="35" t="s">
        <v>1432</v>
      </c>
      <c r="B648" s="31" t="s">
        <v>1433</v>
      </c>
      <c r="C648" s="31"/>
      <c r="D648" s="37" t="s">
        <v>68</v>
      </c>
      <c r="E648" s="10"/>
      <c r="F648" s="36"/>
      <c r="G648" s="11">
        <v>204911.0</v>
      </c>
      <c r="H648" s="34" t="str">
        <f>IFERROR(__xludf.DUMMYFUNCTION("LOWER(REGEXREPLACE(B648&amp;"" ""&amp;C648,""[^а-яa-z0-9 ]"","" ""))")," ас гитара  quier  ffinity  eries   recision  ass      ack  aurel  ingerboard  rown ")</f>
        <v> ас гитара  quier  ffinity  eries   recision  ass      ack  aurel  ingerboard  rown </v>
      </c>
    </row>
    <row r="649">
      <c r="A649" s="35" t="s">
        <v>1434</v>
      </c>
      <c r="B649" s="31" t="s">
        <v>1435</v>
      </c>
      <c r="C649" s="31"/>
      <c r="D649" s="37" t="s">
        <v>68</v>
      </c>
      <c r="E649" s="10"/>
      <c r="F649" s="36"/>
      <c r="G649" s="11">
        <v>487612.0</v>
      </c>
      <c r="H649" s="34" t="str">
        <f>IFERROR(__xludf.DUMMYFUNCTION("LOWER(REGEXREPLACE(B649&amp;"" ""&amp;C649,""[^а-яa-z0-9 ]"","" ""))")," дарная установка  retsch  rum set  nergy ")</f>
        <v> дарная установка  retsch  rum set  nergy </v>
      </c>
    </row>
    <row r="650">
      <c r="A650" s="35" t="s">
        <v>1436</v>
      </c>
      <c r="B650" s="31" t="s">
        <v>1437</v>
      </c>
      <c r="C650" s="31"/>
      <c r="D650" s="37" t="s">
        <v>14</v>
      </c>
      <c r="E650" s="10"/>
      <c r="F650" s="36"/>
      <c r="G650" s="11">
        <v>150188.0</v>
      </c>
      <c r="H650" s="34" t="str">
        <f>IFERROR(__xludf.DUMMYFUNCTION("LOWER(REGEXREPLACE(B650&amp;"" ""&amp;C650,""[^а-яa-z0-9 ]"","" ""))")," руба  oy  enson    202   b ")</f>
        <v> руба  oy  enson    202   b </v>
      </c>
    </row>
    <row r="651">
      <c r="A651" s="35" t="s">
        <v>1438</v>
      </c>
      <c r="B651" s="31" t="s">
        <v>1439</v>
      </c>
      <c r="C651" s="31"/>
      <c r="D651" s="37" t="s">
        <v>14</v>
      </c>
      <c r="E651" s="10"/>
      <c r="F651" s="36"/>
      <c r="G651" s="11">
        <v>189362.0</v>
      </c>
      <c r="H651" s="34" t="str">
        <f>IFERROR(__xludf.DUMMYFUNCTION("LOWER(REGEXREPLACE(B651&amp;"" ""&amp;C651,""[^а-яa-z0-9 ]"","" ""))")," ромбон тенор  oy  enson    227 ")</f>
        <v> ромбон тенор  oy  enson    227 </v>
      </c>
    </row>
    <row r="652">
      <c r="A652" s="35" t="s">
        <v>1440</v>
      </c>
      <c r="B652" s="31" t="s">
        <v>1441</v>
      </c>
      <c r="C652" s="31"/>
      <c r="D652" s="37" t="s">
        <v>14</v>
      </c>
      <c r="E652" s="10"/>
      <c r="F652" s="36"/>
      <c r="G652" s="11">
        <v>132589.0</v>
      </c>
      <c r="H652" s="34" t="str">
        <f>IFERROR(__xludf.DUMMYFUNCTION("LOWER(REGEXREPLACE(B652&amp;"" ""&amp;C652,""[^а-яa-z0-9 ]"","" ""))")," лейта  oy  enson    402  ")</f>
        <v> лейта  oy  enson    402  </v>
      </c>
    </row>
    <row r="653">
      <c r="A653" s="35" t="s">
        <v>1442</v>
      </c>
      <c r="B653" s="31" t="s">
        <v>1443</v>
      </c>
      <c r="C653" s="31"/>
      <c r="D653" s="37" t="s">
        <v>14</v>
      </c>
      <c r="E653" s="10"/>
      <c r="F653" s="36"/>
      <c r="G653" s="11">
        <v>1125804.0</v>
      </c>
      <c r="H653" s="34" t="str">
        <f>IFERROR(__xludf.DUMMYFUNCTION("LOWER(REGEXREPLACE(B653&amp;"" ""&amp;C653,""[^а-яa-z0-9 ]"","" ""))")," уба  oy  enson    301  b ")</f>
        <v> уба  oy  enson    301  b </v>
      </c>
    </row>
    <row r="654">
      <c r="A654" s="35" t="s">
        <v>1444</v>
      </c>
      <c r="B654" s="31" t="s">
        <v>1445</v>
      </c>
      <c r="C654" s="31"/>
      <c r="D654" s="37" t="s">
        <v>14</v>
      </c>
      <c r="E654" s="10"/>
      <c r="F654" s="36"/>
      <c r="G654" s="11">
        <v>334004.0</v>
      </c>
      <c r="H654" s="34" t="str">
        <f>IFERROR(__xludf.DUMMYFUNCTION("LOWER(REGEXREPLACE(B654&amp;"" ""&amp;C654,""[^а-яa-z0-9 ]"","" ""))")," аритон  oy  enson    301  b ")</f>
        <v> аритон  oy  enson    301  b </v>
      </c>
    </row>
    <row r="655">
      <c r="A655" s="35" t="s">
        <v>1446</v>
      </c>
      <c r="B655" s="31" t="s">
        <v>1447</v>
      </c>
      <c r="C655" s="31"/>
      <c r="D655" s="37" t="s">
        <v>14</v>
      </c>
      <c r="E655" s="10"/>
      <c r="F655" s="36"/>
      <c r="G655" s="11">
        <v>377638.0</v>
      </c>
      <c r="H655" s="34" t="str">
        <f>IFERROR(__xludf.DUMMYFUNCTION("LOWER(REGEXREPLACE(B655&amp;"" ""&amp;C655,""[^а-яa-z0-9 ]"","" ""))")," енор  oy  enson    202 ")</f>
        <v> енор  oy  enson    202 </v>
      </c>
    </row>
    <row r="656">
      <c r="A656" s="35" t="s">
        <v>1448</v>
      </c>
      <c r="B656" s="31" t="s">
        <v>1449</v>
      </c>
      <c r="C656" s="31"/>
      <c r="D656" s="37" t="s">
        <v>14</v>
      </c>
      <c r="E656" s="10"/>
      <c r="F656" s="36"/>
      <c r="G656" s="11">
        <v>273978.0</v>
      </c>
      <c r="H656" s="34" t="str">
        <f>IFERROR(__xludf.DUMMYFUNCTION("LOWER(REGEXREPLACE(B656&amp;"" ""&amp;C656,""[^а-яa-z0-9 ]"","" ""))")," енор  oy  enson    301  b ")</f>
        <v> енор  oy  enson    301  b </v>
      </c>
    </row>
    <row r="657">
      <c r="A657" s="35" t="s">
        <v>1450</v>
      </c>
      <c r="B657" s="31" t="s">
        <v>1451</v>
      </c>
      <c r="C657" s="31"/>
      <c r="D657" s="37" t="s">
        <v>14</v>
      </c>
      <c r="E657" s="10"/>
      <c r="F657" s="36"/>
      <c r="G657" s="11">
        <v>368839.0</v>
      </c>
      <c r="H657" s="34" t="str">
        <f>IFERROR(__xludf.DUMMYFUNCTION("LOWER(REGEXREPLACE(B657&amp;"" ""&amp;C657,""[^а-яa-z0-9 ]"","" ""))")," аксофон альт    201 ")</f>
        <v> аксофон альт    201 </v>
      </c>
    </row>
    <row r="658">
      <c r="A658" s="35" t="s">
        <v>1452</v>
      </c>
      <c r="B658" s="31" t="s">
        <v>1453</v>
      </c>
      <c r="C658" s="31"/>
      <c r="D658" s="37" t="s">
        <v>14</v>
      </c>
      <c r="E658" s="10"/>
      <c r="F658" s="36"/>
      <c r="G658" s="11">
        <v>479009.0</v>
      </c>
      <c r="H658" s="34" t="str">
        <f>IFERROR(__xludf.DUMMYFUNCTION("LOWER(REGEXREPLACE(B658&amp;"" ""&amp;C658,""[^а-яa-z0-9 ]"","" ""))")," енор саксофон  oy  enson    202 ")</f>
        <v> енор саксофон  oy  enson    202 </v>
      </c>
    </row>
    <row r="659">
      <c r="A659" s="35" t="s">
        <v>1454</v>
      </c>
      <c r="B659" s="31" t="s">
        <v>1455</v>
      </c>
      <c r="C659" s="31"/>
      <c r="D659" s="37" t="s">
        <v>14</v>
      </c>
      <c r="E659" s="10"/>
      <c r="F659" s="36"/>
      <c r="G659" s="11">
        <v>244085.0</v>
      </c>
      <c r="H659" s="34" t="str">
        <f>IFERROR(__xludf.DUMMYFUNCTION("LOWER(REGEXREPLACE(B659&amp;"" ""&amp;C659,""[^а-яa-z0-9 ]"","" ""))")," лейта пикколо  oy  enson    502 ")</f>
        <v> лейта пикколо  oy  enson    502 </v>
      </c>
    </row>
    <row r="660">
      <c r="A660" s="35" t="s">
        <v>1456</v>
      </c>
      <c r="B660" s="31" t="s">
        <v>1457</v>
      </c>
      <c r="C660" s="31"/>
      <c r="D660" s="37" t="s">
        <v>14</v>
      </c>
      <c r="E660" s="10"/>
      <c r="F660" s="36"/>
      <c r="G660" s="11">
        <v>168268.0</v>
      </c>
      <c r="H660" s="34" t="str">
        <f>IFERROR(__xludf.DUMMYFUNCTION("LOWER(REGEXREPLACE(B660&amp;"" ""&amp;C660,""[^а-яa-z0-9 ]"","" ""))")," орнет помповый  oy  enson    202  b ")</f>
        <v> орнет помповый  oy  enson    202  b </v>
      </c>
    </row>
    <row r="661">
      <c r="A661" s="35" t="s">
        <v>1458</v>
      </c>
      <c r="B661" s="31" t="s">
        <v>1459</v>
      </c>
      <c r="C661" s="31"/>
      <c r="D661" s="37" t="s">
        <v>14</v>
      </c>
      <c r="E661" s="10"/>
      <c r="F661" s="36"/>
      <c r="G661" s="11">
        <v>122344.0</v>
      </c>
      <c r="H661" s="34" t="str">
        <f>IFERROR(__xludf.DUMMYFUNCTION("LOWER(REGEXREPLACE(B661&amp;"" ""&amp;C661,""[^а-яa-z0-9 ]"","" ""))")," ларнет  oy  enson    217 ")</f>
        <v> ларнет  oy  enson    217 </v>
      </c>
    </row>
    <row r="662">
      <c r="A662" s="35" t="s">
        <v>1460</v>
      </c>
      <c r="B662" s="31" t="s">
        <v>1461</v>
      </c>
      <c r="C662" s="31"/>
      <c r="D662" s="37" t="s">
        <v>14</v>
      </c>
      <c r="E662" s="10"/>
      <c r="F662" s="36"/>
      <c r="G662" s="11">
        <v>255000.0</v>
      </c>
      <c r="H662" s="34" t="str">
        <f>IFERROR(__xludf.DUMMYFUNCTION("LOWER(REGEXREPLACE(B662&amp;"" ""&amp;C662,""[^а-яa-z0-9 ]"","" ""))")," интезатор  urzweil   300     ")</f>
        <v> интезатор  urzweil   300     </v>
      </c>
    </row>
    <row r="663">
      <c r="A663" s="35" t="s">
        <v>1462</v>
      </c>
      <c r="B663" s="31" t="s">
        <v>1463</v>
      </c>
      <c r="C663" s="31" t="s">
        <v>1464</v>
      </c>
      <c r="D663" s="37" t="s">
        <v>14</v>
      </c>
      <c r="E663" s="10"/>
      <c r="F663" s="36"/>
      <c r="G663" s="11">
        <v>44821.0</v>
      </c>
      <c r="H663" s="34" t="str">
        <f>IFERROR(__xludf.DUMMYFUNCTION("LOWER(REGEXREPLACE(B663&amp;"" ""&amp;C663,""[^а-яa-z0-9 ]"","" ""))")," арабан маршевый  арабан детский маршевый выполнен из натурального дерева  материал обода металлический   аплечный ремень и 2 палочки в комплекте ")</f>
        <v> арабан маршевый  арабан детский маршевый выполнен из натурального дерева  материал обода металлический   аплечный ремень и 2 палочки в комплекте </v>
      </c>
    </row>
    <row r="664">
      <c r="A664" s="35" t="s">
        <v>1465</v>
      </c>
      <c r="B664" s="31" t="s">
        <v>1466</v>
      </c>
      <c r="C664" s="31"/>
      <c r="D664" s="37" t="s">
        <v>14</v>
      </c>
      <c r="E664" s="10"/>
      <c r="F664" s="36"/>
      <c r="G664" s="11">
        <v>52946.0</v>
      </c>
      <c r="H664" s="34" t="str">
        <f>IFERROR(__xludf.DUMMYFUNCTION("LOWER(REGEXREPLACE(B664&amp;"" ""&amp;C664,""[^а-яa-z0-9 ]"","" ""))")," ахон с чехлом  ewa  ajon  lub  alsa ")</f>
        <v> ахон с чехлом  ewa  ajon  lub  alsa </v>
      </c>
    </row>
    <row r="665">
      <c r="A665" s="35" t="s">
        <v>1467</v>
      </c>
      <c r="B665" s="31" t="s">
        <v>1468</v>
      </c>
      <c r="C665" s="31"/>
      <c r="D665" s="37" t="s">
        <v>14</v>
      </c>
      <c r="E665" s="10"/>
      <c r="F665" s="36"/>
      <c r="G665" s="11">
        <v>81241.0</v>
      </c>
      <c r="H665" s="34" t="str">
        <f>IFERROR(__xludf.DUMMYFUNCTION("LOWER(REGEXREPLACE(B665&amp;"" ""&amp;C665,""[^а-яa-z0-9 ]"","" ""))")," тнический барабан  oca   809 250 ")</f>
        <v> тнический барабан  oca   809 250 </v>
      </c>
    </row>
    <row r="666">
      <c r="A666" s="35" t="s">
        <v>1469</v>
      </c>
      <c r="B666" s="31" t="s">
        <v>1470</v>
      </c>
      <c r="C666" s="31"/>
      <c r="D666" s="37" t="s">
        <v>14</v>
      </c>
      <c r="E666" s="10"/>
      <c r="F666" s="36"/>
      <c r="G666" s="11">
        <v>6871.0</v>
      </c>
      <c r="H666" s="34" t="str">
        <f>IFERROR(__xludf.DUMMYFUNCTION("LOWER(REGEXREPLACE(B666&amp;"" ""&amp;C666,""[^а-яa-z0-9 ]"","" ""))")," реугольник  ewa 827 520 ")</f>
        <v> реугольник  ewa 827 520 </v>
      </c>
    </row>
    <row r="667">
      <c r="A667" s="35" t="s">
        <v>1471</v>
      </c>
      <c r="B667" s="31" t="s">
        <v>1472</v>
      </c>
      <c r="C667" s="31"/>
      <c r="D667" s="37" t="s">
        <v>14</v>
      </c>
      <c r="E667" s="10"/>
      <c r="F667" s="36"/>
      <c r="G667" s="11">
        <v>7857.0</v>
      </c>
      <c r="H667" s="34" t="str">
        <f>IFERROR(__xludf.DUMMYFUNCTION("LOWER(REGEXREPLACE(B667&amp;"" ""&amp;C667,""[^а-яa-z0-9 ]"","" ""))")," ейкер     wist  haker  oft   441    ")</f>
        <v> ейкер     wist  haker  oft   441    </v>
      </c>
    </row>
    <row r="668">
      <c r="A668" s="35" t="s">
        <v>1473</v>
      </c>
      <c r="B668" s="31" t="s">
        <v>1474</v>
      </c>
      <c r="C668" s="31"/>
      <c r="D668" s="37" t="s">
        <v>14</v>
      </c>
      <c r="E668" s="10"/>
      <c r="F668" s="36"/>
      <c r="G668" s="11">
        <v>6509.0</v>
      </c>
      <c r="H668" s="34" t="str">
        <f>IFERROR(__xludf.DUMMYFUNCTION("LOWER(REGEXREPLACE(B668&amp;"" ""&amp;C668,""[^а-яa-z0-9 ]"","" ""))")," ластиковый ручной тамбурин      861 402 ")</f>
        <v> ластиковый ручной тамбурин      861 402 </v>
      </c>
    </row>
    <row r="669">
      <c r="A669" s="35" t="s">
        <v>1475</v>
      </c>
      <c r="B669" s="31" t="s">
        <v>1476</v>
      </c>
      <c r="C669" s="31" t="s">
        <v>1477</v>
      </c>
      <c r="D669" s="37" t="s">
        <v>1478</v>
      </c>
      <c r="E669" s="10"/>
      <c r="F669" s="36"/>
      <c r="G669" s="11">
        <v>18321.0</v>
      </c>
      <c r="H669" s="34" t="str">
        <f>IFERROR(__xludf.DUMMYFUNCTION("LOWER(REGEXREPLACE(B669&amp;"" ""&amp;C669,""[^а-яa-z0-9 ]"","" ""))"),"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f>
        <v>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v>
      </c>
    </row>
    <row r="670">
      <c r="A670" s="35" t="s">
        <v>1479</v>
      </c>
      <c r="B670" s="31" t="s">
        <v>1480</v>
      </c>
      <c r="C670" s="31"/>
      <c r="D670" s="36"/>
      <c r="E670" s="10"/>
      <c r="F670" s="36"/>
      <c r="G670" s="11"/>
      <c r="H670" s="34" t="str">
        <f>IFERROR(__xludf.DUMMYFUNCTION("LOWER(REGEXREPLACE(B670&amp;"" ""&amp;C670,""[^а-яa-z0-9 ]"","" ""))")," редмет   рудовое обучение  ")</f>
        <v> редмет   рудовое обучение  </v>
      </c>
    </row>
    <row r="671">
      <c r="A671" s="35" t="s">
        <v>1481</v>
      </c>
      <c r="B671" s="31" t="s">
        <v>1482</v>
      </c>
      <c r="C671" s="31"/>
      <c r="D671" s="37" t="s">
        <v>14</v>
      </c>
      <c r="E671" s="10"/>
      <c r="F671" s="36"/>
      <c r="G671" s="11"/>
      <c r="H671" s="34" t="str">
        <f>IFERROR(__xludf.DUMMYFUNCTION("LOWER(REGEXREPLACE(B671&amp;"" ""&amp;C671,""[^а-яa-z0-9 ]"","" ""))")," оска маркерно магнитная детская ")</f>
        <v> оска маркерно магнитная детская </v>
      </c>
    </row>
    <row r="672">
      <c r="A672" s="35" t="s">
        <v>1483</v>
      </c>
      <c r="B672" s="31" t="s">
        <v>1484</v>
      </c>
      <c r="C672" s="31"/>
      <c r="D672" s="37" t="s">
        <v>14</v>
      </c>
      <c r="E672" s="10"/>
      <c r="F672" s="36"/>
      <c r="G672" s="11">
        <v>27030.0</v>
      </c>
      <c r="H672" s="34" t="str">
        <f>IFERROR(__xludf.DUMMYFUNCTION("LOWER(REGEXREPLACE(B672&amp;"" ""&amp;C672,""[^а-яa-z0-9 ]"","" ""))")," оска магнитно маркерная  omix   1218  120х180 см   hite ")</f>
        <v> оска магнитно маркерная  omix   1218  120х180 см   hite </v>
      </c>
    </row>
    <row r="673">
      <c r="A673" s="35" t="s">
        <v>1485</v>
      </c>
      <c r="B673" s="31" t="s">
        <v>1486</v>
      </c>
      <c r="C673" s="31"/>
      <c r="D673" s="37" t="s">
        <v>14</v>
      </c>
      <c r="E673" s="10"/>
      <c r="F673" s="36"/>
      <c r="G673" s="11">
        <v>3607.0</v>
      </c>
      <c r="H673" s="34" t="str">
        <f>IFERROR(__xludf.DUMMYFUNCTION("LOWER(REGEXREPLACE(B673&amp;"" ""&amp;C673,""[^а-яa-z0-9 ]"","" ""))")," оска магнитно маркерная  omix   3045  30х45см   hite ")</f>
        <v> оска магнитно маркерная  omix   3045  30х45см   hite </v>
      </c>
    </row>
    <row r="674">
      <c r="A674" s="35" t="s">
        <v>1487</v>
      </c>
      <c r="B674" s="31" t="s">
        <v>1488</v>
      </c>
      <c r="C674" s="31"/>
      <c r="D674" s="37" t="s">
        <v>14</v>
      </c>
      <c r="E674" s="10"/>
      <c r="F674" s="36"/>
      <c r="G674" s="11">
        <v>24318.0</v>
      </c>
      <c r="H674" s="34" t="str">
        <f>IFERROR(__xludf.DUMMYFUNCTION("LOWER(REGEXREPLACE(B674&amp;"" ""&amp;C674,""[^а-яa-z0-9 ]"","" ""))")," оска магнитно маркерная  omix   9018  176х86 см   hite ")</f>
        <v> оска магнитно маркерная  omix   9018  176х86 см   hite </v>
      </c>
    </row>
    <row r="675">
      <c r="A675" s="13" t="s">
        <v>1489</v>
      </c>
      <c r="B675" s="30"/>
      <c r="C675" s="31"/>
      <c r="D675" s="30"/>
      <c r="E675" s="32"/>
      <c r="F675" s="30"/>
      <c r="G675" s="33"/>
      <c r="H675" s="34" t="str">
        <f>IFERROR(__xludf.DUMMYFUNCTION("LOWER(REGEXREPLACE(B675&amp;"" ""&amp;C675,""[^а-яa-z0-9 ]"","" ""))")," ")</f>
        <v> </v>
      </c>
    </row>
    <row r="676">
      <c r="A676" s="35" t="s">
        <v>1490</v>
      </c>
      <c r="B676" s="31" t="s">
        <v>1491</v>
      </c>
      <c r="C676" s="31"/>
      <c r="D676" s="36"/>
      <c r="E676" s="10"/>
      <c r="F676" s="36"/>
      <c r="G676" s="11"/>
      <c r="H676" s="34" t="str">
        <f>IFERROR(__xludf.DUMMYFUNCTION("LOWER(REGEXREPLACE(B676&amp;"" ""&amp;C676,""[^а-яa-z0-9 ]"","" ""))")," редмет   стествознание  ")</f>
        <v> редмет   стествознание  </v>
      </c>
    </row>
    <row r="677">
      <c r="A677" s="35" t="s">
        <v>1492</v>
      </c>
      <c r="B677" s="31" t="s">
        <v>1493</v>
      </c>
      <c r="C677" s="31"/>
      <c r="D677" s="36"/>
      <c r="E677" s="10"/>
      <c r="F677" s="36"/>
      <c r="G677" s="11"/>
      <c r="H677" s="34" t="str">
        <f>IFERROR(__xludf.DUMMYFUNCTION("LOWER(REGEXREPLACE(B677&amp;"" ""&amp;C677,""[^а-яa-z0-9 ]"","" ""))")," аборатория цифровая по естественным наукам для начальной школы ")</f>
        <v> аборатория цифровая по естественным наукам для начальной школы </v>
      </c>
    </row>
    <row r="678">
      <c r="A678" s="35" t="s">
        <v>1494</v>
      </c>
      <c r="B678" s="9" t="s">
        <v>1495</v>
      </c>
      <c r="C678" s="31" t="s">
        <v>1496</v>
      </c>
      <c r="D678" s="37" t="s">
        <v>68</v>
      </c>
      <c r="E678" s="38">
        <v>2.0</v>
      </c>
      <c r="F678" s="40">
        <v>2.41</v>
      </c>
      <c r="G678" s="11">
        <v>628340.0</v>
      </c>
      <c r="H678" s="34" t="str">
        <f>IFERROR(__xludf.DUMMYFUNCTION("LOWER(REGEXREPLACE(B678&amp;"" ""&amp;C678,""[^а-яa-z0-9 ]"","" ""))"),"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балан"&amp;"с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f>
        <v>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v>
      </c>
    </row>
    <row r="679">
      <c r="A679" s="35" t="s">
        <v>1497</v>
      </c>
      <c r="B679" s="9" t="s">
        <v>1498</v>
      </c>
      <c r="C679" s="31"/>
      <c r="D679" s="37" t="s">
        <v>14</v>
      </c>
      <c r="E679" s="38">
        <v>2.0</v>
      </c>
      <c r="F679" s="40">
        <v>0.18</v>
      </c>
      <c r="G679" s="11">
        <v>248653.0</v>
      </c>
      <c r="H679" s="34" t="str">
        <f>IFERROR(__xludf.DUMMYFUNCTION("LOWER(REGEXREPLACE(B679&amp;"" ""&amp;C679,""[^а-яa-z0-9 ]"","" ""))"),"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f>
        <v>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v>
      </c>
    </row>
    <row r="680">
      <c r="A680" s="35" t="s">
        <v>1499</v>
      </c>
      <c r="B680" s="31" t="s">
        <v>1500</v>
      </c>
      <c r="C680" s="31"/>
      <c r="D680" s="36"/>
      <c r="E680" s="10"/>
      <c r="F680" s="36"/>
      <c r="G680" s="11"/>
      <c r="H680" s="34" t="str">
        <f>IFERROR(__xludf.DUMMYFUNCTION("LOWER(REGEXREPLACE(B680&amp;"" ""&amp;C680,""[^а-яa-z0-9 ]"","" ""))")," борудование и принадлежности по биологии ")</f>
        <v> борудование и принадлежности по биологии </v>
      </c>
    </row>
    <row r="681">
      <c r="A681" s="35" t="s">
        <v>1501</v>
      </c>
      <c r="B681" s="31" t="s">
        <v>1502</v>
      </c>
      <c r="C681" s="31"/>
      <c r="D681" s="36"/>
      <c r="E681" s="10"/>
      <c r="F681" s="36"/>
      <c r="G681" s="11"/>
      <c r="H681" s="34" t="str">
        <f>IFERROR(__xludf.DUMMYFUNCTION("LOWER(REGEXREPLACE(B681&amp;"" ""&amp;C681,""[^а-яa-z0-9 ]"","" ""))")," ини лаборатория для начальной школы   ода и воздух  ")</f>
        <v> ини лаборатория для начальной школы   ода и воздух  </v>
      </c>
    </row>
    <row r="682">
      <c r="A682" s="35" t="s">
        <v>1503</v>
      </c>
      <c r="B682" s="31" t="s">
        <v>1504</v>
      </c>
      <c r="C682" s="31"/>
      <c r="D682" s="37" t="s">
        <v>68</v>
      </c>
      <c r="E682" s="38">
        <v>2.0</v>
      </c>
      <c r="F682" s="40">
        <v>0.85</v>
      </c>
      <c r="G682" s="11">
        <v>84986.0</v>
      </c>
      <c r="H682" s="34" t="str">
        <f>IFERROR(__xludf.DUMMYFUNCTION("LOWER(REGEXREPLACE(B682&amp;"" ""&amp;C682,""[^а-яa-z0-9 ]"","" ""))")," ини лаборатория для начальной школы   ода и воздух  типа  xperia     019 ")</f>
        <v> ини лаборатория для начальной школы   ода и воздух  типа  xperia     019 </v>
      </c>
    </row>
    <row r="683">
      <c r="A683" s="35" t="s">
        <v>1505</v>
      </c>
      <c r="B683" s="31" t="s">
        <v>1506</v>
      </c>
      <c r="C683" s="31"/>
      <c r="D683" s="37" t="s">
        <v>1507</v>
      </c>
      <c r="E683" s="38">
        <v>2.0</v>
      </c>
      <c r="F683" s="40">
        <v>0.94</v>
      </c>
      <c r="G683" s="11">
        <v>121833.0</v>
      </c>
      <c r="H683" s="34" t="str">
        <f>IFERROR(__xludf.DUMMYFUNCTION("LOWER(REGEXREPLACE(B683&amp;"" ""&amp;C683,""[^а-яa-z0-9 ]"","" ""))")," ини лаборатория для начальной школы   ода и воздух  типа  ornelsen  xperimenta 16102 ")</f>
        <v> ини лаборатория для начальной школы   ода и воздух  типа  ornelsen  xperimenta 16102 </v>
      </c>
    </row>
    <row r="684">
      <c r="A684" s="35" t="s">
        <v>1508</v>
      </c>
      <c r="B684" s="31" t="s">
        <v>1509</v>
      </c>
      <c r="C684" s="31" t="s">
        <v>1510</v>
      </c>
      <c r="D684" s="37" t="s">
        <v>1507</v>
      </c>
      <c r="E684" s="38">
        <v>2.0</v>
      </c>
      <c r="F684" s="39">
        <v>1.8</v>
      </c>
      <c r="G684" s="11">
        <v>269582.0</v>
      </c>
      <c r="H684" s="34" t="str">
        <f>IFERROR(__xludf.DUMMYFUNCTION("LOWER(REGEXREPLACE(B684&amp;"" ""&amp;C684,""[^а-яa-z0-9 ]"","" ""))"),"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распределит"&amp;"ельных клапана 4 3   онтейнер для батарейки типа   рона  9   ")</f>
        <v>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распределительных клапана 4 3   онтейнер для батарейки типа   рона  9   </v>
      </c>
    </row>
    <row r="685">
      <c r="A685" s="35" t="s">
        <v>1511</v>
      </c>
      <c r="B685" s="31" t="s">
        <v>1512</v>
      </c>
      <c r="C685" s="31"/>
      <c r="D685" s="36"/>
      <c r="E685" s="10"/>
      <c r="F685" s="36"/>
      <c r="G685" s="11"/>
      <c r="H685" s="34" t="str">
        <f>IFERROR(__xludf.DUMMYFUNCTION("LOWER(REGEXREPLACE(B685&amp;"" ""&amp;C685,""[^а-яa-z0-9 ]"","" ""))")," ини лаборатория для начальной школы   иология  ")</f>
        <v> ини лаборатория для начальной школы   иология  </v>
      </c>
    </row>
    <row r="686">
      <c r="A686" s="35" t="s">
        <v>1513</v>
      </c>
      <c r="B686" s="31" t="s">
        <v>1514</v>
      </c>
      <c r="C686" s="31"/>
      <c r="D686" s="37" t="s">
        <v>68</v>
      </c>
      <c r="E686" s="38">
        <v>2.0</v>
      </c>
      <c r="F686" s="40">
        <v>0.79</v>
      </c>
      <c r="G686" s="11">
        <v>88763.0</v>
      </c>
      <c r="H686" s="34" t="str">
        <f>IFERROR(__xludf.DUMMYFUNCTION("LOWER(REGEXREPLACE(B686&amp;"" ""&amp;C686,""[^а-яa-z0-9 ]"","" ""))")," ини лаборатория для начальной школы   иология  типа  xperia     018 ")</f>
        <v> ини лаборатория для начальной школы   иология  типа  xperia     018 </v>
      </c>
    </row>
    <row r="687">
      <c r="A687" s="35" t="s">
        <v>1515</v>
      </c>
      <c r="B687" s="31" t="s">
        <v>1516</v>
      </c>
      <c r="C687" s="31"/>
      <c r="D687" s="37" t="s">
        <v>68</v>
      </c>
      <c r="E687" s="38">
        <v>2.0</v>
      </c>
      <c r="F687" s="40">
        <v>0.94</v>
      </c>
      <c r="G687" s="11">
        <v>103298.0</v>
      </c>
      <c r="H687" s="34" t="str">
        <f>IFERROR(__xludf.DUMMYFUNCTION("LOWER(REGEXREPLACE(B687&amp;"" ""&amp;C687,""[^а-яa-z0-9 ]"","" ""))")," ини лаборатория для начальной школы   иология  типа  ornelsen  xperimenta 16180 ")</f>
        <v> ини лаборатория для начальной школы   иология  типа  ornelsen  xperimenta 16180 </v>
      </c>
    </row>
    <row r="688">
      <c r="A688" s="35" t="s">
        <v>1517</v>
      </c>
      <c r="B688" s="31" t="s">
        <v>1518</v>
      </c>
      <c r="C688" s="31" t="s">
        <v>1519</v>
      </c>
      <c r="D688" s="37" t="s">
        <v>1507</v>
      </c>
      <c r="E688" s="38">
        <v>2.0</v>
      </c>
      <c r="F688" s="39">
        <v>2.3</v>
      </c>
      <c r="G688" s="11">
        <v>220424.0</v>
      </c>
      <c r="H688" s="34" t="str">
        <f>IFERROR(__xludf.DUMMYFUNCTION("LOWER(REGEXREPLACE(B688&amp;"" ""&amp;C688,""[^а-яa-z0-9 ]"","" ""))"),"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"&amp;"нитки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езинова"&amp;"я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"&amp;"шт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амп"&amp;"а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диам"&amp;"етр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"&amp;"елый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весо"&amp;"в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плас"&amp;"тиковые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абор"&amp;"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"&amp;"из 4 шт    385")</f>
        <v>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из 4 шт    385</v>
      </c>
    </row>
    <row r="689">
      <c r="A689" s="35" t="s">
        <v>1520</v>
      </c>
      <c r="B689" s="31" t="s">
        <v>1521</v>
      </c>
      <c r="C689" s="31"/>
      <c r="D689" s="36"/>
      <c r="E689" s="10"/>
      <c r="F689" s="36"/>
      <c r="G689" s="11"/>
      <c r="H689" s="34" t="str">
        <f>IFERROR(__xludf.DUMMYFUNCTION("LOWER(REGEXREPLACE(B689&amp;"" ""&amp;C689,""[^а-яa-z0-9 ]"","" ""))")," абор для юных биологов ")</f>
        <v> абор для юных биологов </v>
      </c>
    </row>
    <row r="690">
      <c r="A690" s="35" t="s">
        <v>1522</v>
      </c>
      <c r="B690" s="9" t="s">
        <v>1523</v>
      </c>
      <c r="C690" s="31" t="s">
        <v>1524</v>
      </c>
      <c r="D690" s="37" t="s">
        <v>1507</v>
      </c>
      <c r="E690" s="38">
        <v>2.0</v>
      </c>
      <c r="F690" s="39">
        <v>2.1</v>
      </c>
      <c r="G690" s="11">
        <v>190567.0</v>
      </c>
      <c r="H690" s="34" t="str">
        <f>IFERROR(__xludf.DUMMYFUNCTION("LOWER(REGEXREPLACE(B690&amp;"" ""&amp;C690,""[^а-яa-z0-9 ]"","" ""))"),"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ш"&amp;"т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15"&amp;"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"&amp;"пробирки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"&amp;"азмер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f>
        <v>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v>
      </c>
    </row>
    <row r="691">
      <c r="A691" s="35" t="s">
        <v>1525</v>
      </c>
      <c r="B691" s="31" t="s">
        <v>1526</v>
      </c>
      <c r="C691" s="31"/>
      <c r="D691" s="36"/>
      <c r="E691" s="10"/>
      <c r="F691" s="36"/>
      <c r="G691" s="11"/>
      <c r="H691" s="34" t="str">
        <f>IFERROR(__xludf.DUMMYFUNCTION("LOWER(REGEXREPLACE(B691&amp;"" ""&amp;C691,""[^а-яa-z0-9 ]"","" ""))")," борудование и принадлежности по физике ")</f>
        <v> борудование и принадлежности по физике </v>
      </c>
    </row>
    <row r="692">
      <c r="A692" s="35" t="s">
        <v>1527</v>
      </c>
      <c r="B692" s="31" t="s">
        <v>1528</v>
      </c>
      <c r="C692" s="31"/>
      <c r="D692" s="36"/>
      <c r="E692" s="10"/>
      <c r="F692" s="36"/>
      <c r="G692" s="11"/>
      <c r="H692" s="34" t="str">
        <f>IFERROR(__xludf.DUMMYFUNCTION("LOWER(REGEXREPLACE(B692&amp;"" ""&amp;C692,""[^а-яa-z0-9 ]"","" ""))")," абор для юных физиков ")</f>
        <v> абор для юных физиков </v>
      </c>
    </row>
    <row r="693">
      <c r="A693" s="35" t="s">
        <v>1529</v>
      </c>
      <c r="B693" s="31" t="s">
        <v>1530</v>
      </c>
      <c r="C693" s="31" t="s">
        <v>1531</v>
      </c>
      <c r="D693" s="37" t="s">
        <v>1507</v>
      </c>
      <c r="E693" s="38">
        <v>2.0</v>
      </c>
      <c r="F693" s="39">
        <v>6.8</v>
      </c>
      <c r="G693" s="11">
        <v>205963.0</v>
      </c>
      <c r="H693" s="34" t="str">
        <f>IFERROR(__xludf.DUMMYFUNCTION("LOWER(REGEXREPLACE(B693&amp;"" ""&amp;C693,""[^а-яa-z0-9 ]"","" ""))"),"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пеноп"&amp;"ласта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"&amp;"штук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арто"&amp;"чка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расн"&amp;"о синяя гоночная карточка  15 штук   арточка с гоночной трассой  15 штук   елезная цепь  15 штук   уководство  15 штук                                         387")</f>
        <v>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расно синяя гоночная карточка  15 штук   арточка с гоночной трассой  15 штук   елезная цепь  15 штук   уководство  15 штук                                         387</v>
      </c>
    </row>
    <row r="694">
      <c r="A694" s="35" t="s">
        <v>1532</v>
      </c>
      <c r="B694" s="31" t="s">
        <v>1533</v>
      </c>
      <c r="C694" s="31"/>
      <c r="D694" s="36"/>
      <c r="E694" s="10"/>
      <c r="F694" s="36"/>
      <c r="G694" s="11"/>
      <c r="H694" s="34" t="str">
        <f>IFERROR(__xludf.DUMMYFUNCTION("LOWER(REGEXREPLACE(B694&amp;"" ""&amp;C694,""[^а-яa-z0-9 ]"","" ""))")," ини лаборатория для начальной школы   вук  ")</f>
        <v> ини лаборатория для начальной школы   вук  </v>
      </c>
    </row>
    <row r="695">
      <c r="A695" s="35" t="s">
        <v>1534</v>
      </c>
      <c r="B695" s="31" t="s">
        <v>1535</v>
      </c>
      <c r="C695" s="31"/>
      <c r="D695" s="37" t="s">
        <v>68</v>
      </c>
      <c r="E695" s="38">
        <v>2.0</v>
      </c>
      <c r="F695" s="40">
        <v>0.89</v>
      </c>
      <c r="G695" s="11">
        <v>83008.0</v>
      </c>
      <c r="H695" s="34" t="str">
        <f>IFERROR(__xludf.DUMMYFUNCTION("LOWER(REGEXREPLACE(B695&amp;"" ""&amp;C695,""[^а-яa-z0-9 ]"","" ""))")," ини лаборатория для начальной школы   вук  типа  xperia     020 ")</f>
        <v> ини лаборатория для начальной школы   вук  типа  xperia     020 </v>
      </c>
    </row>
    <row r="696">
      <c r="A696" s="35" t="s">
        <v>1536</v>
      </c>
      <c r="B696" s="31" t="s">
        <v>1537</v>
      </c>
      <c r="C696" s="31"/>
      <c r="D696" s="37" t="s">
        <v>1507</v>
      </c>
      <c r="E696" s="38">
        <v>2.0</v>
      </c>
      <c r="F696" s="40">
        <v>0.99</v>
      </c>
      <c r="G696" s="11">
        <v>91888.0</v>
      </c>
      <c r="H696" s="34" t="str">
        <f>IFERROR(__xludf.DUMMYFUNCTION("LOWER(REGEXREPLACE(B696&amp;"" ""&amp;C696,""[^а-яa-z0-9 ]"","" ""))")," ини лаборатория для начальной школы   вук  типа  ornelsen 16104 44207  xperimenta ")</f>
        <v> ини лаборатория для начальной школы   вук  типа  ornelsen 16104 44207  xperimenta </v>
      </c>
    </row>
    <row r="697">
      <c r="A697" s="35" t="s">
        <v>1538</v>
      </c>
      <c r="B697" s="31" t="s">
        <v>1539</v>
      </c>
      <c r="C697" s="31" t="s">
        <v>1540</v>
      </c>
      <c r="D697" s="37" t="s">
        <v>1507</v>
      </c>
      <c r="E697" s="38">
        <v>2.0</v>
      </c>
      <c r="F697" s="40">
        <v>2.89</v>
      </c>
      <c r="G697" s="11">
        <v>358556.0</v>
      </c>
      <c r="H697" s="34" t="str">
        <f>IFERROR(__xludf.DUMMYFUNCTION("LOWER(REGEXREPLACE(B697&amp;"" ""&amp;C697,""[^а-яa-z0-9 ]"","" ""))"),"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шт"&amp;"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пробирка"&amp;"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"&amp;"в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руководство"&amp;"м для ученика  содержащим подробноеописание экспериментов ")</f>
        <v>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руководством для ученика  содержащим подробноеописание экспериментов </v>
      </c>
    </row>
    <row r="698">
      <c r="A698" s="35" t="s">
        <v>1541</v>
      </c>
      <c r="B698" s="31" t="s">
        <v>1542</v>
      </c>
      <c r="C698" s="31" t="s">
        <v>1543</v>
      </c>
      <c r="D698" s="37" t="s">
        <v>1507</v>
      </c>
      <c r="E698" s="38">
        <v>2.0</v>
      </c>
      <c r="F698" s="40">
        <v>8.15</v>
      </c>
      <c r="G698" s="11">
        <v>1024747.0</v>
      </c>
      <c r="H698" s="34" t="str">
        <f>IFERROR(__xludf.DUMMYFUNCTION("LOWER(REGEXREPLACE(B698&amp;"" ""&amp;C698,""[^а-яa-z0-9 ]"","" ""))"),"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"&amp;"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натягиван"&amp;"ия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п"&amp;"ластиковый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"&amp;"для воды 15шт   треугольные порожки для струн 15шт   флейта  ана  многоствольная свирель  пластиковая 1шт   уководство объемом 54 страницы формата  4 ")</f>
        <v>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для воды 15шт   треугольные порожки для струн 15шт   флейта  ана  многоствольная свирель  пластиковая 1шт   уководство объемом 54 страницы формата  4 </v>
      </c>
    </row>
    <row r="699">
      <c r="A699" s="35" t="s">
        <v>1544</v>
      </c>
      <c r="B699" s="31" t="s">
        <v>1545</v>
      </c>
      <c r="C699" s="31"/>
      <c r="D699" s="36"/>
      <c r="E699" s="10"/>
      <c r="F699" s="36"/>
      <c r="G699" s="11"/>
      <c r="H699" s="34" t="str">
        <f>IFERROR(__xludf.DUMMYFUNCTION("LOWER(REGEXREPLACE(B699&amp;"" ""&amp;C699,""[^а-яa-z0-9 ]"","" ""))")," ини лаборатория для начальной школы   агнетизм  ")</f>
        <v> ини лаборатория для начальной школы   агнетизм  </v>
      </c>
    </row>
    <row r="700">
      <c r="A700" s="35" t="s">
        <v>1546</v>
      </c>
      <c r="B700" s="31" t="s">
        <v>1547</v>
      </c>
      <c r="C700" s="31"/>
      <c r="D700" s="37" t="s">
        <v>68</v>
      </c>
      <c r="E700" s="38">
        <v>2.0</v>
      </c>
      <c r="F700" s="40">
        <v>1.12</v>
      </c>
      <c r="G700" s="11">
        <v>120958.0</v>
      </c>
      <c r="H700" s="34" t="str">
        <f>IFERROR(__xludf.DUMMYFUNCTION("LOWER(REGEXREPLACE(B700&amp;"" ""&amp;C700,""[^а-яa-z0-9 ]"","" ""))")," ини лаборатория для начальной школы   агнетизм    xperia  типа     021 ")</f>
        <v> ини лаборатория для начальной школы   агнетизм    xperia  типа     021 </v>
      </c>
    </row>
    <row r="701">
      <c r="A701" s="35" t="s">
        <v>1548</v>
      </c>
      <c r="B701" s="31" t="s">
        <v>1549</v>
      </c>
      <c r="C701" s="31"/>
      <c r="D701" s="37" t="s">
        <v>1507</v>
      </c>
      <c r="E701" s="38">
        <v>2.0</v>
      </c>
      <c r="F701" s="40">
        <v>1.09</v>
      </c>
      <c r="G701" s="11">
        <v>126268.0</v>
      </c>
      <c r="H701" s="34" t="str">
        <f>IFERROR(__xludf.DUMMYFUNCTION("LOWER(REGEXREPLACE(B701&amp;"" ""&amp;C701,""[^а-яa-z0-9 ]"","" ""))")," ини лаборатория для начальной школы   агнетизм  типа  ornelsen  xperimenta 16115 ")</f>
        <v> ини лаборатория для начальной школы   агнетизм  типа  ornelsen  xperimenta 16115 </v>
      </c>
    </row>
    <row r="702">
      <c r="A702" s="35" t="s">
        <v>1550</v>
      </c>
      <c r="B702" s="31" t="s">
        <v>1551</v>
      </c>
      <c r="C702" s="31"/>
      <c r="D702" s="36"/>
      <c r="E702" s="10"/>
      <c r="F702" s="36"/>
      <c r="G702" s="11"/>
      <c r="H702" s="34" t="str">
        <f>IFERROR(__xludf.DUMMYFUNCTION("LOWER(REGEXREPLACE(B702&amp;"" ""&amp;C702,""[^а-яa-z0-9 ]"","" ""))")," ини лаборатория для начальной школы   еханика  ")</f>
        <v> ини лаборатория для начальной школы   еханика  </v>
      </c>
    </row>
    <row r="703">
      <c r="A703" s="35" t="s">
        <v>1552</v>
      </c>
      <c r="B703" s="31" t="s">
        <v>1553</v>
      </c>
      <c r="C703" s="31"/>
      <c r="D703" s="37" t="s">
        <v>68</v>
      </c>
      <c r="E703" s="38">
        <v>2.0</v>
      </c>
      <c r="F703" s="40">
        <v>1.14</v>
      </c>
      <c r="G703" s="11">
        <v>131210.0</v>
      </c>
      <c r="H703" s="34" t="str">
        <f>IFERROR(__xludf.DUMMYFUNCTION("LOWER(REGEXREPLACE(B703&amp;"" ""&amp;C703,""[^а-яa-z0-9 ]"","" ""))")," ини лаборатория для начальной школы   еханика  типа  xperia     022 ")</f>
        <v> ини лаборатория для начальной школы   еханика  типа  xperia     022 </v>
      </c>
    </row>
    <row r="704">
      <c r="A704" s="35" t="s">
        <v>1554</v>
      </c>
      <c r="B704" s="31" t="s">
        <v>1555</v>
      </c>
      <c r="C704" s="31"/>
      <c r="D704" s="37" t="s">
        <v>1507</v>
      </c>
      <c r="E704" s="38">
        <v>2.0</v>
      </c>
      <c r="F704" s="40">
        <v>1.29</v>
      </c>
      <c r="G704" s="11">
        <v>195455.0</v>
      </c>
      <c r="H704" s="34" t="str">
        <f>IFERROR(__xludf.DUMMYFUNCTION("LOWER(REGEXREPLACE(B704&amp;"" ""&amp;C704,""[^а-яa-z0-9 ]"","" ""))")," ини лаборатория для начальной школы   еханика  типа  ornelsen  xperimenta 16100  ")</f>
        <v> ини лаборатория для начальной школы   еханика  типа  ornelsen  xperimenta 16100  </v>
      </c>
    </row>
    <row r="705">
      <c r="A705" s="35" t="s">
        <v>1556</v>
      </c>
      <c r="B705" s="31" t="s">
        <v>1557</v>
      </c>
      <c r="C705" s="31" t="s">
        <v>1558</v>
      </c>
      <c r="D705" s="37" t="s">
        <v>1507</v>
      </c>
      <c r="E705" s="38">
        <v>2.0</v>
      </c>
      <c r="F705" s="40">
        <v>1.98</v>
      </c>
      <c r="G705" s="11">
        <v>311071.0</v>
      </c>
      <c r="H705" s="34" t="str">
        <f>IFERROR(__xludf.DUMMYFUNCTION("LOWER(REGEXREPLACE(B705&amp;"" ""&amp;C705,""[^а-яa-z0-9 ]"","" ""))"),"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ры"&amp;"чага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штуки"&amp;"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шт"&amp;"уки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штуки"&amp;"  пробирка 12мм   1 штука  пробка силиконовая с отверстием   1 штука  шланг 100 см   1 штука  шприц пластиковый   1 штука  цилиндр мерный пластиковый   1 штука   ")</f>
        <v>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  пробирка 12мм   1 штука  пробка силиконовая с отверстием   1 штука  шланг 100 см   1 штука  шприц пластиковый   1 штука  цилиндр мерный пластиковый   1 штука   </v>
      </c>
    </row>
    <row r="706">
      <c r="A706" s="35" t="s">
        <v>1559</v>
      </c>
      <c r="B706" s="31" t="s">
        <v>1560</v>
      </c>
      <c r="C706" s="31"/>
      <c r="D706" s="36"/>
      <c r="E706" s="10"/>
      <c r="F706" s="36"/>
      <c r="G706" s="11"/>
      <c r="H706" s="34" t="str">
        <f>IFERROR(__xludf.DUMMYFUNCTION("LOWER(REGEXREPLACE(B706&amp;"" ""&amp;C706,""[^а-яa-z0-9 ]"","" ""))")," ини лаборатория для начальной школы   птика  ")</f>
        <v> ини лаборатория для начальной школы   птика  </v>
      </c>
    </row>
    <row r="707">
      <c r="A707" s="35" t="s">
        <v>1561</v>
      </c>
      <c r="B707" s="31" t="s">
        <v>1562</v>
      </c>
      <c r="C707" s="31"/>
      <c r="D707" s="37" t="s">
        <v>68</v>
      </c>
      <c r="E707" s="38">
        <v>2.0</v>
      </c>
      <c r="F707" s="40">
        <v>1.46</v>
      </c>
      <c r="G707" s="11">
        <v>160888.0</v>
      </c>
      <c r="H707" s="34" t="str">
        <f>IFERROR(__xludf.DUMMYFUNCTION("LOWER(REGEXREPLACE(B707&amp;"" ""&amp;C707,""[^а-яa-z0-9 ]"","" ""))")," ини лаборатория для начальной школы   птика  типа  xperia     023 ")</f>
        <v> ини лаборатория для начальной школы   птика  типа  xperia     023 </v>
      </c>
    </row>
    <row r="708">
      <c r="A708" s="35" t="s">
        <v>1563</v>
      </c>
      <c r="B708" s="31" t="s">
        <v>1564</v>
      </c>
      <c r="C708" s="31"/>
      <c r="D708" s="37" t="s">
        <v>1507</v>
      </c>
      <c r="E708" s="38">
        <v>2.0</v>
      </c>
      <c r="F708" s="40">
        <v>1.24</v>
      </c>
      <c r="G708" s="11">
        <v>171000.0</v>
      </c>
      <c r="H708" s="34" t="str">
        <f>IFERROR(__xludf.DUMMYFUNCTION("LOWER(REGEXREPLACE(B708&amp;"" ""&amp;C708,""[^а-яa-z0-9 ]"","" ""))")," ини лаборатория для начальной школы   птика  типа  ornelsen  xperimenta 16110 ")</f>
        <v> ини лаборатория для начальной школы   птика  типа  ornelsen  xperimenta 16110 </v>
      </c>
    </row>
    <row r="709">
      <c r="A709" s="35" t="s">
        <v>1565</v>
      </c>
      <c r="B709" s="31" t="s">
        <v>1566</v>
      </c>
      <c r="C709" s="31" t="s">
        <v>1567</v>
      </c>
      <c r="D709" s="37" t="s">
        <v>1507</v>
      </c>
      <c r="E709" s="38">
        <v>2.0</v>
      </c>
      <c r="F709" s="38">
        <v>2.0</v>
      </c>
      <c r="G709" s="11">
        <v>221142.0</v>
      </c>
      <c r="H709" s="34" t="str">
        <f>IFERROR(__xludf.DUMMYFUNCTION("LOWER(REGEXREPLACE(B709&amp;"" ""&amp;C709,""[^а-яa-z0-9 ]"","" ""))"),"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омплекта"&amp;"ция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"&amp;"ассеивающая линза  1 шт   ветофильтры  2 шт   лоское зеркало  1 шт   иафрагма 1x3 5  1 шт   одель глаза  1 шт   емонстрационный световод  1 шт   ювета  1 шт ")</f>
        <v>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ассеивающая линза  1 шт   ветофильтры  2 шт   лоское зеркало  1 шт   иафрагма 1x3 5  1 шт   одель глаза  1 шт   емонстрационный световод  1 шт   ювета  1 шт </v>
      </c>
    </row>
    <row r="710">
      <c r="A710" s="35" t="s">
        <v>1568</v>
      </c>
      <c r="B710" s="31" t="s">
        <v>1569</v>
      </c>
      <c r="C710" s="31"/>
      <c r="D710" s="36"/>
      <c r="E710" s="10"/>
      <c r="F710" s="36"/>
      <c r="G710" s="11"/>
      <c r="H710" s="34" t="str">
        <f>IFERROR(__xludf.DUMMYFUNCTION("LOWER(REGEXREPLACE(B710&amp;"" ""&amp;C710,""[^а-яa-z0-9 ]"","" ""))")," ини лаборатория для начальной школы   лектричество  ")</f>
        <v> ини лаборатория для начальной школы   лектричество  </v>
      </c>
    </row>
    <row r="711">
      <c r="A711" s="35" t="s">
        <v>1570</v>
      </c>
      <c r="B711" s="31" t="s">
        <v>1571</v>
      </c>
      <c r="C711" s="31" t="s">
        <v>1572</v>
      </c>
      <c r="D711" s="37" t="s">
        <v>1507</v>
      </c>
      <c r="E711" s="38">
        <v>2.0</v>
      </c>
      <c r="F711" s="40">
        <v>3.12</v>
      </c>
      <c r="G711" s="11">
        <v>348575.0</v>
      </c>
      <c r="H711" s="34" t="str">
        <f>IFERROR(__xludf.DUMMYFUNCTION("LOWER(REGEXREPLACE(B711&amp;"" ""&amp;C711,""[^а-яa-z0-9 ]"","" ""))"),"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компл"&amp;"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ш"&amp;"т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качеств"&amp;"енной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содержа"&amp;"щим")</f>
        <v>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содержащим</v>
      </c>
    </row>
    <row r="712">
      <c r="A712" s="35" t="s">
        <v>1573</v>
      </c>
      <c r="B712" s="31" t="s">
        <v>1574</v>
      </c>
      <c r="C712" s="31"/>
      <c r="D712" s="37" t="s">
        <v>1507</v>
      </c>
      <c r="E712" s="38">
        <v>2.0</v>
      </c>
      <c r="F712" s="40">
        <v>0.94</v>
      </c>
      <c r="G712" s="11">
        <v>229992.0</v>
      </c>
      <c r="H712" s="34" t="str">
        <f>IFERROR(__xludf.DUMMYFUNCTION("LOWER(REGEXREPLACE(B712&amp;"" ""&amp;C712,""[^а-яa-z0-9 ]"","" ""))")," ини лаборатория для начальной школы   лектричество   ornelsen  xperimenta 16120 ")</f>
        <v> ини лаборатория для начальной школы   лектричество   ornelsen  xperimenta 16120 </v>
      </c>
    </row>
    <row r="713">
      <c r="A713" s="35" t="s">
        <v>1575</v>
      </c>
      <c r="B713" s="31" t="s">
        <v>1576</v>
      </c>
      <c r="C713" s="31" t="s">
        <v>1577</v>
      </c>
      <c r="D713" s="37" t="s">
        <v>1507</v>
      </c>
      <c r="E713" s="38">
        <v>2.0</v>
      </c>
      <c r="F713" s="40">
        <v>1.89</v>
      </c>
      <c r="G713" s="11">
        <v>193713.0</v>
      </c>
      <c r="H713" s="34" t="str">
        <f>IFERROR(__xludf.DUMMYFUNCTION("LOWER(REGEXREPLACE(B713&amp;"" ""&amp;C713,""[^а-яa-z0-9 ]"","" ""))"),"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"&amp;"груза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ла"&amp;"тунная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"&amp;"запасных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рилож"&amp;"енные печатные материалы  етодические указания для учителя   есы и  авновесие  ")</f>
        <v>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риложенные печатные материалы  етодические указания для учителя   есы и  авновесие  </v>
      </c>
    </row>
    <row r="714">
      <c r="A714" s="35" t="s">
        <v>1578</v>
      </c>
      <c r="B714" s="31" t="s">
        <v>1579</v>
      </c>
      <c r="C714" s="31" t="s">
        <v>1580</v>
      </c>
      <c r="D714" s="37" t="s">
        <v>1507</v>
      </c>
      <c r="E714" s="38">
        <v>2.0</v>
      </c>
      <c r="F714" s="39">
        <v>1.6</v>
      </c>
      <c r="G714" s="11">
        <v>260529.0</v>
      </c>
      <c r="H714" s="34" t="str">
        <f>IFERROR(__xludf.DUMMYFUNCTION("LOWER(REGEXREPLACE(B714&amp;"" ""&amp;C714,""[^а-яa-z0-9 ]"","" ""))"),"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л"&amp;"опастей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f>
        <v>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v>
      </c>
    </row>
    <row r="715">
      <c r="A715" s="35" t="s">
        <v>1581</v>
      </c>
      <c r="B715" s="31" t="s">
        <v>1582</v>
      </c>
      <c r="C715" s="31"/>
      <c r="D715" s="37" t="s">
        <v>1507</v>
      </c>
      <c r="E715" s="10"/>
      <c r="F715" s="36"/>
      <c r="G715" s="11"/>
      <c r="H715" s="34" t="str">
        <f>IFERROR(__xludf.DUMMYFUNCTION("LOWER(REGEXREPLACE(B715&amp;"" ""&amp;C715,""[^а-яa-z0-9 ]"","" ""))")," ини лаборатория для начальной школы   епло  ")</f>
        <v> ини лаборатория для начальной школы   епло  </v>
      </c>
    </row>
    <row r="716">
      <c r="A716" s="35" t="s">
        <v>1583</v>
      </c>
      <c r="B716" s="31" t="s">
        <v>1584</v>
      </c>
      <c r="C716" s="31"/>
      <c r="D716" s="37" t="s">
        <v>1507</v>
      </c>
      <c r="E716" s="38">
        <v>2.0</v>
      </c>
      <c r="F716" s="40">
        <v>1.09</v>
      </c>
      <c r="G716" s="11">
        <v>160533.0</v>
      </c>
      <c r="H716" s="34" t="str">
        <f>IFERROR(__xludf.DUMMYFUNCTION("LOWER(REGEXREPLACE(B716&amp;"" ""&amp;C716,""[^а-яa-z0-9 ]"","" ""))")," ини лаборатория для начальной школы   епло  типа  ornelsen  xperimenta 16106 ")</f>
        <v> ини лаборатория для начальной школы   епло  типа  ornelsen  xperimenta 16106 </v>
      </c>
    </row>
    <row r="717">
      <c r="A717" s="13" t="s">
        <v>1585</v>
      </c>
      <c r="B717" s="30"/>
      <c r="C717" s="31"/>
      <c r="D717" s="30"/>
      <c r="E717" s="32"/>
      <c r="F717" s="30"/>
      <c r="G717" s="33"/>
      <c r="H717" s="34" t="str">
        <f>IFERROR(__xludf.DUMMYFUNCTION("LOWER(REGEXREPLACE(B717&amp;"" ""&amp;C717,""[^а-яa-z0-9 ]"","" ""))")," ")</f>
        <v> </v>
      </c>
    </row>
    <row r="718">
      <c r="A718" s="35" t="s">
        <v>1586</v>
      </c>
      <c r="B718" s="31" t="s">
        <v>1587</v>
      </c>
      <c r="C718" s="31"/>
      <c r="D718" s="36"/>
      <c r="E718" s="10"/>
      <c r="F718" s="36"/>
      <c r="G718" s="11"/>
      <c r="H718" s="34" t="str">
        <f>IFERROR(__xludf.DUMMYFUNCTION("LOWER(REGEXREPLACE(B718&amp;"" ""&amp;C718,""[^а-яa-z0-9 ]"","" ""))")," ебель и технические средства обучения для учебных кабинетов ")</f>
        <v> ебель и технические средства обучения для учебных кабинетов </v>
      </c>
    </row>
    <row r="719">
      <c r="A719" s="35" t="s">
        <v>1588</v>
      </c>
      <c r="B719" s="31" t="s">
        <v>1589</v>
      </c>
      <c r="C719" s="31"/>
      <c r="D719" s="37" t="s">
        <v>14</v>
      </c>
      <c r="E719" s="10"/>
      <c r="F719" s="36"/>
      <c r="G719" s="11"/>
      <c r="H719" s="34" t="str">
        <f>IFERROR(__xludf.DUMMYFUNCTION("LOWER(REGEXREPLACE(B719&amp;"" ""&amp;C719,""[^а-яa-z0-9 ]"","" ""))")," каф полуоткрытый для плакатов ")</f>
        <v> каф полуоткрытый для плакатов </v>
      </c>
    </row>
    <row r="720">
      <c r="A720" s="35" t="s">
        <v>1590</v>
      </c>
      <c r="B720" s="31" t="s">
        <v>1591</v>
      </c>
      <c r="C720" s="31" t="s">
        <v>1591</v>
      </c>
      <c r="D720" s="37" t="s">
        <v>14</v>
      </c>
      <c r="E720" s="10"/>
      <c r="F720" s="36"/>
      <c r="G720" s="11">
        <v>63209.0</v>
      </c>
      <c r="H720" s="34" t="str">
        <f>IFERROR(__xludf.DUMMYFUNCTION("LOWER(REGEXREPLACE(B720&amp;"" ""&amp;C720,""[^а-яa-z0-9 ]"","" ""))"),"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f>
        <v>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v>
      </c>
    </row>
    <row r="721">
      <c r="A721" s="13" t="s">
        <v>1592</v>
      </c>
      <c r="B721" s="30"/>
      <c r="C721" s="31"/>
      <c r="D721" s="30"/>
      <c r="E721" s="32"/>
      <c r="F721" s="30"/>
      <c r="G721" s="33"/>
      <c r="H721" s="34" t="str">
        <f>IFERROR(__xludf.DUMMYFUNCTION("LOWER(REGEXREPLACE(B721&amp;"" ""&amp;C721,""[^а-яa-z0-9 ]"","" ""))")," ")</f>
        <v> </v>
      </c>
    </row>
    <row r="722">
      <c r="A722" s="35" t="s">
        <v>1593</v>
      </c>
      <c r="B722" s="9" t="s">
        <v>1594</v>
      </c>
      <c r="C722" s="31"/>
      <c r="D722" s="37" t="s">
        <v>68</v>
      </c>
      <c r="E722" s="10"/>
      <c r="F722" s="36"/>
      <c r="G722" s="11"/>
      <c r="H722" s="34" t="str">
        <f>IFERROR(__xludf.DUMMYFUNCTION("LOWER(REGEXREPLACE(B722&amp;"" ""&amp;C722,""[^а-яa-z0-9 ]"","" ""))")," елескопическая трибуна с электрическим приводом ")</f>
        <v> елескопическая трибуна с электрическим приводом </v>
      </c>
    </row>
    <row r="723">
      <c r="A723" s="35" t="s">
        <v>1595</v>
      </c>
      <c r="B723" s="9" t="s">
        <v>1596</v>
      </c>
      <c r="C723" s="31"/>
      <c r="D723" s="37" t="s">
        <v>68</v>
      </c>
      <c r="E723" s="38">
        <v>2.0</v>
      </c>
      <c r="F723" s="38">
        <v>8400.0</v>
      </c>
      <c r="G723" s="11"/>
      <c r="H723" s="34" t="str">
        <f>IFERROR(__xludf.DUMMYFUNCTION("LOWER(REGEXREPLACE(B723&amp;"" ""&amp;C723,""[^а-яa-z0-9 ]"","" ""))")," елескопическая трибуна с электрическим приводом на 52 места ")</f>
        <v> елескопическая трибуна с электрическим приводом на 52 места </v>
      </c>
    </row>
    <row r="724">
      <c r="A724" s="35" t="s">
        <v>1597</v>
      </c>
      <c r="B724" s="9" t="s">
        <v>1598</v>
      </c>
      <c r="C724" s="31"/>
      <c r="D724" s="37" t="s">
        <v>68</v>
      </c>
      <c r="E724" s="38">
        <v>2.0</v>
      </c>
      <c r="F724" s="38">
        <v>8400.0</v>
      </c>
      <c r="G724" s="11">
        <v>1.0788103E7</v>
      </c>
      <c r="H724" s="34" t="str">
        <f>IFERROR(__xludf.DUMMYFUNCTION("LOWER(REGEXREPLACE(B724&amp;"" ""&amp;C724,""[^а-яa-z0-9 ]"","" ""))")," елескопическая трибуна с электрическим приводом  в комплекте 52 места ")</f>
        <v> елескопическая трибуна с электрическим приводом  в комплекте 52 места </v>
      </c>
    </row>
    <row r="725">
      <c r="A725" s="35" t="s">
        <v>1599</v>
      </c>
      <c r="B725" s="31" t="s">
        <v>1600</v>
      </c>
      <c r="C725" s="31"/>
      <c r="D725" s="37" t="s">
        <v>68</v>
      </c>
      <c r="E725" s="38">
        <v>2.0</v>
      </c>
      <c r="F725" s="38">
        <v>8400.0</v>
      </c>
      <c r="G725" s="11">
        <v>9304608.0</v>
      </c>
      <c r="H725" s="34" t="str">
        <f>IFERROR(__xludf.DUMMYFUNCTION("LOWER(REGEXREPLACE(B725&amp;"" ""&amp;C725,""[^а-яa-z0-9 ]"","" ""))")," елескопическая трибуна с электрическим приводом на 52 мест  размер сидения 400х300х450мм ")</f>
        <v> елескопическая трибуна с электрическим приводом на 52 мест  размер сидения 400х300х450мм </v>
      </c>
    </row>
    <row r="726">
      <c r="A726" s="35" t="s">
        <v>1601</v>
      </c>
      <c r="B726" s="9" t="s">
        <v>1602</v>
      </c>
      <c r="C726" s="31"/>
      <c r="D726" s="37" t="s">
        <v>68</v>
      </c>
      <c r="E726" s="38">
        <v>2.0</v>
      </c>
      <c r="F726" s="38">
        <v>38000.0</v>
      </c>
      <c r="G726" s="11"/>
      <c r="H726" s="34" t="str">
        <f>IFERROR(__xludf.DUMMYFUNCTION("LOWER(REGEXREPLACE(B726&amp;"" ""&amp;C726,""[^а-яa-z0-9 ]"","" ""))")," елескопическая трибуна с электрическим приводом на 253  места ")</f>
        <v> елескопическая трибуна с электрическим приводом на 253  места </v>
      </c>
    </row>
    <row r="727">
      <c r="A727" s="35" t="s">
        <v>1603</v>
      </c>
      <c r="B727" s="9" t="s">
        <v>1604</v>
      </c>
      <c r="C727" s="31"/>
      <c r="D727" s="37" t="s">
        <v>68</v>
      </c>
      <c r="E727" s="38">
        <v>2.0</v>
      </c>
      <c r="F727" s="38">
        <v>38000.0</v>
      </c>
      <c r="G727" s="11">
        <v>5.7207361E7</v>
      </c>
      <c r="H727" s="34" t="str">
        <f>IFERROR(__xludf.DUMMYFUNCTION("LOWER(REGEXREPLACE(B727&amp;"" ""&amp;C727,""[^а-яa-z0-9 ]"","" ""))")," елескопическая трибуна с электрическим приводом  в комплекте 253  места ")</f>
        <v> елескопическая трибуна с электрическим приводом  в комплекте 253  места </v>
      </c>
    </row>
    <row r="728">
      <c r="A728" s="35" t="s">
        <v>1605</v>
      </c>
      <c r="B728" s="31" t="s">
        <v>1606</v>
      </c>
      <c r="C728" s="31"/>
      <c r="D728" s="37" t="s">
        <v>68</v>
      </c>
      <c r="E728" s="38">
        <v>2.0</v>
      </c>
      <c r="F728" s="38">
        <v>38000.0</v>
      </c>
      <c r="G728" s="11">
        <v>4.7410273E7</v>
      </c>
      <c r="H728" s="34" t="str">
        <f>IFERROR(__xludf.DUMMYFUNCTION("LOWER(REGEXREPLACE(B728&amp;"" ""&amp;C728,""[^а-яa-z0-9 ]"","" ""))")," елескопическая трибуна с электрическим приводом на 253 мест  размер сидения 400х300х450мм ")</f>
        <v> елескопическая трибуна с электрическим приводом на 253 мест  размер сидения 400х300х450мм </v>
      </c>
    </row>
    <row r="729">
      <c r="A729" s="35" t="s">
        <v>1607</v>
      </c>
      <c r="B729" s="9" t="s">
        <v>1608</v>
      </c>
      <c r="C729" s="31"/>
      <c r="D729" s="37" t="s">
        <v>68</v>
      </c>
      <c r="E729" s="38">
        <v>2.0</v>
      </c>
      <c r="F729" s="38">
        <v>11800.0</v>
      </c>
      <c r="G729" s="11"/>
      <c r="H729" s="34" t="str">
        <f>IFERROR(__xludf.DUMMYFUNCTION("LOWER(REGEXREPLACE(B729&amp;"" ""&amp;C729,""[^а-яa-z0-9 ]"","" ""))")," елескопическая трибуна с электрическим приводом на 72 места ")</f>
        <v> елескопическая трибуна с электрическим приводом на 72 места </v>
      </c>
    </row>
    <row r="730">
      <c r="A730" s="35" t="s">
        <v>1609</v>
      </c>
      <c r="B730" s="9" t="s">
        <v>1610</v>
      </c>
      <c r="C730" s="31"/>
      <c r="D730" s="37" t="s">
        <v>68</v>
      </c>
      <c r="E730" s="38">
        <v>2.0</v>
      </c>
      <c r="F730" s="38">
        <v>11800.0</v>
      </c>
      <c r="G730" s="11">
        <v>1.6637681E7</v>
      </c>
      <c r="H730" s="34" t="str">
        <f>IFERROR(__xludf.DUMMYFUNCTION("LOWER(REGEXREPLACE(B730&amp;"" ""&amp;C730,""[^а-яa-z0-9 ]"","" ""))")," елескопическая трибуна с электрическим приводом на  в комплекте 72 места ")</f>
        <v> елескопическая трибуна с электрическим приводом на  в комплекте 72 места </v>
      </c>
    </row>
    <row r="731">
      <c r="A731" s="35" t="s">
        <v>1611</v>
      </c>
      <c r="B731" s="31" t="s">
        <v>1612</v>
      </c>
      <c r="C731" s="31"/>
      <c r="D731" s="37" t="s">
        <v>68</v>
      </c>
      <c r="E731" s="38">
        <v>2.0</v>
      </c>
      <c r="F731" s="38">
        <v>11800.0</v>
      </c>
      <c r="G731" s="11">
        <v>1.3658977E7</v>
      </c>
      <c r="H731" s="34" t="str">
        <f>IFERROR(__xludf.DUMMYFUNCTION("LOWER(REGEXREPLACE(B731&amp;"" ""&amp;C731,""[^а-яa-z0-9 ]"","" ""))")," елескопическая трибуна с электрическим приводом на 72 мест  размер сидения 400х300х450мм ")</f>
        <v> елескопическая трибуна с электрическим приводом на 72 мест  размер сидения 400х300х450мм </v>
      </c>
    </row>
    <row r="732">
      <c r="A732" s="35" t="s">
        <v>1613</v>
      </c>
      <c r="B732" s="9" t="s">
        <v>1614</v>
      </c>
      <c r="C732" s="31"/>
      <c r="D732" s="37" t="s">
        <v>68</v>
      </c>
      <c r="E732" s="38">
        <v>2.0</v>
      </c>
      <c r="F732" s="38">
        <v>14200.0</v>
      </c>
      <c r="G732" s="11"/>
      <c r="H732" s="34" t="str">
        <f>IFERROR(__xludf.DUMMYFUNCTION("LOWER(REGEXREPLACE(B732&amp;"" ""&amp;C732,""[^а-яa-z0-9 ]"","" ""))")," елескопическая трибуна с электрическим приводом на 86 мест ")</f>
        <v> елескопическая трибуна с электрическим приводом на 86 мест </v>
      </c>
    </row>
    <row r="733">
      <c r="A733" s="35" t="s">
        <v>1615</v>
      </c>
      <c r="B733" s="9" t="s">
        <v>1616</v>
      </c>
      <c r="C733" s="31"/>
      <c r="D733" s="37" t="s">
        <v>68</v>
      </c>
      <c r="E733" s="38">
        <v>2.0</v>
      </c>
      <c r="F733" s="38">
        <v>14200.0</v>
      </c>
      <c r="G733" s="11">
        <v>2.0158719E7</v>
      </c>
      <c r="H733" s="34" t="str">
        <f>IFERROR(__xludf.DUMMYFUNCTION("LOWER(REGEXREPLACE(B733&amp;"" ""&amp;C733,""[^а-яa-z0-9 ]"","" ""))")," елескопическая трибуна с электрическим приводом  в комплекте 86 мест ")</f>
        <v> елескопическая трибуна с электрическим приводом  в комплекте 86 мест </v>
      </c>
    </row>
    <row r="734">
      <c r="A734" s="35" t="s">
        <v>1617</v>
      </c>
      <c r="B734" s="31" t="s">
        <v>1618</v>
      </c>
      <c r="C734" s="31"/>
      <c r="D734" s="37" t="s">
        <v>68</v>
      </c>
      <c r="E734" s="38">
        <v>2.0</v>
      </c>
      <c r="F734" s="38">
        <v>14200.0</v>
      </c>
      <c r="G734" s="11">
        <v>1.6834779E7</v>
      </c>
      <c r="H734" s="34" t="str">
        <f>IFERROR(__xludf.DUMMYFUNCTION("LOWER(REGEXREPLACE(B734&amp;"" ""&amp;C734,""[^а-яa-z0-9 ]"","" ""))")," елескопическая трибуна с электрическим приводом на 86 мест  размер сидения 400х300х450мм ")</f>
        <v> елескопическая трибуна с электрическим приводом на 86 мест  размер сидения 400х300х450мм </v>
      </c>
    </row>
    <row r="735">
      <c r="A735" s="13" t="s">
        <v>1619</v>
      </c>
      <c r="B735" s="30"/>
      <c r="C735" s="31"/>
      <c r="D735" s="30"/>
      <c r="E735" s="32"/>
      <c r="F735" s="30"/>
      <c r="G735" s="33"/>
      <c r="H735" s="34" t="str">
        <f>IFERROR(__xludf.DUMMYFUNCTION("LOWER(REGEXREPLACE(B735&amp;"" ""&amp;C735,""[^а-яa-z0-9 ]"","" ""))")," ")</f>
        <v> </v>
      </c>
    </row>
    <row r="736">
      <c r="A736" s="35" t="s">
        <v>1620</v>
      </c>
      <c r="B736" s="31" t="s">
        <v>1621</v>
      </c>
      <c r="C736" s="31"/>
      <c r="D736" s="36"/>
      <c r="E736" s="10"/>
      <c r="F736" s="36"/>
      <c r="G736" s="11"/>
      <c r="H736" s="34" t="str">
        <f>IFERROR(__xludf.DUMMYFUNCTION("LOWER(REGEXREPLACE(B736&amp;"" ""&amp;C736,""[^а-яa-z0-9 ]"","" ""))")," нновационное и высокотехнологичное оборудование для занятий робототехникой  исследовательской и проектной деятельностью ")</f>
        <v> нновационное и высокотехнологичное оборудование для занятий робототехникой  исследовательской и проектной деятельностью </v>
      </c>
    </row>
    <row r="737">
      <c r="A737" s="35" t="s">
        <v>1622</v>
      </c>
      <c r="B737" s="31" t="s">
        <v>1623</v>
      </c>
      <c r="C737" s="31"/>
      <c r="D737" s="37" t="s">
        <v>1507</v>
      </c>
      <c r="E737" s="10"/>
      <c r="F737" s="36"/>
      <c r="G737" s="11"/>
      <c r="H737" s="34" t="str">
        <f>IFERROR(__xludf.DUMMYFUNCTION("LOWER(REGEXREPLACE(B737&amp;"" ""&amp;C737,""[^а-яa-z0-9 ]"","" ""))")," абор роботехнический ")</f>
        <v> абор роботехнический </v>
      </c>
    </row>
    <row r="738">
      <c r="A738" s="35" t="s">
        <v>1624</v>
      </c>
      <c r="B738" s="31" t="s">
        <v>1625</v>
      </c>
      <c r="C738" s="31" t="s">
        <v>1626</v>
      </c>
      <c r="D738" s="37" t="s">
        <v>1507</v>
      </c>
      <c r="E738" s="38">
        <v>2.0</v>
      </c>
      <c r="F738" s="40">
        <v>0.63</v>
      </c>
      <c r="G738" s="11">
        <v>240659.0</v>
      </c>
      <c r="H738" s="34" t="str">
        <f>IFERROR(__xludf.DUMMYFUNCTION("LOWER(REGEXREPLACE(B738&amp;"" ""&amp;C738,""[^а-яa-z0-9 ]"","" ""))")," абор роботехнический базовый для начальных классов типа  obowunderkind 1 x  нопка")</f>
        <v> абор роботехнический базовый для начальных классов типа  obowunderkind 1 x  нопка</v>
      </c>
    </row>
    <row r="739">
      <c r="A739" s="35" t="s">
        <v>1627</v>
      </c>
      <c r="B739" s="31" t="s">
        <v>1628</v>
      </c>
      <c r="C739" s="31" t="s">
        <v>1629</v>
      </c>
      <c r="D739" s="37" t="s">
        <v>1507</v>
      </c>
      <c r="E739" s="38">
        <v>2.0</v>
      </c>
      <c r="F739" s="42">
        <v>0.355</v>
      </c>
      <c r="G739" s="11">
        <v>160897.0</v>
      </c>
      <c r="H739" s="34" t="str">
        <f>IFERROR(__xludf.DUMMYFUNCTION("LOWER(REGEXREPLACE(B739&amp;"" ""&amp;C739,""[^а-яa-z0-9 ]"","" ""))")," абор ресурсный для начальных классов типа  obowunderkind 1 x светодиодный дисплей  1 x кнопка  1 x     подсветка  1 x блок разъемов ")</f>
        <v> абор ресурсный для начальных классов типа  obowunderkind 1 x светодиодный дисплей  1 x кнопка  1 x     подсветка  1 x блок разъемов </v>
      </c>
    </row>
    <row r="740">
      <c r="A740" s="35" t="s">
        <v>1630</v>
      </c>
      <c r="B740" s="31" t="s">
        <v>1631</v>
      </c>
      <c r="C740" s="31" t="s">
        <v>1632</v>
      </c>
      <c r="D740" s="37" t="s">
        <v>1507</v>
      </c>
      <c r="E740" s="38">
        <v>2.0</v>
      </c>
      <c r="F740" s="40">
        <v>1.12</v>
      </c>
      <c r="G740" s="11">
        <v>299685.0</v>
      </c>
      <c r="H740" s="34" t="str">
        <f>IFERROR(__xludf.DUMMYFUNCTION("LOWER(REGEXREPLACE(B740&amp;"" ""&amp;C740,""[^а-яa-z0-9 ]"","" ""))"),"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сервопривода"&amp;"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крепл"&amp;"ения сервопривода для   995   996 ")</f>
        <v>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крепления сервопривода для   995   996 </v>
      </c>
    </row>
    <row r="741">
      <c r="A741" s="35" t="s">
        <v>1633</v>
      </c>
      <c r="B741" s="31" t="s">
        <v>1634</v>
      </c>
      <c r="C741" s="31" t="s">
        <v>1635</v>
      </c>
      <c r="D741" s="37" t="s">
        <v>1507</v>
      </c>
      <c r="E741" s="38">
        <v>2.0</v>
      </c>
      <c r="F741" s="40">
        <v>0.64</v>
      </c>
      <c r="G741" s="11">
        <v>225004.0</v>
      </c>
      <c r="H741" s="34" t="str">
        <f>IFERROR(__xludf.DUMMYFUNCTION("LOWER(REGEXREPLACE(B741&amp;"" ""&amp;C741,""[^а-яa-z0-9 ]"","" ""))"),"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д"&amp;"исплей   luetooth       it 32 модуля       evelopment для  rduino с антенной ")</f>
        <v>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дисплей   luetooth       it 32 модуля       evelopment для  rduino с антенной </v>
      </c>
    </row>
    <row r="742">
      <c r="A742" s="35" t="s">
        <v>1636</v>
      </c>
      <c r="B742" s="31" t="s">
        <v>1637</v>
      </c>
      <c r="C742" s="31" t="s">
        <v>1638</v>
      </c>
      <c r="D742" s="37" t="s">
        <v>1507</v>
      </c>
      <c r="E742" s="38">
        <v>2.0</v>
      </c>
      <c r="F742" s="40">
        <v>1.42</v>
      </c>
      <c r="G742" s="11">
        <v>448023.0</v>
      </c>
      <c r="H742" s="34" t="str">
        <f>IFERROR(__xludf.DUMMYFUNCTION("LOWER(REGEXREPLACE(B742&amp;"" ""&amp;C742,""[^а-яa-z0-9 ]"","" ""))"),"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ол"&amp;"есная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олес"&amp;"о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кронште"&amp;"йн   муфта 5 мм ")</f>
        <v>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кронштейн   муфта 5 мм </v>
      </c>
    </row>
    <row r="743">
      <c r="A743" s="35" t="s">
        <v>1639</v>
      </c>
      <c r="B743" s="31" t="s">
        <v>1640</v>
      </c>
      <c r="C743" s="31" t="s">
        <v>1641</v>
      </c>
      <c r="D743" s="37" t="s">
        <v>1507</v>
      </c>
      <c r="E743" s="38">
        <v>2.0</v>
      </c>
      <c r="F743" s="40">
        <v>0.82</v>
      </c>
      <c r="G743" s="11">
        <v>273848.0</v>
      </c>
      <c r="H743" s="34" t="str">
        <f>IFERROR(__xludf.DUMMYFUNCTION("LOWER(REGEXREPLACE(B743&amp;"" ""&amp;C743,""[^а-яa-z0-9 ]"","" ""))"),"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"&amp;"печатной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двухс"&amp;"торонняя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пл"&amp;"аты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кнопочны"&amp;"й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f>
        <v>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v>
      </c>
    </row>
    <row r="744">
      <c r="A744" s="35" t="s">
        <v>1642</v>
      </c>
      <c r="B744" s="31" t="s">
        <v>1643</v>
      </c>
      <c r="C744" s="31" t="s">
        <v>1644</v>
      </c>
      <c r="D744" s="37" t="s">
        <v>1507</v>
      </c>
      <c r="E744" s="38">
        <v>2.0</v>
      </c>
      <c r="F744" s="40">
        <v>0.92</v>
      </c>
      <c r="G744" s="11">
        <v>165335.0</v>
      </c>
      <c r="H744" s="34" t="str">
        <f>IFERROR(__xludf.DUMMYFUNCTION("LOWER(REGEXREPLACE(B744&amp;"" ""&amp;C744,""[^а-яa-z0-9 ]"","" ""))"),"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б"&amp;"ез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колпач"&amp;"ок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электро"&amp;"литических конденсаторов из алюминия  12 различных значений 1       470      абор электролитических конденсаторов 1     2 2     3 3     4 7     10     22     33     47     100     220     220     220     220     220     220     220     220     220     220"&amp;"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шт"&amp;"  конденсатор керамический 2   0 1 ")</f>
        <v>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электролитических конденсаторов из алюминия  12 различных значений 1       470      абор электролитических конденсаторов 1     2 2     3 3     4 7     10     22     33     47     100     220     220     220     220     220     220     220     220     220     220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  конденсатор керамический 2   0 1 </v>
      </c>
    </row>
    <row r="745">
      <c r="A745" s="35" t="s">
        <v>1645</v>
      </c>
      <c r="B745" s="31" t="s">
        <v>1646</v>
      </c>
      <c r="C745" s="31" t="s">
        <v>1647</v>
      </c>
      <c r="D745" s="37" t="s">
        <v>1507</v>
      </c>
      <c r="E745" s="38">
        <v>2.0</v>
      </c>
      <c r="F745" s="40">
        <v>0.35</v>
      </c>
      <c r="G745" s="11">
        <v>255850.0</v>
      </c>
      <c r="H745" s="34" t="str">
        <f>IFERROR(__xludf.DUMMYFUNCTION("LOWER(REGEXREPLACE(B745&amp;"" ""&amp;C745,""[^а-яa-z0-9 ]"","" ""))"),"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f>
        <v>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v>
      </c>
    </row>
    <row r="746">
      <c r="A746" s="35" t="s">
        <v>1648</v>
      </c>
      <c r="B746" s="31" t="s">
        <v>1649</v>
      </c>
      <c r="C746" s="31" t="s">
        <v>1650</v>
      </c>
      <c r="D746" s="37" t="s">
        <v>1507</v>
      </c>
      <c r="E746" s="38">
        <v>2.0</v>
      </c>
      <c r="F746" s="40">
        <v>0.42</v>
      </c>
      <c r="G746" s="11">
        <v>297011.0</v>
      </c>
      <c r="H746" s="34" t="str">
        <f>IFERROR(__xludf.DUMMYFUNCTION("LOWER(REGEXREPLACE(B746&amp;"" ""&amp;C746,""[^а-яa-z0-9 ]"","" ""))")," абор микроконтроллеров типа  rafttronics  ab  абор включает в себя основные платы  rduino")</f>
        <v> абор микроконтроллеров типа  rafttronics  ab  абор включает в себя основные платы  rduino</v>
      </c>
    </row>
    <row r="747">
      <c r="A747" s="35" t="s">
        <v>1651</v>
      </c>
      <c r="B747" s="31" t="s">
        <v>1652</v>
      </c>
      <c r="C747" s="31" t="s">
        <v>1653</v>
      </c>
      <c r="D747" s="37" t="s">
        <v>1507</v>
      </c>
      <c r="E747" s="38">
        <v>2.0</v>
      </c>
      <c r="F747" s="40">
        <v>1.53</v>
      </c>
      <c r="G747" s="11">
        <v>214886.0</v>
      </c>
      <c r="H747" s="34" t="str">
        <f>IFERROR(__xludf.DUMMYFUNCTION("LOWER(REGEXREPLACE(B747&amp;"" ""&amp;C747,""[^а-яa-z0-9 ]"","" ""))"),"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онтроллер"&amp;"       райвер шагового двигателя  ema 17 23   дноосный   6600  вухфазный гибридный шаговый двигател   омплект для 3  принтера ")</f>
        <v>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       райвер шагового двигателя  ema 17 23   дноосный   6600  вухфазный гибридный шаговый двигател   омплект для 3  принтера </v>
      </c>
    </row>
    <row r="748">
      <c r="A748" s="35" t="s">
        <v>1654</v>
      </c>
      <c r="B748" s="31" t="s">
        <v>1655</v>
      </c>
      <c r="C748" s="31" t="s">
        <v>1656</v>
      </c>
      <c r="D748" s="37" t="s">
        <v>1507</v>
      </c>
      <c r="E748" s="38">
        <v>2.0</v>
      </c>
      <c r="F748" s="40">
        <v>0.45</v>
      </c>
      <c r="G748" s="11">
        <v>228092.0</v>
      </c>
      <c r="H748" s="34" t="str">
        <f>IFERROR(__xludf.DUMMYFUNCTION("LOWER(REGEXREPLACE(B748&amp;"" ""&amp;C748,""[^а-яa-z0-9 ]"","" ""))"),"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"&amp;"на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тр"&amp;"ебует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f>
        <v>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v>
      </c>
    </row>
    <row r="749">
      <c r="A749" s="35" t="s">
        <v>1657</v>
      </c>
      <c r="B749" s="31" t="s">
        <v>1658</v>
      </c>
      <c r="C749" s="31"/>
      <c r="D749" s="37" t="s">
        <v>1507</v>
      </c>
      <c r="E749" s="10"/>
      <c r="F749" s="36"/>
      <c r="G749" s="11"/>
      <c r="H749" s="34" t="str">
        <f>IFERROR(__xludf.DUMMYFUNCTION("LOWER(REGEXREPLACE(B749&amp;"" ""&amp;C749,""[^а-яa-z0-9 ]"","" ""))")," абор для сборки квадрокоптера ")</f>
        <v> абор для сборки квадрокоптера </v>
      </c>
    </row>
    <row r="750">
      <c r="A750" s="35" t="s">
        <v>1659</v>
      </c>
      <c r="B750" s="9" t="s">
        <v>1660</v>
      </c>
      <c r="C750" s="31" t="s">
        <v>1661</v>
      </c>
      <c r="D750" s="37" t="s">
        <v>1507</v>
      </c>
      <c r="E750" s="38">
        <v>2.0</v>
      </c>
      <c r="F750" s="40">
        <v>2.31</v>
      </c>
      <c r="G750" s="11">
        <v>415364.0</v>
      </c>
      <c r="H750" s="34" t="str">
        <f>IFERROR(__xludf.DUMMYFUNCTION("LOWER(REGEXREPLACE(B750&amp;"" ""&amp;C750,""[^а-яa-z0-9 ]"","" ""))"),"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f>
        <v>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v>
      </c>
    </row>
    <row r="751">
      <c r="A751" s="35" t="s">
        <v>1662</v>
      </c>
      <c r="B751" s="31" t="s">
        <v>1663</v>
      </c>
      <c r="C751" s="31" t="s">
        <v>1664</v>
      </c>
      <c r="D751" s="37" t="s">
        <v>1507</v>
      </c>
      <c r="E751" s="38">
        <v>2.0</v>
      </c>
      <c r="F751" s="39">
        <v>1.4</v>
      </c>
      <c r="G751" s="11">
        <v>351599.0</v>
      </c>
      <c r="H751" s="34" t="str">
        <f>IFERROR(__xludf.DUMMYFUNCTION("LOWER(REGEXREPLACE(B751&amp;"" ""&amp;C751,""[^а-яa-z0-9 ]"","" ""))"),"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"&amp;"   лата модуля  модуль инфракрасной    камеры ночного видения  еб камера с мощностью не менее 540  т")</f>
        <v>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лата модуля  модуль инфракрасной    камеры ночного видения  еб камера с мощностью не менее 540  т</v>
      </c>
    </row>
    <row r="752">
      <c r="A752" s="35" t="s">
        <v>1665</v>
      </c>
      <c r="B752" s="31" t="s">
        <v>1666</v>
      </c>
      <c r="C752" s="31" t="s">
        <v>1667</v>
      </c>
      <c r="D752" s="37" t="s">
        <v>14</v>
      </c>
      <c r="E752" s="38">
        <v>2.0</v>
      </c>
      <c r="F752" s="39">
        <v>0.9</v>
      </c>
      <c r="G752" s="11">
        <v>134154.0</v>
      </c>
      <c r="H752" s="34" t="str">
        <f>IFERROR(__xludf.DUMMYFUNCTION("LOWER(REGEXREPLACE(B752&amp;"" ""&amp;C752,""[^а-яa-z0-9 ]"","" ""))"),"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"&amp;"типов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л"&amp;"ина кабеля  не более 1 5 м ")</f>
        <v>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лина кабеля  не более 1 5 м </v>
      </c>
    </row>
    <row r="753">
      <c r="A753" s="35" t="s">
        <v>1668</v>
      </c>
      <c r="B753" s="31" t="s">
        <v>1669</v>
      </c>
      <c r="C753" s="31"/>
      <c r="D753" s="37" t="s">
        <v>14</v>
      </c>
      <c r="E753" s="10"/>
      <c r="F753" s="36"/>
      <c r="G753" s="11"/>
      <c r="H753" s="34" t="str">
        <f>IFERROR(__xludf.DUMMYFUNCTION("LOWER(REGEXREPLACE(B753&amp;"" ""&amp;C753,""[^а-яa-z0-9 ]"","" ""))")," ебель для кабинета робототехники ")</f>
        <v> ебель для кабинета робототехники </v>
      </c>
    </row>
    <row r="754">
      <c r="A754" s="35" t="s">
        <v>1670</v>
      </c>
      <c r="B754" s="31" t="s">
        <v>1671</v>
      </c>
      <c r="C754" s="31" t="s">
        <v>1672</v>
      </c>
      <c r="D754" s="37" t="s">
        <v>14</v>
      </c>
      <c r="E754" s="38">
        <v>2.0</v>
      </c>
      <c r="F754" s="39">
        <v>58.3</v>
      </c>
      <c r="G754" s="11">
        <v>250452.0</v>
      </c>
      <c r="H754" s="34" t="str">
        <f>IFERROR(__xludf.DUMMYFUNCTION("LOWER(REGEXREPLACE(B754&amp;"" ""&amp;C754,""[^а-яa-z0-9 ]"","" ""))"),"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f>
        <v>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v>
      </c>
    </row>
    <row r="755">
      <c r="A755" s="35" t="s">
        <v>1673</v>
      </c>
      <c r="B755" s="31" t="s">
        <v>1674</v>
      </c>
      <c r="C755" s="31" t="s">
        <v>1675</v>
      </c>
      <c r="D755" s="37" t="s">
        <v>14</v>
      </c>
      <c r="E755" s="38">
        <v>2.0</v>
      </c>
      <c r="F755" s="39">
        <v>117.6</v>
      </c>
      <c r="G755" s="11">
        <v>2418073.0</v>
      </c>
      <c r="H755" s="34" t="str">
        <f>IFERROR(__xludf.DUMMYFUNCTION("LOWER(REGEXREPLACE(B755&amp;"" ""&amp;C755,""[^а-яa-z0-9 ]"","" ""))"),"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"&amp;"12шт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"&amp;"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"&amp;" убка 120   6шт   ихтовочный молоток 12шт ")</f>
        <v>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убка 120   6шт   ихтовочный молоток 12шт </v>
      </c>
    </row>
    <row r="756">
      <c r="A756" s="35" t="s">
        <v>1676</v>
      </c>
      <c r="B756" s="31" t="s">
        <v>1677</v>
      </c>
      <c r="C756" s="31" t="s">
        <v>1678</v>
      </c>
      <c r="D756" s="37" t="s">
        <v>14</v>
      </c>
      <c r="E756" s="38">
        <v>2.0</v>
      </c>
      <c r="F756" s="40">
        <v>79.55</v>
      </c>
      <c r="G756" s="11">
        <v>3078856.0</v>
      </c>
      <c r="H756" s="34" t="str">
        <f>IFERROR(__xludf.DUMMYFUNCTION("LOWER(REGEXREPLACE(B756&amp;"" ""&amp;C756,""[^а-яa-z0-9 ]"","" ""))"),"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"&amp;" 011     012  окорезы  130 мм  линногубцы  130 мм  линногубцы изогнутые  130 мм  строгубцы  ini  130 мм     108  60      0    00    2 0    000  лещи для снятия изоляции  nsulated   01 stay   830    800   750ll   801    01")</f>
        <v>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011     012  окорезы  130 мм  линногубцы  130 мм  линногубцы изогнутые  130 мм  строгубцы  ini  130 мм     108  60      0    00    2 0    000  лещи для снятия изоляции  nsulated   01 stay   830    800   750ll   801    01</v>
      </c>
    </row>
    <row r="757">
      <c r="A757" s="35" t="s">
        <v>1679</v>
      </c>
      <c r="B757" s="31" t="s">
        <v>1680</v>
      </c>
      <c r="C757" s="31"/>
      <c r="D757" s="37" t="s">
        <v>14</v>
      </c>
      <c r="E757" s="38">
        <v>2.0</v>
      </c>
      <c r="F757" s="39">
        <v>71.4</v>
      </c>
      <c r="G757" s="11">
        <v>214514.0</v>
      </c>
      <c r="H757" s="34" t="str">
        <f>IFERROR(__xludf.DUMMYFUNCTION("LOWER(REGEXREPLACE(B757&amp;"" ""&amp;C757,""[^а-яa-z0-9 ]"","" ""))")," пециализированный стол для паяльного дела типа  raft ab ")</f>
        <v> пециализированный стол для паяльного дела типа  raft ab </v>
      </c>
    </row>
    <row r="758">
      <c r="A758" s="13" t="s">
        <v>1681</v>
      </c>
      <c r="B758" s="30"/>
      <c r="C758" s="31"/>
      <c r="D758" s="30"/>
      <c r="E758" s="32"/>
      <c r="F758" s="30"/>
      <c r="G758" s="33"/>
      <c r="H758" s="34" t="str">
        <f>IFERROR(__xludf.DUMMYFUNCTION("LOWER(REGEXREPLACE(B758&amp;"" ""&amp;C758,""[^а-яa-z0-9 ]"","" ""))")," ")</f>
        <v> </v>
      </c>
    </row>
    <row r="759">
      <c r="A759" s="35" t="s">
        <v>1682</v>
      </c>
      <c r="B759" s="31" t="s">
        <v>1683</v>
      </c>
      <c r="C759" s="31"/>
      <c r="D759" s="36"/>
      <c r="E759" s="10"/>
      <c r="F759" s="36"/>
      <c r="G759" s="11"/>
      <c r="H759" s="34" t="str">
        <f>IFERROR(__xludf.DUMMYFUNCTION("LOWER(REGEXREPLACE(B759&amp;"" ""&amp;C759,""[^а-яa-z0-9 ]"","" ""))")," ебель ")</f>
        <v> ебель </v>
      </c>
    </row>
    <row r="760">
      <c r="A760" s="35" t="s">
        <v>1684</v>
      </c>
      <c r="B760" s="31" t="s">
        <v>1685</v>
      </c>
      <c r="C760" s="31"/>
      <c r="D760" s="37" t="s">
        <v>14</v>
      </c>
      <c r="E760" s="10"/>
      <c r="F760" s="36"/>
      <c r="G760" s="11"/>
      <c r="H760" s="34" t="str">
        <f>IFERROR(__xludf.DUMMYFUNCTION("LOWER(REGEXREPLACE(B760&amp;"" ""&amp;C760,""[^а-яa-z0-9 ]"","" ""))")," тул крутящийся без спинки ")</f>
        <v> тул крутящийся без спинки </v>
      </c>
    </row>
    <row r="761">
      <c r="A761" s="35" t="s">
        <v>1686</v>
      </c>
      <c r="B761" s="31" t="s">
        <v>1687</v>
      </c>
      <c r="C761" s="31" t="s">
        <v>1688</v>
      </c>
      <c r="D761" s="37" t="s">
        <v>14</v>
      </c>
      <c r="E761" s="38">
        <v>2.0</v>
      </c>
      <c r="F761" s="38">
        <v>7.0</v>
      </c>
      <c r="G761" s="11">
        <v>27353.0</v>
      </c>
      <c r="H761" s="34" t="str">
        <f>IFERROR(__xludf.DUMMYFUNCTION("LOWER(REGEXREPLACE(B761&amp;"" ""&amp;C761,""[^а-яa-z0-9 ]"","" ""))"),"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о"&amp;"бито винилискожей   азмеры  320х460 600мм")</f>
        <v>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2">
      <c r="A762" s="35" t="s">
        <v>1689</v>
      </c>
      <c r="B762" s="31" t="s">
        <v>1690</v>
      </c>
      <c r="C762" s="31" t="s">
        <v>1688</v>
      </c>
      <c r="D762" s="37" t="s">
        <v>14</v>
      </c>
      <c r="E762" s="10"/>
      <c r="F762" s="36"/>
      <c r="G762" s="11">
        <v>19171.0</v>
      </c>
      <c r="H762" s="34" t="str">
        <f>IFERROR(__xludf.DUMMYFUNCTION("LOWER(REGEXREPLACE(B762&amp;"" ""&amp;C762,""[^а-яa-z0-9 ]"","" ""))"),"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име"&amp;"ет настил из поролона  обито винилискожей   азмеры  320х460 600мм")</f>
        <v>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3">
      <c r="A763" s="35" t="s">
        <v>1691</v>
      </c>
      <c r="B763" s="31" t="s">
        <v>1692</v>
      </c>
      <c r="C763" s="31" t="s">
        <v>1693</v>
      </c>
      <c r="D763" s="37" t="s">
        <v>14</v>
      </c>
      <c r="E763" s="38">
        <v>2.0</v>
      </c>
      <c r="F763" s="38">
        <v>8.0</v>
      </c>
      <c r="G763" s="11">
        <v>23840.0</v>
      </c>
      <c r="H763" s="34" t="str">
        <f>IFERROR(__xludf.DUMMYFUNCTION("LOWER(REGEXREPLACE(B763&amp;"" ""&amp;C763,""[^а-яa-z0-9 ]"","" ""))"),"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f>
        <v>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v>
      </c>
    </row>
    <row r="764">
      <c r="A764" s="35" t="s">
        <v>1694</v>
      </c>
      <c r="B764" s="31" t="s">
        <v>1695</v>
      </c>
      <c r="C764" s="31" t="s">
        <v>1696</v>
      </c>
      <c r="D764" s="37" t="s">
        <v>14</v>
      </c>
      <c r="E764" s="38">
        <v>2.0</v>
      </c>
      <c r="F764" s="38">
        <v>7.0</v>
      </c>
      <c r="G764" s="11">
        <v>35072.0</v>
      </c>
      <c r="H764" s="34" t="str">
        <f>IFERROR(__xludf.DUMMYFUNCTION("LOWER(REGEXREPLACE(B764&amp;"" ""&amp;C764,""[^а-яa-z0-9 ]"","" ""))"),"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f>
        <v>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v>
      </c>
    </row>
    <row r="765">
      <c r="A765" s="35" t="s">
        <v>1697</v>
      </c>
      <c r="B765" s="31" t="s">
        <v>1698</v>
      </c>
      <c r="C765" s="31" t="s">
        <v>1699</v>
      </c>
      <c r="D765" s="37" t="s">
        <v>14</v>
      </c>
      <c r="E765" s="38">
        <v>2.0</v>
      </c>
      <c r="F765" s="39">
        <v>6.5</v>
      </c>
      <c r="G765" s="11">
        <v>21081.0</v>
      </c>
      <c r="H765" s="34" t="str">
        <f>IFERROR(__xludf.DUMMYFUNCTION("LOWER(REGEXREPLACE(B765&amp;"" ""&amp;C765,""[^а-яa-z0-9 ]"","" ""))"),"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f>
        <v>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v>
      </c>
    </row>
    <row r="766">
      <c r="A766" s="35" t="s">
        <v>1700</v>
      </c>
      <c r="B766" s="31" t="s">
        <v>1701</v>
      </c>
      <c r="C766" s="31" t="s">
        <v>1702</v>
      </c>
      <c r="D766" s="37" t="s">
        <v>14</v>
      </c>
      <c r="E766" s="38">
        <v>2.0</v>
      </c>
      <c r="F766" s="38">
        <v>8.0</v>
      </c>
      <c r="G766" s="11">
        <v>56138.0</v>
      </c>
      <c r="H766" s="34" t="str">
        <f>IFERROR(__xludf.DUMMYFUNCTION("LOWER(REGEXREPLACE(B766&amp;"" ""&amp;C766,""[^а-яa-z0-9 ]"","" ""))"),"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с"&amp;" помощью однорычажного механизма    ластиковые колеса   ысота табурета 310 580мм ")</f>
        <v>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 помощью однорычажного механизма    ластиковые колеса   ысота табурета 310 580мм </v>
      </c>
    </row>
    <row r="767">
      <c r="A767" s="35" t="s">
        <v>1703</v>
      </c>
      <c r="B767" s="31" t="s">
        <v>1704</v>
      </c>
      <c r="C767" s="31" t="s">
        <v>1705</v>
      </c>
      <c r="D767" s="37" t="s">
        <v>14</v>
      </c>
      <c r="E767" s="38">
        <v>2.0</v>
      </c>
      <c r="F767" s="38">
        <v>5.0</v>
      </c>
      <c r="G767" s="11">
        <v>61805.0</v>
      </c>
      <c r="H767" s="34" t="str">
        <f>IFERROR(__xludf.DUMMYFUNCTION("LOWER(REGEXREPLACE(B767&amp;"" ""&amp;C767,""[^а-яa-z0-9 ]"","" ""))")," абурет подъемно поворотный  регулируемое по высоте  сиденье из фанеры  поролон  обтянутое кож зам  аркас изготовлен из трубы  поворот   360    ысота 420 480 мм")</f>
        <v> абурет подъемно поворотный  регулируемое по высоте  сиденье из фанеры  поролон  обтянутое кож зам  аркас изготовлен из трубы  поворот   360    ысота 420 480 мм</v>
      </c>
    </row>
    <row r="768">
      <c r="A768" s="13" t="s">
        <v>1706</v>
      </c>
      <c r="B768" s="30"/>
      <c r="C768" s="31"/>
      <c r="D768" s="30"/>
      <c r="E768" s="32"/>
      <c r="F768" s="30"/>
      <c r="G768" s="33"/>
      <c r="H768" s="34" t="str">
        <f>IFERROR(__xludf.DUMMYFUNCTION("LOWER(REGEXREPLACE(B768&amp;"" ""&amp;C768,""[^а-яa-z0-9 ]"","" ""))")," ")</f>
        <v> </v>
      </c>
    </row>
    <row r="769">
      <c r="A769" s="35" t="s">
        <v>1707</v>
      </c>
      <c r="B769" s="31" t="s">
        <v>1708</v>
      </c>
      <c r="C769" s="31"/>
      <c r="D769" s="36"/>
      <c r="E769" s="10"/>
      <c r="F769" s="36"/>
      <c r="G769" s="11"/>
      <c r="H769" s="34" t="str">
        <f>IFERROR(__xludf.DUMMYFUNCTION("LOWER(REGEXREPLACE(B769&amp;"" ""&amp;C769,""[^а-яa-z0-9 ]"","" ""))")," ыжные гонки и конькобежная подготовка ")</f>
        <v> ыжные гонки и конькобежная подготовка </v>
      </c>
    </row>
    <row r="770">
      <c r="A770" s="35" t="s">
        <v>1709</v>
      </c>
      <c r="B770" s="31" t="s">
        <v>1710</v>
      </c>
      <c r="C770" s="31"/>
      <c r="D770" s="37" t="s">
        <v>68</v>
      </c>
      <c r="E770" s="10"/>
      <c r="F770" s="36"/>
      <c r="G770" s="11"/>
      <c r="H770" s="34" t="str">
        <f>IFERROR(__xludf.DUMMYFUNCTION("LOWER(REGEXREPLACE(B770&amp;"" ""&amp;C770,""[^а-яa-z0-9 ]"","" ""))")," омплект лыж  лыжи  ботинки  крепления  ")</f>
        <v> омплект лыж  лыжи  ботинки  крепления  </v>
      </c>
    </row>
    <row r="771">
      <c r="A771" s="35" t="s">
        <v>1711</v>
      </c>
      <c r="B771" s="31" t="s">
        <v>1712</v>
      </c>
      <c r="C771" s="31" t="s">
        <v>1713</v>
      </c>
      <c r="D771" s="37" t="s">
        <v>68</v>
      </c>
      <c r="E771" s="38">
        <v>1.0</v>
      </c>
      <c r="F771" s="38">
        <v>7.0</v>
      </c>
      <c r="G771" s="11">
        <v>87164.0</v>
      </c>
      <c r="H771" s="34" t="str">
        <f>IFERROR(__xludf.DUMMYFUNCTION("LOWER(REGEXREPLACE(B771&amp;"" ""&amp;C771,""[^а-яa-z0-9 ]"","" ""))"),"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использованием"&amp;" карбонового волокна для максимальной прочности и торсионной жесткости   собенности   отовый сердечник для минимального веса")</f>
        <v>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 карбонового волокна для максимальной прочности и торсионной жесткости   собенности   отовый сердечник для минимального веса</v>
      </c>
    </row>
    <row r="772">
      <c r="A772" s="8" t="s">
        <v>1714</v>
      </c>
      <c r="B772" s="9"/>
      <c r="C772" s="31"/>
      <c r="D772" s="9"/>
      <c r="E772" s="10"/>
      <c r="F772" s="9"/>
      <c r="G772" s="11"/>
      <c r="H772" s="34" t="str">
        <f>IFERROR(__xludf.DUMMYFUNCTION("LOWER(REGEXREPLACE(B772&amp;"" ""&amp;C772,""[^а-яa-z0-9 ]"","" ""))")," ")</f>
        <v> </v>
      </c>
    </row>
    <row r="773">
      <c r="A773" s="13" t="s">
        <v>1715</v>
      </c>
      <c r="B773" s="9"/>
      <c r="C773" s="31"/>
      <c r="D773" s="9"/>
      <c r="E773" s="10"/>
      <c r="F773" s="9"/>
      <c r="G773" s="11"/>
      <c r="H773" s="34"/>
    </row>
    <row r="774">
      <c r="A774" s="35" t="s">
        <v>1716</v>
      </c>
      <c r="B774" s="31" t="s">
        <v>1717</v>
      </c>
      <c r="C774" s="31"/>
      <c r="D774" s="36"/>
      <c r="E774" s="10"/>
      <c r="F774" s="36"/>
      <c r="G774" s="11"/>
      <c r="H774" s="34" t="str">
        <f>IFERROR(__xludf.DUMMYFUNCTION("LOWER(REGEXREPLACE(B774&amp;"" ""&amp;C774,""[^а-яa-z0-9 ]"","" ""))")," абинет математики ")</f>
        <v> абинет математики </v>
      </c>
    </row>
    <row r="775">
      <c r="A775" s="35" t="s">
        <v>1718</v>
      </c>
      <c r="B775" s="31" t="s">
        <v>1719</v>
      </c>
      <c r="C775" s="31" t="s">
        <v>1720</v>
      </c>
      <c r="D775" s="37" t="s">
        <v>14</v>
      </c>
      <c r="E775" s="38">
        <v>2.0</v>
      </c>
      <c r="F775" s="40">
        <v>0.05</v>
      </c>
      <c r="G775" s="11">
        <v>8400.0</v>
      </c>
      <c r="H775" s="34" t="str">
        <f>IFERROR(__xludf.DUMMYFUNCTION("LOWER(REGEXREPLACE(B775&amp;"" ""&amp;C775,""[^а-яa-z0-9 ]"","" ""))"),"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объем"&amp;"ов ")</f>
        <v>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объемов </v>
      </c>
    </row>
    <row r="776">
      <c r="A776" s="35" t="s">
        <v>1721</v>
      </c>
      <c r="B776" s="31" t="s">
        <v>1722</v>
      </c>
      <c r="C776" s="31" t="s">
        <v>1723</v>
      </c>
      <c r="D776" s="37" t="s">
        <v>1507</v>
      </c>
      <c r="E776" s="38">
        <v>2.0</v>
      </c>
      <c r="F776" s="39">
        <v>0.5</v>
      </c>
      <c r="G776" s="11">
        <v>69427.0</v>
      </c>
      <c r="H776" s="34" t="str">
        <f>IFERROR(__xludf.DUMMYFUNCTION("LOWER(REGEXREPLACE(B776&amp;"" ""&amp;C776,""[^а-яa-z0-9 ]"","" ""))"),"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f>
        <v>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v>
      </c>
    </row>
    <row r="777">
      <c r="A777" s="35" t="s">
        <v>1724</v>
      </c>
      <c r="B777" s="31" t="s">
        <v>1725</v>
      </c>
      <c r="C777" s="31"/>
      <c r="D777" s="37" t="s">
        <v>1507</v>
      </c>
      <c r="E777" s="10"/>
      <c r="F777" s="36"/>
      <c r="G777" s="11"/>
      <c r="H777" s="34" t="str">
        <f>IFERROR(__xludf.DUMMYFUNCTION("LOWER(REGEXREPLACE(B777&amp;"" ""&amp;C777,""[^а-яa-z0-9 ]"","" ""))")," абор для демонстрации куба и сферы ")</f>
        <v> абор для демонстрации куба и сферы </v>
      </c>
    </row>
    <row r="778">
      <c r="A778" s="35" t="s">
        <v>1726</v>
      </c>
      <c r="B778" s="31" t="s">
        <v>1727</v>
      </c>
      <c r="C778" s="31" t="s">
        <v>1728</v>
      </c>
      <c r="D778" s="37" t="s">
        <v>1507</v>
      </c>
      <c r="E778" s="38">
        <v>2.0</v>
      </c>
      <c r="F778" s="39">
        <v>0.9</v>
      </c>
      <c r="G778" s="11">
        <v>32549.0</v>
      </c>
      <c r="H778" s="34" t="str">
        <f>IFERROR(__xludf.DUMMYFUNCTION("LOWER(REGEXREPLACE(B778&amp;"" ""&amp;C778,""[^а-яa-z0-9 ]"","" ""))"),"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"&amp;"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осн"&amp;"ованиями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"&amp;"высотой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f>
        <v>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v>
      </c>
    </row>
    <row r="779">
      <c r="A779" s="35" t="s">
        <v>1729</v>
      </c>
      <c r="B779" s="31" t="s">
        <v>1730</v>
      </c>
      <c r="C779" s="31"/>
      <c r="D779" s="37" t="s">
        <v>1507</v>
      </c>
      <c r="E779" s="10"/>
      <c r="F779" s="36"/>
      <c r="G779" s="11"/>
      <c r="H779" s="34" t="str">
        <f>IFERROR(__xludf.DUMMYFUNCTION("LOWER(REGEXREPLACE(B779&amp;"" ""&amp;C779,""[^а-яa-z0-9 ]"","" ""))")," абор для исследования законов вероятности ")</f>
        <v> абор для исследования законов вероятности </v>
      </c>
    </row>
    <row r="780">
      <c r="A780" s="35" t="s">
        <v>1731</v>
      </c>
      <c r="B780" s="31" t="s">
        <v>1732</v>
      </c>
      <c r="C780" s="31" t="s">
        <v>1733</v>
      </c>
      <c r="D780" s="37" t="s">
        <v>1507</v>
      </c>
      <c r="E780" s="38">
        <v>2.0</v>
      </c>
      <c r="F780" s="39">
        <v>2.3</v>
      </c>
      <c r="G780" s="11">
        <v>69620.0</v>
      </c>
      <c r="H780" s="34" t="str">
        <f>IFERROR(__xludf.DUMMYFUNCTION("LOWER(REGEXREPLACE(B780&amp;"" ""&amp;C780,""[^а-яa-z0-9 ]"","" ""))"),"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плас"&amp;"тиковых бутылок   6 шт    4   одель нормального распределения   азмер модели  30 30 30 см   атериал пластик   арики одного цвета 150 штук ")</f>
        <v>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пластиковых бутылок   6 шт    4   одель нормального распределения   азмер модели  30 30 30 см   атериал пластик   арики одного цвета 150 штук </v>
      </c>
    </row>
    <row r="781">
      <c r="A781" s="35" t="s">
        <v>1734</v>
      </c>
      <c r="B781" s="31" t="s">
        <v>1735</v>
      </c>
      <c r="C781" s="31"/>
      <c r="D781" s="37" t="s">
        <v>1507</v>
      </c>
      <c r="E781" s="10"/>
      <c r="F781" s="36"/>
      <c r="G781" s="11"/>
      <c r="H781" s="34" t="str">
        <f>IFERROR(__xludf.DUMMYFUNCTION("LOWER(REGEXREPLACE(B781&amp;"" ""&amp;C781,""[^а-яa-z0-9 ]"","" ""))")," абор геометрических фигур раздаточный ")</f>
        <v> абор геометрических фигур раздаточный </v>
      </c>
    </row>
    <row r="782">
      <c r="A782" s="35" t="s">
        <v>1736</v>
      </c>
      <c r="B782" s="31" t="s">
        <v>1737</v>
      </c>
      <c r="C782" s="31"/>
      <c r="D782" s="37" t="s">
        <v>1507</v>
      </c>
      <c r="E782" s="10"/>
      <c r="F782" s="36"/>
      <c r="G782" s="11">
        <v>2338.0</v>
      </c>
      <c r="H782" s="34" t="str">
        <f>IFERROR(__xludf.DUMMYFUNCTION("LOWER(REGEXREPLACE(B782&amp;"" ""&amp;C782,""[^а-яa-z0-9 ]"","" ""))")," абор геометрических фигур с развертками ")</f>
        <v> абор геометрических фигур с развертками </v>
      </c>
    </row>
    <row r="783">
      <c r="A783" s="35" t="s">
        <v>1738</v>
      </c>
      <c r="B783" s="31" t="s">
        <v>1739</v>
      </c>
      <c r="C783" s="31"/>
      <c r="D783" s="37" t="s">
        <v>1507</v>
      </c>
      <c r="E783" s="10"/>
      <c r="F783" s="38">
        <v>1.0</v>
      </c>
      <c r="G783" s="11">
        <v>42493.0</v>
      </c>
      <c r="H783" s="34" t="str">
        <f>IFERROR(__xludf.DUMMYFUNCTION("LOWER(REGEXREPLACE(B783&amp;"" ""&amp;C783,""[^а-яa-z0-9 ]"","" ""))")," абор геометрических фигур раздаточный типа  nvicta 091859 42401 ")</f>
        <v> абор геометрических фигур раздаточный типа  nvicta 091859 42401 </v>
      </c>
    </row>
    <row r="784">
      <c r="A784" s="35" t="s">
        <v>1740</v>
      </c>
      <c r="B784" s="31" t="s">
        <v>1741</v>
      </c>
      <c r="C784" s="31"/>
      <c r="D784" s="37" t="s">
        <v>1507</v>
      </c>
      <c r="E784" s="10"/>
      <c r="F784" s="39">
        <v>0.6</v>
      </c>
      <c r="G784" s="11"/>
      <c r="H784" s="34" t="str">
        <f>IFERROR(__xludf.DUMMYFUNCTION("LOWER(REGEXREPLACE(B784&amp;"" ""&amp;C784,""[^а-яa-z0-9 ]"","" ""))")," абор  робные части квадрата и круга ")</f>
        <v> абор  робные части квадрата и круга </v>
      </c>
    </row>
    <row r="785">
      <c r="A785" s="35" t="s">
        <v>1742</v>
      </c>
      <c r="B785" s="31" t="s">
        <v>1743</v>
      </c>
      <c r="C785" s="31" t="s">
        <v>1744</v>
      </c>
      <c r="D785" s="37" t="s">
        <v>1507</v>
      </c>
      <c r="E785" s="38">
        <v>2.0</v>
      </c>
      <c r="F785" s="39">
        <v>1.5</v>
      </c>
      <c r="G785" s="11">
        <v>66000.0</v>
      </c>
      <c r="H785" s="34" t="str">
        <f>IFERROR(__xludf.DUMMYFUNCTION("LOWER(REGEXREPLACE(B785&amp;"" ""&amp;C785,""[^а-яa-z0-9 ]"","" ""))"),"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квадратной"&amp;"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цилиндрическ"&amp;"ой формы ")</f>
        <v>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цилиндрической формы </v>
      </c>
    </row>
    <row r="786">
      <c r="A786" s="35" t="s">
        <v>1745</v>
      </c>
      <c r="B786" s="31" t="s">
        <v>1746</v>
      </c>
      <c r="C786" s="31" t="s">
        <v>1747</v>
      </c>
      <c r="D786" s="37" t="s">
        <v>1507</v>
      </c>
      <c r="E786" s="38">
        <v>2.0</v>
      </c>
      <c r="F786" s="39">
        <v>0.2</v>
      </c>
      <c r="G786" s="11">
        <v>6955.0</v>
      </c>
      <c r="H786" s="34" t="str">
        <f>IFERROR(__xludf.DUMMYFUNCTION("LOWER(REGEXREPLACE(B786&amp;"" ""&amp;C786,""[^а-яa-z0-9 ]"","" ""))"),"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"&amp;"магниты  что позволяет проводить демонстрацию на стальной классной доске ")</f>
        <v>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магниты  что позволяет проводить демонстрацию на стальной классной доске </v>
      </c>
    </row>
    <row r="787">
      <c r="A787" s="35" t="s">
        <v>1748</v>
      </c>
      <c r="B787" s="31" t="s">
        <v>1749</v>
      </c>
      <c r="C787" s="31"/>
      <c r="D787" s="37" t="s">
        <v>14</v>
      </c>
      <c r="E787" s="10"/>
      <c r="F787" s="36"/>
      <c r="G787" s="11"/>
      <c r="H787" s="34" t="str">
        <f>IFERROR(__xludf.DUMMYFUNCTION("LOWER(REGEXREPLACE(B787&amp;"" ""&amp;C787,""[^а-яa-z0-9 ]"","" ""))")," алькулятор графический ")</f>
        <v> алькулятор графический </v>
      </c>
    </row>
    <row r="788">
      <c r="A788" s="35" t="s">
        <v>1750</v>
      </c>
      <c r="B788" s="9" t="s">
        <v>1751</v>
      </c>
      <c r="C788" s="31" t="s">
        <v>1752</v>
      </c>
      <c r="D788" s="37" t="s">
        <v>14</v>
      </c>
      <c r="E788" s="38">
        <v>2.0</v>
      </c>
      <c r="F788" s="39">
        <v>0.2</v>
      </c>
      <c r="G788" s="11">
        <v>176444.0</v>
      </c>
      <c r="H788" s="34" t="str">
        <f>IFERROR(__xludf.DUMMYFUNCTION("LOWER(REGEXREPLACE(B788&amp;"" ""&amp;C788,""[^а-яa-z0-9 ]"","" ""))"),"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ко"&amp;"мплекте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1"&amp;"6 битная цветовая схема  размер дисплея  320 x 240 пикселей  2 8  диагональ  ")</f>
        <v>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16 битная цветовая схема  размер дисплея  320 x 240 пикселей  2 8  диагональ  </v>
      </c>
    </row>
    <row r="789">
      <c r="A789" s="35" t="s">
        <v>1753</v>
      </c>
      <c r="B789" s="9" t="s">
        <v>1754</v>
      </c>
      <c r="C789" s="31"/>
      <c r="D789" s="36"/>
      <c r="E789" s="10"/>
      <c r="F789" s="36"/>
      <c r="G789" s="11"/>
      <c r="H789" s="34" t="str">
        <f>IFERROR(__xludf.DUMMYFUNCTION("LOWER(REGEXREPLACE(B789&amp;"" ""&amp;C789,""[^а-яa-z0-9 ]"","" ""))")," ифровая интерактивная лаборатория для экспериментов по физике ")</f>
        <v> ифровая интерактивная лаборатория для экспериментов по физике </v>
      </c>
    </row>
    <row r="790">
      <c r="A790" s="35" t="s">
        <v>1755</v>
      </c>
      <c r="B790" s="31" t="s">
        <v>1756</v>
      </c>
      <c r="C790" s="31"/>
      <c r="D790" s="37" t="s">
        <v>14</v>
      </c>
      <c r="E790" s="10"/>
      <c r="F790" s="36"/>
      <c r="G790" s="11"/>
      <c r="H790" s="34" t="str">
        <f>IFERROR(__xludf.DUMMYFUNCTION("LOWER(REGEXREPLACE(B790&amp;"" ""&amp;C790,""[^а-яa-z0-9 ]"","" ""))")," атчик гальванометрический ")</f>
        <v> атчик гальванометрический </v>
      </c>
    </row>
    <row r="791">
      <c r="A791" s="35" t="s">
        <v>1757</v>
      </c>
      <c r="B791" s="9" t="s">
        <v>1758</v>
      </c>
      <c r="C791" s="31"/>
      <c r="D791" s="37" t="s">
        <v>14</v>
      </c>
      <c r="E791" s="10"/>
      <c r="F791" s="36"/>
      <c r="G791" s="11">
        <v>88724.0</v>
      </c>
      <c r="H791" s="34" t="str">
        <f>IFERROR(__xludf.DUMMYFUNCTION("LOWER(REGEXREPLACE(B791&amp;"" ""&amp;C791,""[^а-яa-z0-9 ]"","" ""))")," атчик гальванометрический беспроводной  ток   o  irect           иапазон     1  и    0 1    аксимальный ток без повреждения  1 5  и 0 5    иповой шаг измерений  0 031м  и 0 003м  ")</f>
        <v> атчик гальванометрический беспроводной  ток   o  irect           иапазон     1  и    0 1    аксимальный ток без повреждения  1 5  и 0 5    иповой шаг измерений  0 031м  и 0 003м  </v>
      </c>
    </row>
    <row r="792">
      <c r="A792" s="35" t="s">
        <v>1759</v>
      </c>
      <c r="B792" s="9" t="s">
        <v>1760</v>
      </c>
      <c r="C792" s="31"/>
      <c r="D792" s="37" t="s">
        <v>14</v>
      </c>
      <c r="E792" s="10"/>
      <c r="F792" s="42">
        <v>0.082</v>
      </c>
      <c r="G792" s="11">
        <v>187010.0</v>
      </c>
      <c r="H792" s="34" t="str">
        <f>IFERROR(__xludf.DUMMYFUNCTION("LOWER(REGEXREPLACE(B792&amp;"" ""&amp;C792,""[^а-яa-z0-9 ]"","" ""))"),"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f>
        <v>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v>
      </c>
    </row>
    <row r="793">
      <c r="A793" s="35" t="s">
        <v>1761</v>
      </c>
      <c r="B793" s="9" t="s">
        <v>1762</v>
      </c>
      <c r="C793" s="31"/>
      <c r="D793" s="37" t="s">
        <v>14</v>
      </c>
      <c r="E793" s="38">
        <v>2.0</v>
      </c>
      <c r="F793" s="40">
        <v>0.06</v>
      </c>
      <c r="G793" s="11">
        <v>116939.0</v>
      </c>
      <c r="H793" s="34" t="str">
        <f>IFERROR(__xludf.DUMMYFUNCTION("LOWER(REGEXREPLACE(B793&amp;"" ""&amp;C793,""[^а-яa-z0-9 ]"","" ""))")," instein   атчик тока     2 5         005   иапазон     2 5     ходной ток  переменный или постоянный ток   очность     3   по всему диапазону   азрешение  12 бит   1 25 м  ")</f>
        <v> instein   атчик тока     2 5         005   иапазон     2 5     ходной ток  переменный или постоянный ток   очность     3   по всему диапазону   азрешение  12 бит   1 25 м  </v>
      </c>
    </row>
    <row r="794">
      <c r="A794" s="35" t="s">
        <v>1763</v>
      </c>
      <c r="B794" s="9" t="s">
        <v>1764</v>
      </c>
      <c r="C794" s="31"/>
      <c r="D794" s="37" t="s">
        <v>14</v>
      </c>
      <c r="E794" s="38">
        <v>2.0</v>
      </c>
      <c r="F794" s="40">
        <v>0.06</v>
      </c>
      <c r="G794" s="11">
        <v>124281.0</v>
      </c>
      <c r="H794" s="34" t="str">
        <f>IFERROR(__xludf.DUMMYFUNCTION("LOWER(REGEXREPLACE(B794&amp;"" ""&amp;C794,""[^а-яa-z0-9 ]"","" ""))")," instein   атчик тока     250 м        006   иапазон     250 м    ходной ток  переменный или постоянный ток   очность     3   по всему диапазону   азрешение  12 бит      125 мк  ")</f>
        <v> instein   атчик тока     250 м        006   иапазон     250 м    ходной ток  переменный или постоянный ток   очность     3   по всему диапазону   азрешение  12 бит      125 мк  </v>
      </c>
    </row>
    <row r="795">
      <c r="A795" s="35" t="s">
        <v>1765</v>
      </c>
      <c r="B795" s="31" t="s">
        <v>1766</v>
      </c>
      <c r="C795" s="31"/>
      <c r="D795" s="37" t="s">
        <v>14</v>
      </c>
      <c r="E795" s="38">
        <v>2.0</v>
      </c>
      <c r="F795" s="39">
        <v>0.1</v>
      </c>
      <c r="G795" s="11">
        <v>67995.0</v>
      </c>
      <c r="H795" s="34" t="str">
        <f>IFERROR(__xludf.DUMMYFUNCTION("LOWER(REGEXREPLACE(B795&amp;"" ""&amp;C795,""[^а-яa-z0-9 ]"","" ""))")," нешний датчик тока  lobisense   иапазон    250 м    очность     4  ")</f>
        <v> нешний датчик тока  lobisense   иапазон    250 м    очность     4  </v>
      </c>
    </row>
    <row r="796">
      <c r="A796" s="35" t="s">
        <v>1767</v>
      </c>
      <c r="B796" s="31" t="s">
        <v>1768</v>
      </c>
      <c r="C796" s="31"/>
      <c r="D796" s="37" t="s">
        <v>14</v>
      </c>
      <c r="E796" s="38">
        <v>2.0</v>
      </c>
      <c r="F796" s="42">
        <v>0.156</v>
      </c>
      <c r="G796" s="11">
        <v>154813.0</v>
      </c>
      <c r="H796" s="34" t="str">
        <f>IFERROR(__xludf.DUMMYFUNCTION("LOWER(REGEXREPLACE(B796&amp;"" ""&amp;C796,""[^а-яa-z0-9 ]"","" ""))")," атчик гальванометрический  ток  беспроводной типа        obra       ence  igh  urrent 12925 00   иапазон     10     азрешение  10 м  ")</f>
        <v> атчик гальванометрический  ток  беспроводной типа        obra       ence  igh  urrent 12925 00   иапазон     10     азрешение  10 м  </v>
      </c>
    </row>
    <row r="797">
      <c r="A797" s="35" t="s">
        <v>1769</v>
      </c>
      <c r="B797" s="9" t="s">
        <v>1770</v>
      </c>
      <c r="C797" s="31"/>
      <c r="D797" s="37" t="s">
        <v>14</v>
      </c>
      <c r="E797" s="38">
        <v>2.0</v>
      </c>
      <c r="F797" s="40">
        <v>0.15</v>
      </c>
      <c r="G797" s="11">
        <v>75675.0</v>
      </c>
      <c r="H797" s="34" t="str">
        <f>IFERROR(__xludf.DUMMYFUNCTION("LOWER(REGEXREPLACE(B797&amp;"" ""&amp;C797,""[^а-яa-z0-9 ]"","" ""))")," атчик гальванометрический беспроводной типа  cience ube    109     иапазон     0 0125     азрешение  0 002 м  ")</f>
        <v> атчик гальванометрический беспроводной типа  cience ube    109     иапазон     0 0125     азрешение  0 002 м  </v>
      </c>
    </row>
    <row r="798">
      <c r="A798" s="35" t="s">
        <v>1771</v>
      </c>
      <c r="B798" s="31" t="s">
        <v>1772</v>
      </c>
      <c r="C798" s="31"/>
      <c r="D798" s="37" t="s">
        <v>14</v>
      </c>
      <c r="E798" s="38">
        <v>2.0</v>
      </c>
      <c r="F798" s="39">
        <v>0.1</v>
      </c>
      <c r="G798" s="11">
        <v>23067.0</v>
      </c>
      <c r="H798" s="34" t="str">
        <f>IFERROR(__xludf.DUMMYFUNCTION("LOWER(REGEXREPLACE(B798&amp;"" ""&amp;C798,""[^а-яa-z0-9 ]"","" ""))")," атчик тока типа  ense disc  0005   иапазон   1 1    очность     1    азрешение  0 001  ")</f>
        <v> атчик тока типа  ense disc  0005   иапазон   1 1    очность     1    азрешение  0 001  </v>
      </c>
    </row>
    <row r="799">
      <c r="A799" s="35" t="s">
        <v>1773</v>
      </c>
      <c r="B799" s="9" t="s">
        <v>1774</v>
      </c>
      <c r="C799" s="31"/>
      <c r="D799" s="37" t="s">
        <v>14</v>
      </c>
      <c r="E799" s="38">
        <v>2.0</v>
      </c>
      <c r="F799" s="39">
        <v>0.1</v>
      </c>
      <c r="G799" s="11">
        <v>25495.0</v>
      </c>
      <c r="H799" s="34" t="str">
        <f>IFERROR(__xludf.DUMMYFUNCTION("LOWER(REGEXREPLACE(B799&amp;"" ""&amp;C799,""[^а-яa-z0-9 ]"","" ""))")," атчик микротока типа  ense disc  0006   иапазон   10 мк  10 мк    очность     1    азрешение  0 01 мк  ")</f>
        <v> атчик микротока типа  ense disc  0006   иапазон   10 мк  10 мк    очность     1    азрешение  0 01 мк  </v>
      </c>
    </row>
    <row r="800">
      <c r="A800" s="35" t="s">
        <v>1775</v>
      </c>
      <c r="B800" s="31" t="s">
        <v>1776</v>
      </c>
      <c r="C800" s="31"/>
      <c r="D800" s="37" t="s">
        <v>14</v>
      </c>
      <c r="E800" s="38">
        <v>2.0</v>
      </c>
      <c r="F800" s="39">
        <v>0.1</v>
      </c>
      <c r="G800" s="11">
        <v>29137.0</v>
      </c>
      <c r="H800" s="34" t="str">
        <f>IFERROR(__xludf.DUMMYFUNCTION("LOWER(REGEXREPLACE(B800&amp;"" ""&amp;C800,""[^а-яa-z0-9 ]"","" ""))")," атчик тока типа  ense disc  0035   иапазон   10  10    очность     2  ")</f>
        <v> атчик тока типа  ense disc  0035   иапазон   10  10    очность     2  </v>
      </c>
    </row>
    <row r="801">
      <c r="A801" s="35" t="s">
        <v>1777</v>
      </c>
      <c r="B801" s="31" t="s">
        <v>1778</v>
      </c>
      <c r="C801" s="31"/>
      <c r="D801" s="37" t="s">
        <v>14</v>
      </c>
      <c r="E801" s="38">
        <v>2.0</v>
      </c>
      <c r="F801" s="39">
        <v>0.1</v>
      </c>
      <c r="G801" s="11">
        <v>79034.0</v>
      </c>
      <c r="H801" s="34" t="str">
        <f>IFERROR(__xludf.DUMMYFUNCTION("LOWER(REGEXREPLACE(B801&amp;"" ""&amp;C801,""[^а-яa-z0-9 ]"","" ""))")," атчик гальванометрический типа  icro ab  lab curr250   апряжение 3 3  5   диапазон 0 2000 мкс см  разрешение    5        ")</f>
        <v> атчик гальванометрический типа  icro ab  lab curr250   апряжение 3 3  5   диапазон 0 2000 мкс см  разрешение    5        </v>
      </c>
    </row>
    <row r="802">
      <c r="A802" s="35" t="s">
        <v>1779</v>
      </c>
      <c r="B802" s="31" t="s">
        <v>1780</v>
      </c>
      <c r="C802" s="31"/>
      <c r="D802" s="37" t="s">
        <v>14</v>
      </c>
      <c r="E802" s="38">
        <v>2.0</v>
      </c>
      <c r="F802" s="39">
        <v>0.3</v>
      </c>
      <c r="G802" s="11">
        <v>31475.0</v>
      </c>
      <c r="H802" s="34" t="str">
        <f>IFERROR(__xludf.DUMMYFUNCTION("LOWER(REGEXREPLACE(B802&amp;"" ""&amp;C802,""[^а-яa-z0-9 ]"","" ""))")," атчик измерения силы тока при низком напряжении    и    в контурах   иапазон измерения   2 5   2 5   азрешение      1 25 m   12bit  ")</f>
        <v> атчик измерения силы тока при низком напряжении    и    в контурах   иапазон измерения   2 5   2 5   азрешение      1 25 m   12bit  </v>
      </c>
    </row>
    <row r="803">
      <c r="A803" s="35" t="s">
        <v>1781</v>
      </c>
      <c r="B803" s="9" t="s">
        <v>1782</v>
      </c>
      <c r="C803" s="31"/>
      <c r="D803" s="37" t="s">
        <v>14</v>
      </c>
      <c r="E803" s="38">
        <v>2.0</v>
      </c>
      <c r="F803" s="39">
        <v>0.3</v>
      </c>
      <c r="G803" s="11">
        <v>31475.0</v>
      </c>
      <c r="H803" s="34" t="str">
        <f>IFERROR(__xludf.DUMMYFUNCTION("LOWER(REGEXREPLACE(B803&amp;"" ""&amp;C803,""[^а-яa-z0-9 ]"","" ""))")," атчик гальванометрический   иапазон измерения      250м    азрешение  125 мк  ")</f>
        <v> атчик гальванометрический   иапазон измерения      250м    азрешение  125 мк  </v>
      </c>
    </row>
    <row r="804">
      <c r="A804" s="35" t="s">
        <v>1783</v>
      </c>
      <c r="B804" s="31" t="s">
        <v>1784</v>
      </c>
      <c r="C804" s="31"/>
      <c r="D804" s="37" t="s">
        <v>14</v>
      </c>
      <c r="E804" s="10"/>
      <c r="F804" s="36"/>
      <c r="G804" s="11"/>
      <c r="H804" s="34" t="str">
        <f>IFERROR(__xludf.DUMMYFUNCTION("LOWER(REGEXREPLACE(B804&amp;"" ""&amp;C804,""[^а-яa-z0-9 ]"","" ""))")," атчик напряжения ")</f>
        <v> атчик напряжения </v>
      </c>
    </row>
    <row r="805">
      <c r="A805" s="35" t="s">
        <v>1785</v>
      </c>
      <c r="B805" s="9" t="s">
        <v>1786</v>
      </c>
      <c r="C805" s="31"/>
      <c r="D805" s="37" t="s">
        <v>14</v>
      </c>
      <c r="E805" s="38">
        <v>2.0</v>
      </c>
      <c r="F805" s="42">
        <v>0.082</v>
      </c>
      <c r="G805" s="11">
        <v>187010.0</v>
      </c>
      <c r="H805" s="34" t="str">
        <f>IFERROR(__xludf.DUMMYFUNCTION("LOWER(REGEXREPLACE(B805&amp;"" ""&amp;C805,""[^а-яa-z0-9 ]"","" ""))")," атчик напряжения беспроводной  ata arvest 1131   иапазоны измерения  100 м    5        соединительный провод     сбора и обработки данных  asysense2 на трех языках  каз   рус   англ  языке  ")</f>
        <v> атчик напряжения беспроводной  ata arvest 1131   иапазоны измерения  100 м    5        соединительный провод     сбора и обработки данных  asysense2 на трех языках  каз   рус   англ  языке  </v>
      </c>
    </row>
    <row r="806">
      <c r="A806" s="35" t="s">
        <v>1787</v>
      </c>
      <c r="B806" s="31" t="s">
        <v>1788</v>
      </c>
      <c r="C806" s="31"/>
      <c r="D806" s="37" t="s">
        <v>14</v>
      </c>
      <c r="E806" s="38">
        <v>2.0</v>
      </c>
      <c r="F806" s="40">
        <v>0.06</v>
      </c>
      <c r="G806" s="11">
        <v>93443.0</v>
      </c>
      <c r="H806" s="34" t="str">
        <f>IFERROR(__xludf.DUMMYFUNCTION("LOWER(REGEXREPLACE(B806&amp;"" ""&amp;C806,""[^а-яa-z0-9 ]"","" ""))")," instein   атчик напряжения  25       001   иапазон   25     ходное напряжение  переменный или постоянный ток   очность   3   по всему диапазону   азрешение  12 бит   12 5 м  ")</f>
        <v> instein   атчик напряжения  25       001   иапазон   25     ходное напряжение  переменный или постоянный ток   очность   3   по всему диапазону   азрешение  12 бит   12 5 м  </v>
      </c>
    </row>
    <row r="807">
      <c r="A807" s="35" t="s">
        <v>1789</v>
      </c>
      <c r="B807" s="9" t="s">
        <v>1790</v>
      </c>
      <c r="C807" s="31"/>
      <c r="D807" s="37" t="s">
        <v>14</v>
      </c>
      <c r="E807" s="38">
        <v>2.0</v>
      </c>
      <c r="F807" s="40">
        <v>0.06</v>
      </c>
      <c r="G807" s="11">
        <v>99317.0</v>
      </c>
      <c r="H807" s="34" t="str">
        <f>IFERROR(__xludf.DUMMYFUNCTION("LOWER(REGEXREPLACE(B807&amp;"" ""&amp;C807,""[^а-яa-z0-9 ]"","" ""))")," instein   атчик напряжения   2 5         002   иапазон   2 5     ходной ток  переменный или постоянный ток   очность   3   по всему диапазону    азрешение  12 бит   1 25 м  ")</f>
        <v> instein   атчик напряжения   2 5         002   иапазон   2 5     ходной ток  переменный или постоянный ток   очность   3   по всему диапазону    азрешение  12 бит   1 25 м  </v>
      </c>
    </row>
    <row r="808">
      <c r="A808" s="35" t="s">
        <v>1791</v>
      </c>
      <c r="B808" s="9" t="s">
        <v>1792</v>
      </c>
      <c r="C808" s="31"/>
      <c r="D808" s="37" t="s">
        <v>14</v>
      </c>
      <c r="E808" s="38">
        <v>2.0</v>
      </c>
      <c r="F808" s="40">
        <v>0.06</v>
      </c>
      <c r="G808" s="11">
        <v>137498.0</v>
      </c>
      <c r="H808" s="34" t="str">
        <f>IFERROR(__xludf.DUMMYFUNCTION("LOWER(REGEXREPLACE(B808&amp;"" ""&amp;C808,""[^а-яa-z0-9 ]"","" ""))")," instein  ногодиапазонный датчик напряжения   1    10    25        019   иапазон    1      10      25     ходное напряжение  переменный или постоянный ток ")</f>
        <v> instein  ногодиапазонный датчик напряжения   1    10    25        019   иапазон    1      10      25     ходное напряжение  переменный или постоянный ток </v>
      </c>
    </row>
    <row r="809">
      <c r="A809" s="35" t="s">
        <v>1793</v>
      </c>
      <c r="B809" s="9" t="s">
        <v>1794</v>
      </c>
      <c r="C809" s="31"/>
      <c r="D809" s="37" t="s">
        <v>14</v>
      </c>
      <c r="E809" s="38">
        <v>2.0</v>
      </c>
      <c r="F809" s="39">
        <v>0.1</v>
      </c>
      <c r="G809" s="11">
        <v>67995.0</v>
      </c>
      <c r="H809" s="34" t="str">
        <f>IFERROR(__xludf.DUMMYFUNCTION("LOWER(REGEXREPLACE(B809&amp;"" ""&amp;C809,""[^а-яa-z0-9 ]"","" ""))")," нешний датчик  напряжения  lobisense   иапазон    10     очность    2   ")</f>
        <v> нешний датчик  напряжения  lobisense   иапазон    10     очность    2   </v>
      </c>
    </row>
    <row r="810">
      <c r="A810" s="35" t="s">
        <v>1795</v>
      </c>
      <c r="B810" s="31" t="s">
        <v>1796</v>
      </c>
      <c r="C810" s="31"/>
      <c r="D810" s="37" t="s">
        <v>14</v>
      </c>
      <c r="E810" s="38">
        <v>2.0</v>
      </c>
      <c r="F810" s="40">
        <v>0.17</v>
      </c>
      <c r="G810" s="11">
        <v>169967.0</v>
      </c>
      <c r="H810" s="34" t="str">
        <f>IFERROR(__xludf.DUMMYFUNCTION("LOWER(REGEXREPLACE(B810&amp;"" ""&amp;C810,""[^а-яa-z0-9 ]"","" ""))")," атчик напряжения беспроводной типа  hywe  obra      sense  oltage 12901 01   иапазон      30     азрешение  20 м    астота  1000  ц ")</f>
        <v> атчик напряжения беспроводной типа  hywe  obra      sense  oltage 12901 01   иапазон      30     азрешение  20 м    астота  1000  ц </v>
      </c>
    </row>
    <row r="811">
      <c r="A811" s="35" t="s">
        <v>1797</v>
      </c>
      <c r="B811" s="31" t="s">
        <v>1798</v>
      </c>
      <c r="C811" s="31"/>
      <c r="D811" s="37" t="s">
        <v>14</v>
      </c>
      <c r="E811" s="38">
        <v>2.0</v>
      </c>
      <c r="F811" s="40">
        <v>0.15</v>
      </c>
      <c r="G811" s="11">
        <v>85972.0</v>
      </c>
      <c r="H811" s="34" t="str">
        <f>IFERROR(__xludf.DUMMYFUNCTION("LOWER(REGEXREPLACE(B811&amp;"" ""&amp;C811,""[^а-яa-z0-9 ]"","" ""))")," атчик напряжения беспроводной типа  cience ube    101    иапазон      15     азрешение  2 м  ")</f>
        <v> атчик напряжения беспроводной типа  cience ube    101    иапазон      15     азрешение  2 м  </v>
      </c>
    </row>
    <row r="812">
      <c r="A812" s="35" t="s">
        <v>1799</v>
      </c>
      <c r="B812" s="9" t="s">
        <v>1800</v>
      </c>
      <c r="C812" s="31"/>
      <c r="D812" s="37" t="s">
        <v>14</v>
      </c>
      <c r="E812" s="38">
        <v>2.0</v>
      </c>
      <c r="F812" s="39">
        <v>0.1</v>
      </c>
      <c r="G812" s="11">
        <v>23067.0</v>
      </c>
      <c r="H812" s="34" t="str">
        <f>IFERROR(__xludf.DUMMYFUNCTION("LOWER(REGEXREPLACE(B812&amp;"" ""&amp;C812,""[^а-яa-z0-9 ]"","" ""))")," атчик напряжения типа  ense disc  0001   иапазон   30  30    очность     1    азрешение  0 02  ")</f>
        <v> атчик напряжения типа  ense disc  0001   иапазон   30  30    очность     1    азрешение  0 02  </v>
      </c>
    </row>
    <row r="813">
      <c r="A813" s="35" t="s">
        <v>1801</v>
      </c>
      <c r="B813" s="31" t="s">
        <v>1802</v>
      </c>
      <c r="C813" s="31"/>
      <c r="D813" s="37" t="s">
        <v>14</v>
      </c>
      <c r="E813" s="38">
        <v>2.0</v>
      </c>
      <c r="F813" s="39">
        <v>0.1</v>
      </c>
      <c r="G813" s="11">
        <v>23067.0</v>
      </c>
      <c r="H813" s="34" t="str">
        <f>IFERROR(__xludf.DUMMYFUNCTION("LOWER(REGEXREPLACE(B813&amp;"" ""&amp;C813,""[^а-яa-z0-9 ]"","" ""))")," атчик напряжения типа  ense disc  0037   иапазон   500  500    очность     2    азрешение  0 3  ")</f>
        <v> атчик напряжения типа  ense disc  0037   иапазон   500  500    очность     2    азрешение  0 3  </v>
      </c>
    </row>
    <row r="814">
      <c r="A814" s="35" t="s">
        <v>1803</v>
      </c>
      <c r="B814" s="9" t="s">
        <v>1804</v>
      </c>
      <c r="C814" s="31"/>
      <c r="D814" s="37" t="s">
        <v>14</v>
      </c>
      <c r="E814" s="38">
        <v>2.0</v>
      </c>
      <c r="F814" s="39">
        <v>0.1</v>
      </c>
      <c r="G814" s="11">
        <v>55037.0</v>
      </c>
      <c r="H814" s="34" t="str">
        <f>IFERROR(__xludf.DUMMYFUNCTION("LOWER(REGEXREPLACE(B814&amp;"" ""&amp;C814,""[^а-яa-z0-9 ]"","" ""))")," атчик напряжения  переменного  типа  icro ab  lab curr   абочее напряжение до 100     иапазон измерения тока 0   2 5     увствительность 800 м    ")</f>
        <v> атчик напряжения  переменного  типа  icro ab  lab curr   абочее напряжение до 100     иапазон измерения тока 0   2 5     увствительность 800 м    </v>
      </c>
    </row>
    <row r="815">
      <c r="A815" s="35" t="s">
        <v>1805</v>
      </c>
      <c r="B815" s="31" t="s">
        <v>1806</v>
      </c>
      <c r="C815" s="31"/>
      <c r="D815" s="37" t="s">
        <v>14</v>
      </c>
      <c r="E815" s="38">
        <v>2.0</v>
      </c>
      <c r="F815" s="39">
        <v>0.3</v>
      </c>
      <c r="G815" s="11">
        <v>31475.0</v>
      </c>
      <c r="H815" s="34" t="str">
        <f>IFERROR(__xludf.DUMMYFUNCTION("LOWER(REGEXREPLACE(B815&amp;"" ""&amp;C815,""[^а-яa-z0-9 ]"","" ""))"),"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f>
        <v>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v>
      </c>
    </row>
    <row r="816">
      <c r="A816" s="35" t="s">
        <v>1807</v>
      </c>
      <c r="B816" s="31" t="s">
        <v>1808</v>
      </c>
      <c r="C816" s="31"/>
      <c r="D816" s="37" t="s">
        <v>14</v>
      </c>
      <c r="E816" s="10"/>
      <c r="F816" s="36"/>
      <c r="G816" s="11"/>
      <c r="H816" s="34" t="str">
        <f>IFERROR(__xludf.DUMMYFUNCTION("LOWER(REGEXREPLACE(B816&amp;"" ""&amp;C816,""[^а-яa-z0-9 ]"","" ""))")," атчик силы ")</f>
        <v> атчик силы </v>
      </c>
    </row>
    <row r="817">
      <c r="A817" s="35" t="s">
        <v>1809</v>
      </c>
      <c r="B817" s="31" t="s">
        <v>1810</v>
      </c>
      <c r="C817" s="31"/>
      <c r="D817" s="37" t="s">
        <v>14</v>
      </c>
      <c r="E817" s="38">
        <v>2.0</v>
      </c>
      <c r="F817" s="40">
        <v>0.06</v>
      </c>
      <c r="G817" s="11">
        <v>218265.0</v>
      </c>
      <c r="H817" s="34" t="str">
        <f>IFERROR(__xludf.DUMMYFUNCTION("LOWER(REGEXREPLACE(B817&amp;"" ""&amp;C817,""[^а-яa-z0-9 ]"","" ""))")," instein   атчик силы      272   иапазон  от  10   до  10     50   до  50     очность   2   по всему диапазону ")</f>
        <v> instein   атчик силы      272   иапазон  от  10   до  10     50   до  50     очность   2   по всему диапазону </v>
      </c>
    </row>
    <row r="818">
      <c r="A818" s="35" t="s">
        <v>1811</v>
      </c>
      <c r="B818" s="31" t="s">
        <v>1812</v>
      </c>
      <c r="C818" s="31"/>
      <c r="D818" s="37" t="s">
        <v>14</v>
      </c>
      <c r="E818" s="38">
        <v>2.0</v>
      </c>
      <c r="F818" s="40">
        <v>0.14</v>
      </c>
      <c r="G818" s="11">
        <v>30351.0</v>
      </c>
      <c r="H818" s="34" t="str">
        <f>IFERROR(__xludf.DUMMYFUNCTION("LOWER(REGEXREPLACE(B818&amp;"" ""&amp;C818,""[^а-яa-z0-9 ]"","" ""))")," атчик силы типа  ense disc  0014   иапазон   50 50     очность     1    азрешение  0 03   ")</f>
        <v> атчик силы типа  ense disc  0014   иапазон   50 50     очность     1    азрешение  0 03   </v>
      </c>
    </row>
    <row r="819">
      <c r="A819" s="35" t="s">
        <v>1813</v>
      </c>
      <c r="B819" s="9" t="s">
        <v>1814</v>
      </c>
      <c r="C819" s="31"/>
      <c r="D819" s="37" t="s">
        <v>14</v>
      </c>
      <c r="E819" s="38">
        <v>2.0</v>
      </c>
      <c r="F819" s="39">
        <v>0.3</v>
      </c>
      <c r="G819" s="11">
        <v>52457.0</v>
      </c>
      <c r="H819" s="34" t="str">
        <f>IFERROR(__xludf.DUMMYFUNCTION("LOWER(REGEXREPLACE(B819&amp;"" ""&amp;C819,""[^а-яa-z0-9 ]"","" ""))")," атчик силы   иапазон измерения       10       50  ")</f>
        <v> атчик силы   иапазон измерения       10       50  </v>
      </c>
    </row>
    <row r="820">
      <c r="A820" s="35" t="s">
        <v>1815</v>
      </c>
      <c r="B820" s="31" t="s">
        <v>1816</v>
      </c>
      <c r="C820" s="31"/>
      <c r="D820" s="37" t="s">
        <v>14</v>
      </c>
      <c r="E820" s="10"/>
      <c r="F820" s="36"/>
      <c r="G820" s="11"/>
      <c r="H820" s="34" t="str">
        <f>IFERROR(__xludf.DUMMYFUNCTION("LOWER(REGEXREPLACE(B820&amp;"" ""&amp;C820,""[^а-яa-z0-9 ]"","" ""))")," сточник питания лабораторный ")</f>
        <v> сточник питания лабораторный </v>
      </c>
    </row>
    <row r="821">
      <c r="A821" s="35" t="s">
        <v>1817</v>
      </c>
      <c r="B821" s="9" t="s">
        <v>1818</v>
      </c>
      <c r="C821" s="31" t="s">
        <v>1819</v>
      </c>
      <c r="D821" s="37" t="s">
        <v>14</v>
      </c>
      <c r="E821" s="38">
        <v>2.0</v>
      </c>
      <c r="F821" s="40">
        <v>3.07</v>
      </c>
      <c r="G821" s="11">
        <v>52395.0</v>
      </c>
      <c r="H821" s="34" t="str">
        <f>IFERROR(__xludf.DUMMYFUNCTION("LOWER(REGEXREPLACE(B821&amp;"" ""&amp;C821,""[^а-яa-z0-9 ]"","" ""))"),"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"&amp;"  аксимальный ток нагрузки 1    апряжения питания 220   50  z")</f>
        <v>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аксимальный ток нагрузки 1    апряжения питания 220   50  z</v>
      </c>
    </row>
    <row r="822">
      <c r="A822" s="35" t="s">
        <v>1820</v>
      </c>
      <c r="B822" s="31" t="s">
        <v>1816</v>
      </c>
      <c r="C822" s="31" t="s">
        <v>1821</v>
      </c>
      <c r="D822" s="37" t="s">
        <v>14</v>
      </c>
      <c r="E822" s="38">
        <v>2.0</v>
      </c>
      <c r="F822" s="42">
        <v>1.933</v>
      </c>
      <c r="G822" s="11">
        <v>23389.0</v>
      </c>
      <c r="H822" s="34" t="str">
        <f>IFERROR(__xludf.DUMMYFUNCTION("LOWER(REGEXREPLACE(B822&amp;"" ""&amp;C822,""[^а-яa-z0-9 ]"","" ""))"),"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f>
        <v>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v>
      </c>
    </row>
    <row r="823">
      <c r="A823" s="35" t="s">
        <v>1822</v>
      </c>
      <c r="B823" s="9" t="s">
        <v>1823</v>
      </c>
      <c r="C823" s="31" t="s">
        <v>1824</v>
      </c>
      <c r="D823" s="37" t="s">
        <v>14</v>
      </c>
      <c r="E823" s="38">
        <v>2.0</v>
      </c>
      <c r="F823" s="40">
        <v>0.33</v>
      </c>
      <c r="G823" s="11">
        <v>116594.0</v>
      </c>
      <c r="H823" s="34" t="str">
        <f>IFERROR(__xludf.DUMMYFUNCTION("LOWER(REGEXREPLACE(B823&amp;"" ""&amp;C823,""[^а-яa-z0-9 ]"","" ""))"),"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f>
        <v>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v>
      </c>
    </row>
    <row r="824">
      <c r="A824" s="35" t="s">
        <v>1825</v>
      </c>
      <c r="B824" s="9" t="s">
        <v>1826</v>
      </c>
      <c r="C824" s="31" t="s">
        <v>1827</v>
      </c>
      <c r="D824" s="37" t="s">
        <v>68</v>
      </c>
      <c r="E824" s="38">
        <v>2.0</v>
      </c>
      <c r="F824" s="40">
        <v>0.65</v>
      </c>
      <c r="G824" s="11">
        <v>31198.0</v>
      </c>
      <c r="H824" s="34" t="str">
        <f>IFERROR(__xludf.DUMMYFUNCTION("LOWER(REGEXREPLACE(B824&amp;"" ""&amp;C824,""[^а-яa-z0-9 ]"","" ""))"),"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цвет"&amp;"а и длины с наконечниками   абаритные размеры  длиной 200мм   2 шт  400мм   2 шт  600мм   2 шт  800мм   2 шт  1000мм   2 шт  переходники 10 шт")</f>
        <v>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цвета и длины с наконечниками   абаритные размеры  длиной 200мм   2 шт  400мм   2 шт  600мм   2 шт  800мм   2 шт  1000мм   2 шт  переходники 10 шт</v>
      </c>
    </row>
    <row r="825">
      <c r="A825" s="35" t="s">
        <v>1828</v>
      </c>
      <c r="B825" s="31" t="s">
        <v>1829</v>
      </c>
      <c r="C825" s="31"/>
      <c r="D825" s="37" t="s">
        <v>14</v>
      </c>
      <c r="E825" s="10"/>
      <c r="F825" s="36"/>
      <c r="G825" s="11"/>
      <c r="H825" s="34" t="str">
        <f>IFERROR(__xludf.DUMMYFUNCTION("LOWER(REGEXREPLACE(B825&amp;"" ""&amp;C825,""[^а-яa-z0-9 ]"","" ""))")," атчик света ")</f>
        <v> атчик света </v>
      </c>
    </row>
    <row r="826">
      <c r="A826" s="35" t="s">
        <v>1830</v>
      </c>
      <c r="B826" s="9" t="s">
        <v>1831</v>
      </c>
      <c r="C826" s="31"/>
      <c r="D826" s="37" t="s">
        <v>14</v>
      </c>
      <c r="E826" s="38">
        <v>2.0</v>
      </c>
      <c r="F826" s="40">
        <v>0.06</v>
      </c>
      <c r="G826" s="11">
        <v>118407.0</v>
      </c>
      <c r="H826" s="34" t="str">
        <f>IFERROR(__xludf.DUMMYFUNCTION("LOWER(REGEXREPLACE(B826&amp;"" ""&amp;C826,""[^а-яa-z0-9 ]"","" ""))")," instein   атчик света  многодиапазнонный       009 4   иапазон  от 0 до 600 лк  от 0 до 6 000 лк  от 0 до 150 klx   очность   4   по всему диапазону  ")</f>
        <v> instein   атчик света  многодиапазнонный       009 4   иапазон  от 0 до 600 лк  от 0 до 6 000 лк  от 0 до 150 klx   очность   4   по всему диапазону  </v>
      </c>
    </row>
    <row r="827">
      <c r="A827" s="35" t="s">
        <v>1832</v>
      </c>
      <c r="B827" s="9" t="s">
        <v>1833</v>
      </c>
      <c r="C827" s="31"/>
      <c r="D827" s="37" t="s">
        <v>14</v>
      </c>
      <c r="E827" s="38">
        <v>2.0</v>
      </c>
      <c r="F827" s="42">
        <v>0.165</v>
      </c>
      <c r="G827" s="11">
        <v>128644.0</v>
      </c>
      <c r="H827" s="34" t="str">
        <f>IFERROR(__xludf.DUMMYFUNCTION("LOWER(REGEXREPLACE(B827&amp;"" ""&amp;C827,""[^а-яa-z0-9 ]"","" ""))")," атчик для измерения освещенности беспроводной типа  hywe  obra      sense  ight 12906 01   иапазон  0 128 к к   азрешение  1  к   астота измерений  10  ц ")</f>
        <v> атчик для измерения освещенности беспроводной типа  hywe  obra      sense  ight 12906 01   иапазон  0 128 к к   азрешение  1  к   астота измерений  10  ц </v>
      </c>
    </row>
    <row r="828">
      <c r="A828" s="35" t="s">
        <v>1834</v>
      </c>
      <c r="B828" s="31" t="s">
        <v>1835</v>
      </c>
      <c r="C828" s="31"/>
      <c r="D828" s="37" t="s">
        <v>14</v>
      </c>
      <c r="E828" s="38">
        <v>2.0</v>
      </c>
      <c r="F828" s="39">
        <v>0.1</v>
      </c>
      <c r="G828" s="11">
        <v>25495.0</v>
      </c>
      <c r="H828" s="34" t="str">
        <f>IFERROR(__xludf.DUMMYFUNCTION("LOWER(REGEXREPLACE(B828&amp;"" ""&amp;C828,""[^а-яa-z0-9 ]"","" ""))")," атчик света типа  ense disc  0019   иапазон  0 55000 люкс   очность     5    азрешение  15 люкс ")</f>
        <v> атчик света типа  ense disc  0019   иапазон  0 55000 люкс   очность     5    азрешение  15 люкс </v>
      </c>
    </row>
    <row r="829">
      <c r="A829" s="35" t="s">
        <v>1836</v>
      </c>
      <c r="B829" s="31" t="s">
        <v>1837</v>
      </c>
      <c r="C829" s="31"/>
      <c r="D829" s="37" t="s">
        <v>14</v>
      </c>
      <c r="E829" s="38">
        <v>2.0</v>
      </c>
      <c r="F829" s="39">
        <v>0.3</v>
      </c>
      <c r="G829" s="11">
        <v>47212.0</v>
      </c>
      <c r="H829" s="34" t="str">
        <f>IFERROR(__xludf.DUMMYFUNCTION("LOWER(REGEXREPLACE(B829&amp;"" ""&amp;C829,""[^а-яa-z0-9 ]"","" ""))")," атчик фотометрический   иапазон измерения  от 0 до 600 лк  от 0 до 6000лк  от 0 до 150 клк   очность     4  по всему диапазону ")</f>
        <v> атчик фотометрический   иапазон измерения  от 0 до 600 лк  от 0 до 6000лк  от 0 до 150 клк   очность     4  по всему диапазону </v>
      </c>
    </row>
    <row r="830">
      <c r="A830" s="35" t="s">
        <v>1838</v>
      </c>
      <c r="B830" s="31" t="s">
        <v>1839</v>
      </c>
      <c r="C830" s="31"/>
      <c r="D830" s="37" t="s">
        <v>14</v>
      </c>
      <c r="E830" s="10"/>
      <c r="F830" s="36"/>
      <c r="G830" s="11"/>
      <c r="H830" s="34" t="str">
        <f>IFERROR(__xludf.DUMMYFUNCTION("LOWER(REGEXREPLACE(B830&amp;"" ""&amp;C830,""[^а-яa-z0-9 ]"","" ""))")," атчик измерения магнитного поля ")</f>
        <v> атчик измерения магнитного поля </v>
      </c>
    </row>
    <row r="831">
      <c r="A831" s="35" t="s">
        <v>1840</v>
      </c>
      <c r="B831" s="31" t="s">
        <v>1841</v>
      </c>
      <c r="C831" s="31"/>
      <c r="D831" s="37" t="s">
        <v>14</v>
      </c>
      <c r="E831" s="10"/>
      <c r="F831" s="36"/>
      <c r="G831" s="11">
        <v>74767.0</v>
      </c>
      <c r="H831" s="34" t="str">
        <f>IFERROR(__xludf.DUMMYFUNCTION("LOWER(REGEXREPLACE(B831&amp;"" ""&amp;C831,""[^а-яa-z0-9 ]"","" ""))")," атчик измерения магнитного поля 3 осевой беспроводной  o  irect     3     иапазон измерений    5 м л   абочая температура  от  40     до 85      ")</f>
        <v> атчик измерения магнитного поля 3 осевой беспроводной  o  irect     3     иапазон измерений    5 м л   абочая температура  от  40     до 85      </v>
      </c>
    </row>
    <row r="832">
      <c r="A832" s="35" t="s">
        <v>1842</v>
      </c>
      <c r="B832" s="31" t="s">
        <v>1843</v>
      </c>
      <c r="C832" s="31"/>
      <c r="D832" s="37" t="s">
        <v>14</v>
      </c>
      <c r="E832" s="10"/>
      <c r="F832" s="42">
        <v>0.085</v>
      </c>
      <c r="G832" s="11">
        <v>139650.0</v>
      </c>
      <c r="H832" s="34" t="str">
        <f>IFERROR(__xludf.DUMMYFUNCTION("LOWER(REGEXREPLACE(B832&amp;"" ""&amp;C832,""[^а-яa-z0-9 ]"","" ""))"),"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англ"&amp;"  языке  ")</f>
        <v>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  языке  </v>
      </c>
    </row>
    <row r="833">
      <c r="A833" s="35" t="s">
        <v>1844</v>
      </c>
      <c r="B833" s="31" t="s">
        <v>1845</v>
      </c>
      <c r="C833" s="31"/>
      <c r="D833" s="37" t="s">
        <v>14</v>
      </c>
      <c r="E833" s="38">
        <v>2.0</v>
      </c>
      <c r="F833" s="40">
        <v>0.06</v>
      </c>
      <c r="G833" s="11">
        <v>112888.0</v>
      </c>
      <c r="H833" s="34" t="str">
        <f>IFERROR(__xludf.DUMMYFUNCTION("LOWER(REGEXREPLACE(B833&amp;"" ""&amp;C833,""[^а-яa-z0-9 ]"","" ""))")," instein   атчик магнитного поля  3   оси          иапазон   ве оси   20 м л   ри оси   0 4 м л   огрешность   6   по всему ")</f>
        <v> instein   атчик магнитного поля  3   оси          иапазон   ве оси   20 м л   ри оси   0 4 м л   огрешность   6   по всему </v>
      </c>
    </row>
    <row r="834">
      <c r="A834" s="35" t="s">
        <v>1846</v>
      </c>
      <c r="B834" s="9" t="s">
        <v>1847</v>
      </c>
      <c r="C834" s="31"/>
      <c r="D834" s="37" t="s">
        <v>14</v>
      </c>
      <c r="E834" s="38">
        <v>2.0</v>
      </c>
      <c r="F834" s="39">
        <v>0.1</v>
      </c>
      <c r="G834" s="11">
        <v>69182.0</v>
      </c>
      <c r="H834" s="34" t="str">
        <f>IFERROR(__xludf.DUMMYFUNCTION("LOWER(REGEXREPLACE(B834&amp;"" ""&amp;C834,""[^а-яa-z0-9 ]"","" ""))")," нешний датчик  магнитного поля  lobisense  2 диапазона     10m      0 2m    войной диапазон    10 м л     0 2 м л   очность    5   ")</f>
        <v> нешний датчик  магнитного поля  lobisense  2 диапазона     10m      0 2m    войной диапазон    10 м л     0 2 м л   очность    5   </v>
      </c>
    </row>
    <row r="835">
      <c r="A835" s="35" t="s">
        <v>1848</v>
      </c>
      <c r="B835" s="9" t="s">
        <v>1849</v>
      </c>
      <c r="C835" s="31"/>
      <c r="D835" s="37" t="s">
        <v>14</v>
      </c>
      <c r="E835" s="38">
        <v>2.0</v>
      </c>
      <c r="F835" s="40">
        <v>0.13</v>
      </c>
      <c r="G835" s="11">
        <v>119706.0</v>
      </c>
      <c r="H835" s="34" t="str">
        <f>IFERROR(__xludf.DUMMYFUNCTION("LOWER(REGEXREPLACE(B835&amp;"" ""&amp;C835,""[^а-яa-z0-9 ]"","" ""))")," атчик магнитного поля беспроводной типа  hywe obra      sense   3  xis  agnetic field 12947 00   иапазон  130 м   5 м    азрешение  0 1 м   0 001 м    астота измерений  1000  ц ")</f>
        <v> атчик магнитного поля беспроводной типа  hywe obra      sense   3  xis  agnetic field 12947 00   иапазон  130 м   5 м    азрешение  0 1 м   0 001 м    астота измерений  1000  ц </v>
      </c>
    </row>
    <row r="836">
      <c r="A836" s="35" t="s">
        <v>1850</v>
      </c>
      <c r="B836" s="31" t="s">
        <v>1851</v>
      </c>
      <c r="C836" s="31"/>
      <c r="D836" s="37" t="s">
        <v>14</v>
      </c>
      <c r="E836" s="38">
        <v>2.0</v>
      </c>
      <c r="F836" s="40">
        <v>0.17</v>
      </c>
      <c r="G836" s="11">
        <v>102160.0</v>
      </c>
      <c r="H836" s="34" t="str">
        <f>IFERROR(__xludf.DUMMYFUNCTION("LOWER(REGEXREPLACE(B836&amp;"" ""&amp;C836,""[^а-яa-z0-9 ]"","" ""))")," еспроводной датчик магнитного поля беспроводной типа  cience ube    108    ireless 3 axis  agnetic  ield   иапазон     5 м л ")</f>
        <v> еспроводной датчик магнитного поля беспроводной типа  cience ube    108    ireless 3 axis  agnetic  ield   иапазон     5 м л </v>
      </c>
    </row>
    <row r="837">
      <c r="A837" s="35" t="s">
        <v>1852</v>
      </c>
      <c r="B837" s="9" t="s">
        <v>1853</v>
      </c>
      <c r="C837" s="31"/>
      <c r="D837" s="37" t="s">
        <v>14</v>
      </c>
      <c r="E837" s="38">
        <v>2.0</v>
      </c>
      <c r="F837" s="40">
        <v>0.18</v>
      </c>
      <c r="G837" s="11">
        <v>25495.0</v>
      </c>
      <c r="H837" s="34" t="str">
        <f>IFERROR(__xludf.DUMMYFUNCTION("LOWER(REGEXREPLACE(B837&amp;"" ""&amp;C837,""[^а-яa-z0-9 ]"","" ""))")," атчик магнитного поля типа  ense disc  0020   иапазон   64 64 м л   очность     3    азрешение  0 04 м л ")</f>
        <v> атчик магнитного поля типа  ense disc  0020   иапазон   64 64 м л   очность     3    азрешение  0 04 м л </v>
      </c>
    </row>
    <row r="838">
      <c r="A838" s="35" t="s">
        <v>1854</v>
      </c>
      <c r="B838" s="31" t="s">
        <v>1855</v>
      </c>
      <c r="C838" s="31"/>
      <c r="D838" s="37" t="s">
        <v>14</v>
      </c>
      <c r="E838" s="38">
        <v>2.0</v>
      </c>
      <c r="F838" s="40">
        <v>0.17</v>
      </c>
      <c r="G838" s="11">
        <v>58274.0</v>
      </c>
      <c r="H838" s="34" t="str">
        <f>IFERROR(__xludf.DUMMYFUNCTION("LOWER(REGEXREPLACE(B838&amp;"" ""&amp;C838,""[^а-яa-z0-9 ]"","" ""))")," атчик гравитационно магнитный типа  ense disc  0022   иапазон  0 40000 с мин ")</f>
        <v> атчик гравитационно магнитный типа  ense disc  0022   иапазон  0 40000 с мин </v>
      </c>
    </row>
    <row r="839">
      <c r="A839" s="35" t="s">
        <v>1856</v>
      </c>
      <c r="B839" s="31" t="s">
        <v>1857</v>
      </c>
      <c r="C839" s="31"/>
      <c r="D839" s="37" t="s">
        <v>14</v>
      </c>
      <c r="E839" s="38">
        <v>2.0</v>
      </c>
      <c r="F839" s="39">
        <v>0.1</v>
      </c>
      <c r="G839" s="11">
        <v>62447.0</v>
      </c>
      <c r="H839" s="34" t="str">
        <f>IFERROR(__xludf.DUMMYFUNCTION("LOWER(REGEXREPLACE(B839&amp;"" ""&amp;C839,""[^а-яa-z0-9 ]"","" ""))")," атчик магнитного поля типа  icro ab  lab magnet   иапазон измерения магнитометра от  4800   до  4800   ")</f>
        <v> атчик магнитного поля типа  icro ab  lab magnet   иапазон измерения магнитометра от  4800   до  4800   </v>
      </c>
    </row>
    <row r="840">
      <c r="A840" s="35" t="s">
        <v>1858</v>
      </c>
      <c r="B840" s="31" t="s">
        <v>1859</v>
      </c>
      <c r="C840" s="31"/>
      <c r="D840" s="37" t="s">
        <v>14</v>
      </c>
      <c r="E840" s="10"/>
      <c r="F840" s="36"/>
      <c r="G840" s="11"/>
      <c r="H840" s="34" t="str">
        <f>IFERROR(__xludf.DUMMYFUNCTION("LOWER(REGEXREPLACE(B840&amp;"" ""&amp;C840,""[^а-яa-z0-9 ]"","" ""))")," атчик движения ")</f>
        <v> атчик движения </v>
      </c>
    </row>
    <row r="841">
      <c r="A841" s="35" t="s">
        <v>1860</v>
      </c>
      <c r="B841" s="9" t="s">
        <v>1861</v>
      </c>
      <c r="C841" s="31"/>
      <c r="D841" s="37" t="s">
        <v>14</v>
      </c>
      <c r="E841" s="10"/>
      <c r="F841" s="36"/>
      <c r="G841" s="11">
        <v>113643.0</v>
      </c>
      <c r="H841" s="34" t="str">
        <f>IFERROR(__xludf.DUMMYFUNCTION("LOWER(REGEXREPLACE(B841&amp;"" ""&amp;C841,""[^а-яa-z0-9 ]"","" ""))")," атчик движения беспроводной  o  irect          иапазон  от 15 см до 3 5 м   очность  1 мм   аксимальная частота дискретизации  30 запросов с ")</f>
        <v> атчик движения беспроводной  o  irect          иапазон  от 15 см до 3 5 м   очность  1 мм   аксимальная частота дискретизации  30 запросов с </v>
      </c>
    </row>
    <row r="842">
      <c r="A842" s="35" t="s">
        <v>1862</v>
      </c>
      <c r="B842" s="9" t="s">
        <v>1863</v>
      </c>
      <c r="C842" s="31"/>
      <c r="D842" s="37" t="s">
        <v>14</v>
      </c>
      <c r="E842" s="10"/>
      <c r="F842" s="40">
        <v>0.22</v>
      </c>
      <c r="G842" s="11">
        <v>213379.0</v>
      </c>
      <c r="H842" s="34" t="str">
        <f>IFERROR(__xludf.DUMMYFUNCTION("LOWER(REGEXREPLACE(B842&amp;"" ""&amp;C842,""[^а-яa-z0-9 ]"","" ""))"),"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т"&amp;"рех языках  каз   рус   англ  языке  ")</f>
        <v>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трех языках  каз   рус   англ  языке  </v>
      </c>
    </row>
    <row r="843">
      <c r="A843" s="35" t="s">
        <v>1864</v>
      </c>
      <c r="B843" s="31" t="s">
        <v>1865</v>
      </c>
      <c r="C843" s="31"/>
      <c r="D843" s="37" t="s">
        <v>14</v>
      </c>
      <c r="E843" s="38">
        <v>2.0</v>
      </c>
      <c r="F843" s="40">
        <v>0.06</v>
      </c>
      <c r="G843" s="11">
        <v>168336.0</v>
      </c>
      <c r="H843" s="34" t="str">
        <f>IFERROR(__xludf.DUMMYFUNCTION("LOWER(REGEXREPLACE(B843&amp;"" ""&amp;C843,""[^а-яa-z0-9 ]"","" ""))")," instein   атчик расстояния      020   иапазон  от 0 2 до 10 м   очность  3 мм на 2 м  8 мм на 10 м   азрешение  12 бит   2 5 мм ")</f>
        <v> instein   атчик расстояния      020   иапазон  от 0 2 до 10 м   очность  3 мм на 2 м  8 мм на 10 м   азрешение  12 бит   2 5 мм </v>
      </c>
    </row>
    <row r="844">
      <c r="A844" s="35" t="s">
        <v>1866</v>
      </c>
      <c r="B844" s="9" t="s">
        <v>1867</v>
      </c>
      <c r="C844" s="31"/>
      <c r="D844" s="37" t="s">
        <v>14</v>
      </c>
      <c r="E844" s="38">
        <v>2.0</v>
      </c>
      <c r="F844" s="40">
        <v>0.14</v>
      </c>
      <c r="G844" s="11">
        <v>186355.0</v>
      </c>
      <c r="H844" s="34" t="str">
        <f>IFERROR(__xludf.DUMMYFUNCTION("LOWER(REGEXREPLACE(B844&amp;"" ""&amp;C844,""[^а-яa-z0-9 ]"","" ""))")," атчик движения беспроводной типа  hywe  obra      sense  otion 12908 01   иапазон  0 2 2 м   азрешение  1 мм   астота измерений  20  ц ")</f>
        <v> атчик движения беспроводной типа  hywe  obra      sense  otion 12908 01   иапазон  0 2 2 м   азрешение  1 мм   астота измерений  20  ц </v>
      </c>
    </row>
    <row r="845">
      <c r="A845" s="35" t="s">
        <v>1868</v>
      </c>
      <c r="B845" s="31" t="s">
        <v>1869</v>
      </c>
      <c r="C845" s="31"/>
      <c r="D845" s="37" t="s">
        <v>14</v>
      </c>
      <c r="E845" s="38">
        <v>2.0</v>
      </c>
      <c r="F845" s="40">
        <v>0.13</v>
      </c>
      <c r="G845" s="11">
        <v>118409.0</v>
      </c>
      <c r="H845" s="34" t="str">
        <f>IFERROR(__xludf.DUMMYFUNCTION("LOWER(REGEXREPLACE(B845&amp;"" ""&amp;C845,""[^а-яa-z0-9 ]"","" ""))")," атчик движения беспроводной типа  cience ube    106     иапазон  0 15 6 м   азрешение  1 мм ")</f>
        <v> атчик движения беспроводной типа  cience ube    106     иапазон  0 15 6 м   азрешение  1 мм </v>
      </c>
    </row>
    <row r="846">
      <c r="A846" s="35" t="s">
        <v>1870</v>
      </c>
      <c r="B846" s="31" t="s">
        <v>1871</v>
      </c>
      <c r="C846" s="31"/>
      <c r="D846" s="37" t="s">
        <v>14</v>
      </c>
      <c r="E846" s="38">
        <v>2.0</v>
      </c>
      <c r="F846" s="39">
        <v>0.1</v>
      </c>
      <c r="G846" s="11">
        <v>25495.0</v>
      </c>
      <c r="H846" s="34" t="str">
        <f>IFERROR(__xludf.DUMMYFUNCTION("LOWER(REGEXREPLACE(B846&amp;"" ""&amp;C846,""[^а-яa-z0-9 ]"","" ""))")," атчик движения   ense disc  0015   иапазон  20 600 см   очность     2    азрешение  0 1 см ")</f>
        <v> атчик движения   ense disc  0015   иапазон  20 600 см   очность     2    азрешение  0 1 см </v>
      </c>
    </row>
    <row r="847">
      <c r="A847" s="35" t="s">
        <v>1872</v>
      </c>
      <c r="B847" s="31" t="s">
        <v>1873</v>
      </c>
      <c r="C847" s="31"/>
      <c r="D847" s="37" t="s">
        <v>14</v>
      </c>
      <c r="E847" s="38">
        <v>2.0</v>
      </c>
      <c r="F847" s="39">
        <v>0.1</v>
      </c>
      <c r="G847" s="11">
        <v>98068.0</v>
      </c>
      <c r="H847" s="34" t="str">
        <f>IFERROR(__xludf.DUMMYFUNCTION("LOWER(REGEXREPLACE(B847&amp;"" ""&amp;C847,""[^а-яa-z0-9 ]"","" ""))")," атчик движения типа  icro ab  lab motion   иапазон измерения от 10 мм до 25 см   аксимальная частота дискретизации  30 запросов с   очность 1мм ")</f>
        <v> атчик движения типа  icro ab  lab motion   иапазон измерения от 10 мм до 25 см   аксимальная частота дискретизации  30 запросов с   очность 1мм </v>
      </c>
    </row>
    <row r="848">
      <c r="A848" s="35" t="s">
        <v>1874</v>
      </c>
      <c r="B848" s="9" t="s">
        <v>1875</v>
      </c>
      <c r="C848" s="31"/>
      <c r="D848" s="37" t="s">
        <v>14</v>
      </c>
      <c r="E848" s="38">
        <v>2.0</v>
      </c>
      <c r="F848" s="39">
        <v>0.3</v>
      </c>
      <c r="G848" s="11">
        <v>62948.0</v>
      </c>
      <c r="H848" s="34" t="str">
        <f>IFERROR(__xludf.DUMMYFUNCTION("LOWER(REGEXREPLACE(B848&amp;"" ""&amp;C848,""[^а-яa-z0-9 ]"","" ""))")," атчик движения   иапазон измерения  0 16   6м   аксимальный диапазон  10м   азрешение     1 5мм ")</f>
        <v> атчик движения   иапазон измерения  0 16   6м   аксимальный диапазон  10м   азрешение     1 5мм </v>
      </c>
    </row>
    <row r="849">
      <c r="A849" s="35" t="s">
        <v>1876</v>
      </c>
      <c r="B849" s="31" t="s">
        <v>1877</v>
      </c>
      <c r="C849" s="31"/>
      <c r="D849" s="37" t="s">
        <v>14</v>
      </c>
      <c r="E849" s="10"/>
      <c r="F849" s="36"/>
      <c r="G849" s="11"/>
      <c r="H849" s="34" t="str">
        <f>IFERROR(__xludf.DUMMYFUNCTION("LOWER(REGEXREPLACE(B849&amp;"" ""&amp;C849,""[^а-яa-z0-9 ]"","" ""))")," атчик вращения ")</f>
        <v> атчик вращения </v>
      </c>
    </row>
    <row r="850">
      <c r="A850" s="35" t="s">
        <v>1878</v>
      </c>
      <c r="B850" s="9" t="s">
        <v>1879</v>
      </c>
      <c r="C850" s="31"/>
      <c r="D850" s="37" t="s">
        <v>14</v>
      </c>
      <c r="E850" s="10"/>
      <c r="F850" s="40">
        <v>0.17</v>
      </c>
      <c r="G850" s="11">
        <v>329408.0</v>
      </c>
      <c r="H850" s="34" t="str">
        <f>IFERROR(__xludf.DUMMYFUNCTION("LOWER(REGEXREPLACE(B850&amp;"" ""&amp;C850,""[^а-яa-z0-9 ]"","" ""))"),"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1"&amp;"x набор дисков углового момента  1x линейная стойка     сбора и обработки данных  asysense2 на трех языках  каз   рус   англ  языке  ")</f>
        <v>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1x набор дисков углового момента  1x линейная стойка     сбора и обработки данных  asysense2 на трех языках  каз   рус   англ  языке  </v>
      </c>
    </row>
    <row r="851">
      <c r="A851" s="35" t="s">
        <v>1880</v>
      </c>
      <c r="B851" s="9" t="s">
        <v>1881</v>
      </c>
      <c r="C851" s="31"/>
      <c r="D851" s="37" t="s">
        <v>14</v>
      </c>
      <c r="E851" s="38">
        <v>2.0</v>
      </c>
      <c r="F851" s="40">
        <v>0.06</v>
      </c>
      <c r="G851" s="11">
        <v>372682.0</v>
      </c>
      <c r="H851" s="34" t="str">
        <f>IFERROR(__xludf.DUMMYFUNCTION("LOWER(REGEXREPLACE(B851&amp;"" ""&amp;C851,""[^а-яa-z0-9 ]"","" ""))")," instein  датчик вращательного движения    otary  otion без  endulum         148   иапазон     360    очность     0 125    азрешение  12 бит   0 062  ")</f>
        <v> instein  датчик вращательного движения    otary  otion без  endulum         148   иапазон     360    очность     0 125    азрешение  12 бит   0 062  </v>
      </c>
    </row>
    <row r="852">
      <c r="A852" s="35" t="s">
        <v>1882</v>
      </c>
      <c r="B852" s="31" t="s">
        <v>1883</v>
      </c>
      <c r="C852" s="31"/>
      <c r="D852" s="37" t="s">
        <v>14</v>
      </c>
      <c r="E852" s="10"/>
      <c r="F852" s="36"/>
      <c r="G852" s="11"/>
      <c r="H852" s="34" t="str">
        <f>IFERROR(__xludf.DUMMYFUNCTION("LOWER(REGEXREPLACE(B852&amp;"" ""&amp;C852,""[^а-яa-z0-9 ]"","" ""))")," атчик фотозатвор ")</f>
        <v> атчик фотозатвор </v>
      </c>
    </row>
    <row r="853">
      <c r="A853" s="35" t="s">
        <v>1884</v>
      </c>
      <c r="B853" s="31" t="s">
        <v>1885</v>
      </c>
      <c r="C853" s="31"/>
      <c r="D853" s="37" t="s">
        <v>14</v>
      </c>
      <c r="E853" s="10"/>
      <c r="F853" s="36"/>
      <c r="G853" s="11">
        <v>94704.0</v>
      </c>
      <c r="H853" s="34" t="str">
        <f>IFERROR(__xludf.DUMMYFUNCTION("LOWER(REGEXREPLACE(B853&amp;"" ""&amp;C853,""[^а-яa-z0-9 ]"","" ""))")," атчик фотозатвор беспроводной  o  irect           нфракрасный источник  ик при 880 нм   ирина ворот 77 5 мм   азделение внутренних ворот 20 мм ")</f>
        <v> атчик фотозатвор беспроводной  o  irect           нфракрасный источник  ик при 880 нм   ирина ворот 77 5 мм   азделение внутренних ворот 20 мм </v>
      </c>
    </row>
    <row r="854">
      <c r="A854" s="35" t="s">
        <v>1886</v>
      </c>
      <c r="B854" s="9" t="s">
        <v>1887</v>
      </c>
      <c r="C854" s="31"/>
      <c r="D854" s="37" t="s">
        <v>14</v>
      </c>
      <c r="E854" s="10"/>
      <c r="F854" s="42">
        <v>0.144</v>
      </c>
      <c r="G854" s="11">
        <v>149626.0</v>
      </c>
      <c r="H854" s="34" t="str">
        <f>IFERROR(__xludf.DUMMYFUNCTION("LOWER(REGEXREPLACE(B854&amp;"" ""&amp;C854,""[^а-яa-z0-9 ]"","" ""))"),"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asy"&amp;"sense2 на трех языках  каз   рус   англ  языке  ")</f>
        <v>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asysense2 на трех языках  каз   рус   англ  языке  </v>
      </c>
    </row>
    <row r="855">
      <c r="A855" s="35" t="s">
        <v>1888</v>
      </c>
      <c r="B855" s="9" t="s">
        <v>1889</v>
      </c>
      <c r="C855" s="31"/>
      <c r="D855" s="37" t="s">
        <v>14</v>
      </c>
      <c r="E855" s="38">
        <v>2.0</v>
      </c>
      <c r="F855" s="40">
        <v>0.06</v>
      </c>
      <c r="G855" s="11">
        <v>117231.0</v>
      </c>
      <c r="H855" s="34" t="str">
        <f>IFERROR(__xludf.DUMMYFUNCTION("LOWER(REGEXREPLACE(B855&amp;"" ""&amp;C855,""[^а-яa-z0-9 ]"","" ""))")," instein   мный шкиф  фотозатвор        122   иапазон  от 0 до 99 м с   очность  0 05 м с   азрешение  12 бит   0 024 м с ")</f>
        <v> instein   мный шкиф  фотозатвор        122   иапазон  от 0 до 99 м с   очность  0 05 м с   азрешение  12 бит   0 024 м с </v>
      </c>
    </row>
    <row r="856">
      <c r="A856" s="35" t="s">
        <v>1890</v>
      </c>
      <c r="B856" s="9" t="s">
        <v>1891</v>
      </c>
      <c r="C856" s="31"/>
      <c r="D856" s="37" t="s">
        <v>14</v>
      </c>
      <c r="E856" s="38">
        <v>2.0</v>
      </c>
      <c r="F856" s="39">
        <v>0.1</v>
      </c>
      <c r="G856" s="11">
        <v>60873.0</v>
      </c>
      <c r="H856" s="34" t="str">
        <f>IFERROR(__xludf.DUMMYFUNCTION("LOWER(REGEXREPLACE(B856&amp;"" ""&amp;C856,""[^а-яa-z0-9 ]"","" ""))")," нешний датчик фотозатвора  lobisense   ремя подъема спада  1 мс   ирина ворот  76 6 мм   сточник света  инфракрасный   ндикатор  зеленый светодиод ")</f>
        <v> нешний датчик фотозатвора  lobisense   ремя подъема спада  1 мс   ирина ворот  76 6 мм   сточник света  инфракрасный   ндикатор  зеленый светодиод </v>
      </c>
    </row>
    <row r="857">
      <c r="A857" s="35" t="s">
        <v>1892</v>
      </c>
      <c r="B857" s="9" t="s">
        <v>1893</v>
      </c>
      <c r="C857" s="31"/>
      <c r="D857" s="37" t="s">
        <v>14</v>
      </c>
      <c r="E857" s="38">
        <v>2.0</v>
      </c>
      <c r="F857" s="42">
        <v>0.145</v>
      </c>
      <c r="G857" s="11">
        <v>124506.0</v>
      </c>
      <c r="H857" s="34" t="str">
        <f>IFERROR(__xludf.DUMMYFUNCTION("LOWER(REGEXREPLACE(B857&amp;"" ""&amp;C857,""[^а-яa-z0-9 ]"","" ""))")," атчик фотозатвор беспроводной типа  hywe  obra      sense  hotogate 12909 00   азрешение  0 01 мс   астота измерений  1000  ц ")</f>
        <v> атчик фотозатвор беспроводной типа  hywe  obra      sense  hotogate 12909 00   азрешение  0 01 мс   астота измерений  1000  ц </v>
      </c>
    </row>
    <row r="858">
      <c r="A858" s="35" t="s">
        <v>1894</v>
      </c>
      <c r="B858" s="9" t="s">
        <v>1895</v>
      </c>
      <c r="C858" s="31"/>
      <c r="D858" s="37" t="s">
        <v>14</v>
      </c>
      <c r="E858" s="38">
        <v>2.0</v>
      </c>
      <c r="F858" s="40">
        <v>0.21</v>
      </c>
      <c r="G858" s="11">
        <v>103275.0</v>
      </c>
      <c r="H858" s="34" t="str">
        <f>IFERROR(__xludf.DUMMYFUNCTION("LOWER(REGEXREPLACE(B858&amp;"" ""&amp;C858,""[^а-яa-z0-9 ]"","" ""))")," атчик фотозатвор беспроводной типа  cience ube    120     иапозон      5 м  ")</f>
        <v> атчик фотозатвор беспроводной типа  cience ube    120     иапозон      5 м  </v>
      </c>
    </row>
    <row r="859">
      <c r="A859" s="35" t="s">
        <v>1896</v>
      </c>
      <c r="B859" s="9" t="s">
        <v>1897</v>
      </c>
      <c r="C859" s="31"/>
      <c r="D859" s="37" t="s">
        <v>14</v>
      </c>
      <c r="E859" s="38">
        <v>2.0</v>
      </c>
      <c r="F859" s="40">
        <v>0.13</v>
      </c>
      <c r="G859" s="11">
        <v>21853.0</v>
      </c>
      <c r="H859" s="34" t="str">
        <f>IFERROR(__xludf.DUMMYFUNCTION("LOWER(REGEXREPLACE(B859&amp;"" ""&amp;C859,""[^а-яa-z0-9 ]"","" ""))")," атчик фотозатвора  типа  ense disc  0016   очность     1 мкс   азрешение  1 мкс ")</f>
        <v> атчик фотозатвора  типа  ense disc  0016   очность     1 мкс   азрешение  1 мкс </v>
      </c>
    </row>
    <row r="860">
      <c r="A860" s="35" t="s">
        <v>1898</v>
      </c>
      <c r="B860" s="9" t="s">
        <v>1899</v>
      </c>
      <c r="C860" s="31"/>
      <c r="D860" s="37" t="s">
        <v>14</v>
      </c>
      <c r="E860" s="38">
        <v>2.0</v>
      </c>
      <c r="F860" s="39">
        <v>0.1</v>
      </c>
      <c r="G860" s="11">
        <v>82672.0</v>
      </c>
      <c r="H860" s="34" t="str">
        <f>IFERROR(__xludf.DUMMYFUNCTION("LOWER(REGEXREPLACE(B860&amp;"" ""&amp;C860,""[^а-яa-z0-9 ]"","" ""))"),"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f>
        <v>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v>
      </c>
    </row>
    <row r="861">
      <c r="A861" s="35" t="s">
        <v>1900</v>
      </c>
      <c r="B861" s="9" t="s">
        <v>1901</v>
      </c>
      <c r="C861" s="31"/>
      <c r="D861" s="37" t="s">
        <v>14</v>
      </c>
      <c r="E861" s="38">
        <v>2.0</v>
      </c>
      <c r="F861" s="39">
        <v>0.3</v>
      </c>
      <c r="G861" s="11">
        <v>52457.0</v>
      </c>
      <c r="H861" s="34" t="str">
        <f>IFERROR(__xludf.DUMMYFUNCTION("LOWER(REGEXREPLACE(B861&amp;"" ""&amp;C861,""[^а-яa-z0-9 ]"","" ""))"),"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f>
        <v>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v>
      </c>
    </row>
    <row r="862">
      <c r="A862" s="35" t="s">
        <v>1902</v>
      </c>
      <c r="B862" s="31" t="s">
        <v>1903</v>
      </c>
      <c r="C862" s="31"/>
      <c r="D862" s="37" t="s">
        <v>68</v>
      </c>
      <c r="E862" s="10"/>
      <c r="F862" s="36"/>
      <c r="G862" s="11"/>
      <c r="H862" s="34" t="str">
        <f>IFERROR(__xludf.DUMMYFUNCTION("LOWER(REGEXREPLACE(B862&amp;"" ""&amp;C862,""[^а-яa-z0-9 ]"","" ""))")," инамическая система ")</f>
        <v> инамическая система </v>
      </c>
    </row>
    <row r="863">
      <c r="A863" s="35" t="s">
        <v>1904</v>
      </c>
      <c r="B863" s="31" t="s">
        <v>1905</v>
      </c>
      <c r="C863" s="31" t="s">
        <v>1906</v>
      </c>
      <c r="D863" s="37" t="s">
        <v>68</v>
      </c>
      <c r="E863" s="38">
        <v>2.0</v>
      </c>
      <c r="F863" s="40">
        <v>0.13</v>
      </c>
      <c r="G863" s="11">
        <v>813182.0</v>
      </c>
      <c r="H863" s="34" t="str">
        <f>IFERROR(__xludf.DUMMYFUNCTION("LOWER(REGEXREPLACE(B863&amp;"" ""&amp;C863,""[^а-яa-z0-9 ]"","" ""))"),"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mart"&amp;"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обеспе"&amp;"чение сбора и обработки данных  asysense2 на трех языках  каз   рус   англ  языке   етодические пособия ")</f>
        <v>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обеспечение сбора и обработки данных  asysense2 на трех языках  каз   рус   англ  языке   етодические пособия </v>
      </c>
    </row>
    <row r="864">
      <c r="A864" s="35" t="s">
        <v>1907</v>
      </c>
      <c r="B864" s="31" t="s">
        <v>1908</v>
      </c>
      <c r="C864" s="31" t="s">
        <v>1909</v>
      </c>
      <c r="D864" s="37" t="s">
        <v>68</v>
      </c>
      <c r="E864" s="38">
        <v>2.0</v>
      </c>
      <c r="F864" s="40">
        <v>2.75</v>
      </c>
      <c r="G864" s="11">
        <v>1090934.0</v>
      </c>
      <c r="H864" s="34" t="str">
        <f>IFERROR(__xludf.DUMMYFUNCTION("LOWER(REGEXREPLACE(B864&amp;"" ""&amp;C864,""[^а-яa-z0-9 ]"","" ""))"),"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скор"&amp;"ости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дорожка"&amp;"  длина 1 2 м  ележка 2шт  с низким коэффициентом трения для точных измерений  еобходимые принадлежности для проведения 8 экспериментов")</f>
        <v>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еобходимые принадлежности для проведения 8 экспериментов</v>
      </c>
    </row>
    <row r="865">
      <c r="A865" s="35" t="s">
        <v>1910</v>
      </c>
      <c r="B865" s="31" t="s">
        <v>1911</v>
      </c>
      <c r="C865" s="31" t="s">
        <v>1912</v>
      </c>
      <c r="D865" s="37" t="s">
        <v>68</v>
      </c>
      <c r="E865" s="38">
        <v>2.0</v>
      </c>
      <c r="F865" s="39">
        <v>4.1</v>
      </c>
      <c r="G865" s="11">
        <v>260404.0</v>
      </c>
      <c r="H865" s="34" t="str">
        <f>IFERROR(__xludf.DUMMYFUNCTION("LOWER(REGEXREPLACE(B865&amp;"" ""&amp;C865,""[^а-яa-z0-9 ]"","" ""))"),"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вклю"&amp;"ченных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на"&amp;"бор  ини гаечный ключ   1 шт ")</f>
        <v>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набор  ини гаечный ключ   1 шт </v>
      </c>
    </row>
    <row r="866">
      <c r="A866" s="35" t="s">
        <v>1913</v>
      </c>
      <c r="B866" s="31" t="s">
        <v>1914</v>
      </c>
      <c r="C866" s="31" t="s">
        <v>1915</v>
      </c>
      <c r="D866" s="37" t="s">
        <v>68</v>
      </c>
      <c r="E866" s="38">
        <v>2.0</v>
      </c>
      <c r="F866" s="39">
        <v>9.2</v>
      </c>
      <c r="G866" s="11">
        <v>1528821.0</v>
      </c>
      <c r="H866" s="34" t="str">
        <f>IFERROR(__xludf.DUMMYFUNCTION("LOWER(REGEXREPLACE(B866&amp;"" ""&amp;C866,""[^а-яa-z0-9 ]"","" ""))"),"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ц"&amp;"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вы"&amp;"соте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f>
        <v>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v>
      </c>
    </row>
    <row r="867">
      <c r="A867" s="35" t="s">
        <v>1916</v>
      </c>
      <c r="B867" s="31" t="s">
        <v>1917</v>
      </c>
      <c r="C867" s="31"/>
      <c r="D867" s="37" t="s">
        <v>68</v>
      </c>
      <c r="E867" s="38">
        <v>2.0</v>
      </c>
      <c r="F867" s="39">
        <v>0.5</v>
      </c>
      <c r="G867" s="11">
        <v>153420.0</v>
      </c>
      <c r="H867" s="34" t="str">
        <f>IFERROR(__xludf.DUMMYFUNCTION("LOWER(REGEXREPLACE(B867&amp;"" ""&amp;C867,""[^а-яa-z0-9 ]"","" ""))")," инамическая система для работы с датчиками типа  icro ab  lab dynamickit   остоит из скамьи длиною 1 2 м и двух пластиковых тележек ")</f>
        <v> инамическая система для работы с датчиками типа  icro ab  lab dynamickit   остоит из скамьи длиною 1 2 м и двух пластиковых тележек </v>
      </c>
    </row>
    <row r="868">
      <c r="A868" s="35" t="s">
        <v>1918</v>
      </c>
      <c r="B868" s="31" t="s">
        <v>1919</v>
      </c>
      <c r="C868" s="31" t="s">
        <v>1920</v>
      </c>
      <c r="D868" s="37" t="s">
        <v>68</v>
      </c>
      <c r="E868" s="38">
        <v>2.0</v>
      </c>
      <c r="F868" s="39">
        <v>4.5</v>
      </c>
      <c r="G868" s="11">
        <v>413689.0</v>
      </c>
      <c r="H868" s="34" t="str">
        <f>IFERROR(__xludf.DUMMYFUNCTION("LOWER(REGEXREPLACE(B868&amp;"" ""&amp;C868,""[^а-яa-z0-9 ]"","" ""))"),"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концево"&amp;"й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f>
        <v>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v>
      </c>
    </row>
    <row r="869">
      <c r="A869" s="35" t="s">
        <v>1921</v>
      </c>
      <c r="B869" s="31" t="s">
        <v>1922</v>
      </c>
      <c r="C869" s="31"/>
      <c r="D869" s="37" t="s">
        <v>14</v>
      </c>
      <c r="E869" s="10"/>
      <c r="F869" s="36"/>
      <c r="G869" s="11"/>
      <c r="H869" s="34" t="str">
        <f>IFERROR(__xludf.DUMMYFUNCTION("LOWER(REGEXREPLACE(B869&amp;"" ""&amp;C869,""[^а-яa-z0-9 ]"","" ""))")," атчик звука ")</f>
        <v> атчик звука </v>
      </c>
    </row>
    <row r="870">
      <c r="A870" s="35" t="s">
        <v>1923</v>
      </c>
      <c r="B870" s="9" t="s">
        <v>1924</v>
      </c>
      <c r="C870" s="31"/>
      <c r="D870" s="37" t="s">
        <v>14</v>
      </c>
      <c r="E870" s="10"/>
      <c r="F870" s="42">
        <v>0.077</v>
      </c>
      <c r="G870" s="11">
        <v>156651.0</v>
      </c>
      <c r="H870" s="34" t="str">
        <f>IFERROR(__xludf.DUMMYFUNCTION("LOWER(REGEXREPLACE(B870&amp;"" ""&amp;C870,""[^а-яa-z0-9 ]"","" ""))"),"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"&amp;"языках  каз   рус   англ  языке  ")</f>
        <v>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языках  каз   рус   англ  языке  </v>
      </c>
    </row>
    <row r="871">
      <c r="A871" s="35" t="s">
        <v>1925</v>
      </c>
      <c r="B871" s="9" t="s">
        <v>1926</v>
      </c>
      <c r="C871" s="31"/>
      <c r="D871" s="37" t="s">
        <v>14</v>
      </c>
      <c r="E871" s="38">
        <v>2.0</v>
      </c>
      <c r="F871" s="40">
        <v>0.06</v>
      </c>
      <c r="G871" s="11">
        <v>119141.0</v>
      </c>
      <c r="H871" s="34" t="str">
        <f>IFERROR(__xludf.DUMMYFUNCTION("LOWER(REGEXREPLACE(B871&amp;"" ""&amp;C871,""[^а-яa-z0-9 ]"","" ""))")," instein   икрофон      008   астотный диапазон  от 35 до 10 000  ц   иапазон   2 5     азрешение  12 бит   1 22 м  ")</f>
        <v> instein   икрофон      008   астотный диапазон  от 35 до 10 000  ц   иапазон   2 5     азрешение  12 бит   1 22 м  </v>
      </c>
    </row>
    <row r="872">
      <c r="A872" s="35" t="s">
        <v>1927</v>
      </c>
      <c r="B872" s="31" t="s">
        <v>1928</v>
      </c>
      <c r="C872" s="31"/>
      <c r="D872" s="37" t="s">
        <v>14</v>
      </c>
      <c r="E872" s="38">
        <v>2.0</v>
      </c>
      <c r="F872" s="40">
        <v>0.06</v>
      </c>
      <c r="G872" s="11">
        <v>134560.0</v>
      </c>
      <c r="H872" s="34" t="str">
        <f>IFERROR(__xludf.DUMMYFUNCTION("LOWER(REGEXREPLACE(B872&amp;"" ""&amp;C872,""[^а-яa-z0-9 ]"","" ""))")," instein   атчик звука      320   иапазон  от 45 до 80 д   от 65 до 110 д    огрешность  при 23 5      3 д    ремя отклика  20 мс   астота  от 31 5 до 8 000  ц ")</f>
        <v> instein   атчик звука      320   иапазон  от 45 до 80 д   от 65 до 110 д    огрешность  при 23 5      3 д    ремя отклика  20 мс   астота  от 31 5 до 8 000  ц </v>
      </c>
    </row>
    <row r="873">
      <c r="A873" s="35" t="s">
        <v>1929</v>
      </c>
      <c r="B873" s="31" t="s">
        <v>1930</v>
      </c>
      <c r="C873" s="31"/>
      <c r="D873" s="37" t="s">
        <v>14</v>
      </c>
      <c r="E873" s="38">
        <v>2.0</v>
      </c>
      <c r="F873" s="40">
        <v>0.18</v>
      </c>
      <c r="G873" s="11">
        <v>133907.0</v>
      </c>
      <c r="H873" s="34" t="str">
        <f>IFERROR(__xludf.DUMMYFUNCTION("LOWER(REGEXREPLACE(B873&amp;"" ""&amp;C873,""[^а-яa-z0-9 ]"","" ""))")," атчик звука беспроводной  hywe  obra      sense    ound 12939 00   иапазон  55 110 д       азрешение  0 1 д     ")</f>
        <v> атчик звука беспроводной  hywe  obra      sense    ound 12939 00   иапазон  55 110 д       азрешение  0 1 д     </v>
      </c>
    </row>
    <row r="874">
      <c r="A874" s="35" t="s">
        <v>1931</v>
      </c>
      <c r="B874" s="31" t="s">
        <v>1932</v>
      </c>
      <c r="C874" s="31"/>
      <c r="D874" s="37" t="s">
        <v>14</v>
      </c>
      <c r="E874" s="38">
        <v>2.0</v>
      </c>
      <c r="F874" s="40">
        <v>0.18</v>
      </c>
      <c r="G874" s="11">
        <v>117357.0</v>
      </c>
      <c r="H874" s="34" t="str">
        <f>IFERROR(__xludf.DUMMYFUNCTION("LOWER(REGEXREPLACE(B874&amp;"" ""&amp;C874,""[^а-яa-z0-9 ]"","" ""))")," атчик звука беспроводной типа  cience ube    124    иапазон  от 40 д  до 130 д    очность  0 1 д  ")</f>
        <v> атчик звука беспроводной типа  cience ube    124    иапазон  от 40 д  до 130 д    очность  0 1 д  </v>
      </c>
    </row>
    <row r="875">
      <c r="A875" s="35" t="s">
        <v>1933</v>
      </c>
      <c r="B875" s="31" t="s">
        <v>1934</v>
      </c>
      <c r="C875" s="31"/>
      <c r="D875" s="37" t="s">
        <v>14</v>
      </c>
      <c r="E875" s="38">
        <v>2.0</v>
      </c>
      <c r="F875" s="40">
        <v>0.11</v>
      </c>
      <c r="G875" s="11">
        <v>21853.0</v>
      </c>
      <c r="H875" s="34" t="str">
        <f>IFERROR(__xludf.DUMMYFUNCTION("LOWER(REGEXREPLACE(B875&amp;"" ""&amp;C875,""[^а-яa-z0-9 ]"","" ""))")," атчик звука типа  ense disc  0021   иапазон  40 92 д    очность     4 д    азрешение  0 1 д  ")</f>
        <v> атчик звука типа  ense disc  0021   иапазон  40 92 д    очность     4 д    азрешение  0 1 д  </v>
      </c>
    </row>
    <row r="876">
      <c r="A876" s="35" t="s">
        <v>1935</v>
      </c>
      <c r="B876" s="31" t="s">
        <v>1936</v>
      </c>
      <c r="C876" s="31"/>
      <c r="D876" s="37" t="s">
        <v>14</v>
      </c>
      <c r="E876" s="38">
        <v>2.0</v>
      </c>
      <c r="F876" s="40">
        <v>0.12</v>
      </c>
      <c r="G876" s="11">
        <v>24281.0</v>
      </c>
      <c r="H876" s="34" t="str">
        <f>IFERROR(__xludf.DUMMYFUNCTION("LOWER(REGEXREPLACE(B876&amp;"" ""&amp;C876,""[^а-яa-z0-9 ]"","" ""))")," атчик микрофон  ense disc  0034   иапазон  100  ц 15 к ц ")</f>
        <v> атчик микрофон  ense disc  0034   иапазон  100  ц 15 к ц </v>
      </c>
    </row>
    <row r="877">
      <c r="A877" s="35" t="s">
        <v>1937</v>
      </c>
      <c r="B877" s="31" t="s">
        <v>1938</v>
      </c>
      <c r="C877" s="31"/>
      <c r="D877" s="37" t="s">
        <v>14</v>
      </c>
      <c r="E877" s="38">
        <v>2.0</v>
      </c>
      <c r="F877" s="39">
        <v>0.1</v>
      </c>
      <c r="G877" s="11">
        <v>55037.0</v>
      </c>
      <c r="H877" s="34" t="str">
        <f>IFERROR(__xludf.DUMMYFUNCTION("LOWER(REGEXREPLACE(B877&amp;"" ""&amp;C877,""[^а-яa-z0-9 ]"","" ""))")," атчик звука типа  icro ab  lab sound   изкое энергопотребление  185 мк  в режиме малой мощности   асширенная частотная характеристика от 36  ц до 20 к ц ")</f>
        <v> атчик звука типа  icro ab  lab sound   изкое энергопотребление  185 мк  в режиме малой мощности   асширенная частотная характеристика от 36  ц до 20 к ц </v>
      </c>
    </row>
    <row r="878">
      <c r="A878" s="35" t="s">
        <v>1939</v>
      </c>
      <c r="B878" s="9" t="s">
        <v>1940</v>
      </c>
      <c r="C878" s="31"/>
      <c r="D878" s="37" t="s">
        <v>14</v>
      </c>
      <c r="E878" s="38">
        <v>2.0</v>
      </c>
      <c r="F878" s="39">
        <v>0.3</v>
      </c>
      <c r="G878" s="11">
        <v>47212.0</v>
      </c>
      <c r="H878" s="34" t="str">
        <f>IFERROR(__xludf.DUMMYFUNCTION("LOWER(REGEXREPLACE(B878&amp;"" ""&amp;C878,""[^а-яa-z0-9 ]"","" ""))")," атчик микрофон   иапазон измерения  35  ц   10000  ц ")</f>
        <v> атчик микрофон   иапазон измерения  35  ц   10000  ц </v>
      </c>
    </row>
    <row r="879">
      <c r="A879" s="35" t="s">
        <v>1941</v>
      </c>
      <c r="B879" s="31" t="s">
        <v>1942</v>
      </c>
      <c r="C879" s="31"/>
      <c r="D879" s="37" t="s">
        <v>14</v>
      </c>
      <c r="E879" s="10"/>
      <c r="F879" s="36"/>
      <c r="G879" s="11"/>
      <c r="H879" s="34" t="str">
        <f>IFERROR(__xludf.DUMMYFUNCTION("LOWER(REGEXREPLACE(B879&amp;"" ""&amp;C879,""[^а-яa-z0-9 ]"","" ""))")," атчик света и цвета ")</f>
        <v> атчик света и цвета </v>
      </c>
    </row>
    <row r="880">
      <c r="A880" s="35" t="s">
        <v>1943</v>
      </c>
      <c r="B880" s="31" t="s">
        <v>1944</v>
      </c>
      <c r="C880" s="31"/>
      <c r="D880" s="37" t="s">
        <v>14</v>
      </c>
      <c r="E880" s="10"/>
      <c r="F880" s="42">
        <v>0.068</v>
      </c>
      <c r="G880" s="11">
        <v>149626.0</v>
      </c>
      <c r="H880" s="34" t="str">
        <f>IFERROR(__xludf.DUMMYFUNCTION("LOWER(REGEXREPLACE(B880&amp;"" ""&amp;C880,""[^а-яa-z0-9 ]"","" ""))"),"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"&amp;" рус   англ  языке  ")</f>
        <v>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рус   англ  языке  </v>
      </c>
    </row>
    <row r="881">
      <c r="A881" s="35" t="s">
        <v>1945</v>
      </c>
      <c r="B881" s="9" t="s">
        <v>1946</v>
      </c>
      <c r="C881" s="31"/>
      <c r="D881" s="37" t="s">
        <v>14</v>
      </c>
      <c r="E881" s="38">
        <v>2.0</v>
      </c>
      <c r="F881" s="40">
        <v>0.06</v>
      </c>
      <c r="G881" s="11">
        <v>109987.0</v>
      </c>
      <c r="H881" s="34" t="str">
        <f>IFERROR(__xludf.DUMMYFUNCTION("LOWER(REGEXREPLACE(B881&amp;"" ""&amp;C881,""[^а-яa-z0-9 ]"","" ""))")," instein   атчик света и цвета        185   оэффициент пропускания  20    90    очность  10    азрешение  12 бит   0 03   ")</f>
        <v> instein   атчик света и цвета        185   оэффициент пропускания  20    90    очность  10    азрешение  12 бит   0 03   </v>
      </c>
    </row>
    <row r="882">
      <c r="A882" s="35" t="s">
        <v>1947</v>
      </c>
      <c r="B882" s="9" t="s">
        <v>1948</v>
      </c>
      <c r="C882" s="31"/>
      <c r="D882" s="37" t="s">
        <v>14</v>
      </c>
      <c r="E882" s="38">
        <v>2.0</v>
      </c>
      <c r="F882" s="40">
        <v>0.14</v>
      </c>
      <c r="G882" s="11">
        <v>92177.0</v>
      </c>
      <c r="H882" s="34" t="str">
        <f>IFERROR(__xludf.DUMMYFUNCTION("LOWER(REGEXREPLACE(B882&amp;"" ""&amp;C882,""[^а-яa-z0-9 ]"","" ""))")," атчик света и цвета беспроводной типа  cience ube    112     иапазон  от 0 до 199000 лк  люкс    ветность  от 1 до 65 535 отсчетов      0   11    индекс   азрешение  0 1 люкс ")</f>
        <v> атчик света и цвета беспроводной типа  cience ube    112     иапазон  от 0 до 199000 лк  люкс    ветность  от 1 до 65 535 отсчетов      0   11    индекс   азрешение  0 1 люкс </v>
      </c>
    </row>
    <row r="883">
      <c r="A883" s="35" t="s">
        <v>1949</v>
      </c>
      <c r="B883" s="31" t="s">
        <v>1950</v>
      </c>
      <c r="C883" s="31"/>
      <c r="D883" s="37" t="s">
        <v>14</v>
      </c>
      <c r="E883" s="38">
        <v>2.0</v>
      </c>
      <c r="F883" s="39">
        <v>0.1</v>
      </c>
      <c r="G883" s="11">
        <v>57375.0</v>
      </c>
      <c r="H883" s="34" t="str">
        <f>IFERROR(__xludf.DUMMYFUNCTION("LOWER(REGEXREPLACE(B883&amp;"" ""&amp;C883,""[^а-яa-z0-9 ]"","" ""))")," атчик света и цвета типа  icro ab  lab lightcolor   змерение яркости до 60 000 люкс   инамический диапазаон контрастности цветов 16 7  1 ")</f>
        <v> атчик света и цвета типа  icro ab  lab lightcolor   змерение яркости до 60 000 люкс   инамический диапазаон контрастности цветов 16 7  1 </v>
      </c>
    </row>
    <row r="884">
      <c r="A884" s="35" t="s">
        <v>1951</v>
      </c>
      <c r="B884" s="31" t="s">
        <v>1952</v>
      </c>
      <c r="C884" s="31"/>
      <c r="D884" s="37" t="s">
        <v>14</v>
      </c>
      <c r="E884" s="10"/>
      <c r="F884" s="36"/>
      <c r="G884" s="11"/>
      <c r="H884" s="34" t="str">
        <f>IFERROR(__xludf.DUMMYFUNCTION("LOWER(REGEXREPLACE(B884&amp;"" ""&amp;C884,""[^а-яa-z0-9 ]"","" ""))")," атчик силы и ускорения ")</f>
        <v> атчик силы и ускорения </v>
      </c>
    </row>
    <row r="885">
      <c r="A885" s="35" t="s">
        <v>1953</v>
      </c>
      <c r="B885" s="9" t="s">
        <v>1954</v>
      </c>
      <c r="C885" s="31"/>
      <c r="D885" s="37" t="s">
        <v>14</v>
      </c>
      <c r="E885" s="10"/>
      <c r="F885" s="40">
        <v>0.17</v>
      </c>
      <c r="G885" s="11">
        <v>219884.0</v>
      </c>
      <c r="H885" s="34" t="str">
        <f>IFERROR(__xludf.DUMMYFUNCTION("LOWER(REGEXREPLACE(B885&amp;"" ""&amp;C885,""[^а-яa-z0-9 ]"","" ""))"),"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каз"&amp;"   рус   англ  языке  ")</f>
        <v>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   рус   англ  языке  </v>
      </c>
    </row>
    <row r="886">
      <c r="A886" s="35" t="s">
        <v>1955</v>
      </c>
      <c r="B886" s="31" t="s">
        <v>1956</v>
      </c>
      <c r="C886" s="31"/>
      <c r="D886" s="37" t="s">
        <v>14</v>
      </c>
      <c r="E886" s="38">
        <v>2.0</v>
      </c>
      <c r="F886" s="40">
        <v>0.06</v>
      </c>
      <c r="G886" s="11">
        <v>163931.0</v>
      </c>
      <c r="H886" s="34" t="str">
        <f>IFERROR(__xludf.DUMMYFUNCTION("LOWER(REGEXREPLACE(B886&amp;"" ""&amp;C886,""[^а-яa-z0-9 ]"","" ""))")," instein  датчик ускорения      138   иапазон   6 г   49 м с     азрешение  12 бит   0 0025 г или 0 025 м с2   аксимальная частота дискретизации  100 выборок в секунду   очность    0 05 г  ")</f>
        <v> instein  датчик ускорения      138   иапазон   6 г   49 м с     азрешение  12 бит   0 0025 г или 0 025 м с2   аксимальная частота дискретизации  100 выборок в секунду   очность    0 05 г  </v>
      </c>
    </row>
    <row r="887">
      <c r="A887" s="35" t="s">
        <v>1957</v>
      </c>
      <c r="B887" s="31" t="s">
        <v>1958</v>
      </c>
      <c r="C887" s="31"/>
      <c r="D887" s="37" t="s">
        <v>14</v>
      </c>
      <c r="E887" s="38">
        <v>2.0</v>
      </c>
      <c r="F887" s="42">
        <v>0.149</v>
      </c>
      <c r="G887" s="11">
        <v>192721.0</v>
      </c>
      <c r="H887" s="34" t="str">
        <f>IFERROR(__xludf.DUMMYFUNCTION("LOWER(REGEXREPLACE(B887&amp;"" ""&amp;C887,""[^а-яa-z0-9 ]"","" ""))")," атчик силы и ускорения беспроводной типа  hywe  obra      sense  orce    cceleration 12943 00   ила   иапазон     50     азрешение  30 м    скорение   иапазон     16 г   азрешение  0 01 г ")</f>
        <v> атчик силы и ускорения беспроводной типа  hywe  obra      sense  orce    cceleration 12943 00   ила   иапазон     50     азрешение  30 м    скорение   иапазон     16 г   азрешение  0 01 г </v>
      </c>
    </row>
    <row r="888">
      <c r="A888" s="35" t="s">
        <v>1959</v>
      </c>
      <c r="B888" s="9" t="s">
        <v>1960</v>
      </c>
      <c r="C888" s="31"/>
      <c r="D888" s="37" t="s">
        <v>14</v>
      </c>
      <c r="E888" s="38">
        <v>2.0</v>
      </c>
      <c r="F888" s="40">
        <v>0.15</v>
      </c>
      <c r="G888" s="11">
        <v>113958.0</v>
      </c>
      <c r="H888" s="34" t="str">
        <f>IFERROR(__xludf.DUMMYFUNCTION("LOWER(REGEXREPLACE(B888&amp;"" ""&amp;C888,""[^а-яa-z0-9 ]"","" ""))")," атчик силы и ускорения беспроводной типа  cience ube    105    иапазон силы  от  80 до  80     иапазон измерения ускорения  от   16 до   16м с2   азрешение  0 01  ьютон ")</f>
        <v> атчик силы и ускорения беспроводной типа  cience ube    105    иапазон силы  от  80 до  80     иапазон измерения ускорения  от   16 до   16м с2   азрешение  0 01  ьютон </v>
      </c>
    </row>
    <row r="889">
      <c r="A889" s="35" t="s">
        <v>1961</v>
      </c>
      <c r="B889" s="9" t="s">
        <v>1962</v>
      </c>
      <c r="C889" s="31"/>
      <c r="D889" s="37" t="s">
        <v>14</v>
      </c>
      <c r="E889" s="38">
        <v>2.0</v>
      </c>
      <c r="F889" s="39">
        <v>0.1</v>
      </c>
      <c r="G889" s="11">
        <v>57375.0</v>
      </c>
      <c r="H889" s="34" t="str">
        <f>IFERROR(__xludf.DUMMYFUNCTION("LOWER(REGEXREPLACE(B889&amp;"" ""&amp;C889,""[^а-яa-z0-9 ]"","" ""))"),"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f>
        <v>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v>
      </c>
    </row>
    <row r="890">
      <c r="A890" s="35" t="s">
        <v>1963</v>
      </c>
      <c r="B890" s="9" t="s">
        <v>1964</v>
      </c>
      <c r="C890" s="31"/>
      <c r="D890" s="37" t="s">
        <v>14</v>
      </c>
      <c r="E890" s="38">
        <v>2.0</v>
      </c>
      <c r="F890" s="39">
        <v>0.3</v>
      </c>
      <c r="G890" s="11">
        <v>31475.0</v>
      </c>
      <c r="H890" s="34" t="str">
        <f>IFERROR(__xludf.DUMMYFUNCTION("LOWER(REGEXREPLACE(B890&amp;"" ""&amp;C890,""[^а-яa-z0-9 ]"","" ""))"),"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f>
        <v>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v>
      </c>
    </row>
    <row r="891">
      <c r="A891" s="35" t="s">
        <v>1965</v>
      </c>
      <c r="B891" s="31" t="s">
        <v>1966</v>
      </c>
      <c r="C891" s="31"/>
      <c r="D891" s="37" t="s">
        <v>14</v>
      </c>
      <c r="E891" s="10"/>
      <c r="F891" s="36"/>
      <c r="G891" s="11"/>
      <c r="H891" s="34" t="str">
        <f>IFERROR(__xludf.DUMMYFUNCTION("LOWER(REGEXREPLACE(B891&amp;"" ""&amp;C891,""[^а-яa-z0-9 ]"","" ""))")," атчик инфракрасный ")</f>
        <v> атчик инфракрасный </v>
      </c>
    </row>
    <row r="892">
      <c r="A892" s="35" t="s">
        <v>1967</v>
      </c>
      <c r="B892" s="9" t="s">
        <v>1968</v>
      </c>
      <c r="C892" s="31"/>
      <c r="D892" s="37" t="s">
        <v>14</v>
      </c>
      <c r="E892" s="10"/>
      <c r="F892" s="42">
        <v>0.078</v>
      </c>
      <c r="G892" s="11">
        <v>190828.0</v>
      </c>
      <c r="H892" s="34" t="str">
        <f>IFERROR(__xludf.DUMMYFUNCTION("LOWER(REGEXREPLACE(B892&amp;"" ""&amp;C892,""[^а-яa-z0-9 ]"","" ""))"),"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f>
        <v>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v>
      </c>
    </row>
    <row r="893">
      <c r="A893" s="35" t="s">
        <v>1969</v>
      </c>
      <c r="B893" s="31" t="s">
        <v>1970</v>
      </c>
      <c r="C893" s="31"/>
      <c r="D893" s="37" t="s">
        <v>14</v>
      </c>
      <c r="E893" s="10"/>
      <c r="F893" s="36"/>
      <c r="G893" s="11"/>
      <c r="H893" s="34" t="str">
        <f>IFERROR(__xludf.DUMMYFUNCTION("LOWER(REGEXREPLACE(B893&amp;"" ""&amp;C893,""[^а-яa-z0-9 ]"","" ""))")," атчик    ")</f>
        <v> атчик    </v>
      </c>
    </row>
    <row r="894">
      <c r="A894" s="35" t="s">
        <v>1971</v>
      </c>
      <c r="B894" s="31" t="s">
        <v>1972</v>
      </c>
      <c r="C894" s="31"/>
      <c r="D894" s="37" t="s">
        <v>14</v>
      </c>
      <c r="E894" s="10"/>
      <c r="F894" s="40">
        <v>0.08</v>
      </c>
      <c r="G894" s="11">
        <v>202249.0</v>
      </c>
      <c r="H894" s="34" t="str">
        <f>IFERROR(__xludf.DUMMYFUNCTION("LOWER(REGEXREPLACE(B894&amp;"" ""&amp;C894,""[^а-яa-z0-9 ]"","" ""))"),"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f>
        <v>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v>
      </c>
    </row>
    <row r="895">
      <c r="A895" s="35" t="s">
        <v>1973</v>
      </c>
      <c r="B895" s="9" t="s">
        <v>1974</v>
      </c>
      <c r="C895" s="31"/>
      <c r="D895" s="37" t="s">
        <v>14</v>
      </c>
      <c r="E895" s="38">
        <v>2.0</v>
      </c>
      <c r="F895" s="40">
        <v>0.06</v>
      </c>
      <c r="G895" s="11">
        <v>150714.0</v>
      </c>
      <c r="H895" s="34" t="str">
        <f>IFERROR(__xludf.DUMMYFUNCTION("LOWER(REGEXREPLACE(B895&amp;"" ""&amp;C895,""[^а-яa-z0-9 ]"","" ""))")," instein  атчик    излучения       063   иапазон      от 320 нм до 400 нм  1  т м2  10  т м2  200  т м2   иапазон      от 280 нм до 320 нм  100 м т м2  1  т м2  10  т м2 ")</f>
        <v> instein  атчик    излучения       063   иапазон      от 320 нм до 400 нм  1  т м2  10  т м2  200  т м2   иапазон      от 280 нм до 320 нм  100 м т м2  1  т м2  10  т м2 </v>
      </c>
    </row>
    <row r="896">
      <c r="A896" s="35" t="s">
        <v>1975</v>
      </c>
      <c r="B896" s="9" t="s">
        <v>1976</v>
      </c>
      <c r="C896" s="31"/>
      <c r="D896" s="37" t="s">
        <v>14</v>
      </c>
      <c r="E896" s="38">
        <v>2.0</v>
      </c>
      <c r="F896" s="40">
        <v>0.13</v>
      </c>
      <c r="G896" s="11">
        <v>26709.0</v>
      </c>
      <c r="H896" s="34" t="str">
        <f>IFERROR(__xludf.DUMMYFUNCTION("LOWER(REGEXREPLACE(B896&amp;"" ""&amp;C896,""[^а-яa-z0-9 ]"","" ""))")," атчик    излучения типа  ense disc  1040   иапазон  0 400  т м    очность     5    азрешение  0 1  т м  ")</f>
        <v> атчик    излучения типа  ense disc  1040   иапазон  0 400  т м    очность     5    азрешение  0 1  т м  </v>
      </c>
    </row>
    <row r="897">
      <c r="A897" s="35" t="s">
        <v>1977</v>
      </c>
      <c r="B897" s="31" t="s">
        <v>1978</v>
      </c>
      <c r="C897" s="31"/>
      <c r="D897" s="37" t="s">
        <v>68</v>
      </c>
      <c r="E897" s="10"/>
      <c r="F897" s="36"/>
      <c r="G897" s="11">
        <v>390625.0</v>
      </c>
      <c r="H897" s="34" t="str">
        <f>IFERROR(__xludf.DUMMYFUNCTION("LOWER(REGEXREPLACE(B897&amp;"" ""&amp;C897,""[^а-яa-z0-9 ]"","" ""))")," абор посуды и принадлежностей для экспериментов по физике ")</f>
        <v> абор посуды и принадлежностей для экспериментов по физике </v>
      </c>
    </row>
    <row r="898">
      <c r="A898" s="35" t="s">
        <v>1979</v>
      </c>
      <c r="B898" s="31" t="s">
        <v>1980</v>
      </c>
      <c r="C898" s="31"/>
      <c r="D898" s="37" t="s">
        <v>14</v>
      </c>
      <c r="E898" s="38">
        <v>2.0</v>
      </c>
      <c r="F898" s="39">
        <v>1.7</v>
      </c>
      <c r="G898" s="11">
        <v>623630.0</v>
      </c>
      <c r="H898" s="34" t="str">
        <f>IFERROR(__xludf.DUMMYFUNCTION("LOWER(REGEXREPLACE(B898&amp;"" ""&amp;C898,""[^а-яa-z0-9 ]"","" ""))"),"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f>
        <v>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v>
      </c>
    </row>
    <row r="899">
      <c r="A899" s="35" t="s">
        <v>1981</v>
      </c>
      <c r="B899" s="31" t="s">
        <v>1982</v>
      </c>
      <c r="C899" s="31"/>
      <c r="D899" s="37" t="s">
        <v>14</v>
      </c>
      <c r="E899" s="38">
        <v>2.0</v>
      </c>
      <c r="F899" s="40">
        <v>0.12</v>
      </c>
      <c r="G899" s="11"/>
      <c r="H899" s="34" t="str">
        <f>IFERROR(__xludf.DUMMYFUNCTION("LOWER(REGEXREPLACE(B899&amp;"" ""&amp;C899,""[^а-яa-z0-9 ]"","" ""))")," егистратор данных со специальным программным обеспечением ")</f>
        <v> егистратор данных со специальным программным обеспечением </v>
      </c>
    </row>
    <row r="900">
      <c r="A900" s="35" t="s">
        <v>1983</v>
      </c>
      <c r="B900" s="31" t="s">
        <v>1984</v>
      </c>
      <c r="C900" s="31"/>
      <c r="D900" s="37" t="s">
        <v>14</v>
      </c>
      <c r="E900" s="38">
        <v>2.0</v>
      </c>
      <c r="F900" s="40">
        <v>0.12</v>
      </c>
      <c r="G900" s="11">
        <v>343088.0</v>
      </c>
      <c r="H900" s="34" t="str">
        <f>IFERROR(__xludf.DUMMYFUNCTION("LOWER(REGEXREPLACE(B900&amp;"" ""&amp;C900,""[^а-яa-z0-9 ]"","" ""))")," егистратор данных со специальным программным обеспечением  instein   abmate              астота дискретизации до 100 кс с   бъем внутренней памяти  до 800 тыс  образцов ")</f>
        <v> егистратор данных со специальным программным обеспечением  instein   abmate              астота дискретизации до 100 кс с   бъем внутренней памяти  до 800 тыс  образцов </v>
      </c>
    </row>
    <row r="901">
      <c r="A901" s="35" t="s">
        <v>1985</v>
      </c>
      <c r="B901" s="31" t="s">
        <v>1986</v>
      </c>
      <c r="C901" s="31"/>
      <c r="D901" s="37" t="s">
        <v>14</v>
      </c>
      <c r="E901" s="38">
        <v>2.0</v>
      </c>
      <c r="F901" s="40">
        <v>0.83</v>
      </c>
      <c r="G901" s="11">
        <v>669139.0</v>
      </c>
      <c r="H901" s="34" t="str">
        <f>IFERROR(__xludf.DUMMYFUNCTION("LOWER(REGEXREPLACE(B901&amp;"" ""&amp;C901,""[^а-яa-z0-9 ]"","" ""))"),"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f>
        <v>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v>
      </c>
    </row>
    <row r="902">
      <c r="A902" s="35" t="s">
        <v>1987</v>
      </c>
      <c r="B902" s="31" t="s">
        <v>1988</v>
      </c>
      <c r="C902" s="31"/>
      <c r="D902" s="37" t="s">
        <v>14</v>
      </c>
      <c r="E902" s="38">
        <v>2.0</v>
      </c>
      <c r="F902" s="39">
        <v>0.9</v>
      </c>
      <c r="G902" s="11">
        <v>222037.0</v>
      </c>
      <c r="H902" s="34" t="str">
        <f>IFERROR(__xludf.DUMMYFUNCTION("LOWER(REGEXREPLACE(B902&amp;"" ""&amp;C902,""[^а-яa-z0-9 ]"","" ""))")," егистратор данных со специальным программным обеспечением типа  cience ube   100  ")</f>
        <v> егистратор данных со специальным программным обеспечением типа  cience ube   100  </v>
      </c>
    </row>
    <row r="903">
      <c r="A903" s="35" t="s">
        <v>1989</v>
      </c>
      <c r="B903" s="31" t="s">
        <v>1990</v>
      </c>
      <c r="C903" s="31"/>
      <c r="D903" s="37" t="s">
        <v>14</v>
      </c>
      <c r="E903" s="38">
        <v>2.0</v>
      </c>
      <c r="F903" s="39">
        <v>0.9</v>
      </c>
      <c r="G903" s="11">
        <v>392542.0</v>
      </c>
      <c r="H903" s="34" t="str">
        <f>IFERROR(__xludf.DUMMYFUNCTION("LOWER(REGEXREPLACE(B903&amp;"" ""&amp;C903,""[^а-яa-z0-9 ]"","" ""))")," егистратор данных со специальным    типа  cience ube      1 ")</f>
        <v> егистратор данных со специальным    типа  cience ube      1 </v>
      </c>
    </row>
    <row r="904">
      <c r="A904" s="35" t="s">
        <v>1991</v>
      </c>
      <c r="B904" s="31" t="s">
        <v>1992</v>
      </c>
      <c r="C904" s="31"/>
      <c r="D904" s="37" t="s">
        <v>14</v>
      </c>
      <c r="E904" s="38">
        <v>2.0</v>
      </c>
      <c r="F904" s="40">
        <v>0.55</v>
      </c>
      <c r="G904" s="11">
        <v>242629.0</v>
      </c>
      <c r="H904" s="34" t="str">
        <f>IFERROR(__xludf.DUMMYFUNCTION("LOWER(REGEXREPLACE(B904&amp;"" ""&amp;C904,""[^а-яa-z0-9 ]"","" ""))")," егистратор данных с встроенными датчиками  акселерометр  3 оси        температура окружающей среды  барометр  льтиметр типа  ense disc   0010 ")</f>
        <v> егистратор данных с встроенными датчиками  акселерометр  3 оси        температура окружающей среды  барометр  льтиметр типа  ense disc   0010 </v>
      </c>
    </row>
    <row r="905">
      <c r="A905" s="35" t="s">
        <v>1993</v>
      </c>
      <c r="B905" s="31" t="s">
        <v>1994</v>
      </c>
      <c r="C905" s="31"/>
      <c r="D905" s="37" t="s">
        <v>14</v>
      </c>
      <c r="E905" s="38">
        <v>2.0</v>
      </c>
      <c r="F905" s="39">
        <v>0.4</v>
      </c>
      <c r="G905" s="11">
        <v>203780.0</v>
      </c>
      <c r="H905" s="34" t="str">
        <f>IFERROR(__xludf.DUMMYFUNCTION("LOWER(REGEXREPLACE(B905&amp;"" ""&amp;C905,""[^а-яa-z0-9 ]"","" ""))"),"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магни"&amp;"тный поток  угловую скорость  угол наклона  гироскоп по трем осям ")</f>
        <v>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магнитный поток  угловую скорость  угол наклона  гироскоп по трем осям </v>
      </c>
    </row>
    <row r="906">
      <c r="A906" s="35" t="s">
        <v>1995</v>
      </c>
      <c r="B906" s="9" t="s">
        <v>1996</v>
      </c>
      <c r="C906" s="31"/>
      <c r="D906" s="37" t="s">
        <v>14</v>
      </c>
      <c r="E906" s="38">
        <v>2.0</v>
      </c>
      <c r="F906" s="40">
        <v>0.15</v>
      </c>
      <c r="G906" s="11">
        <v>232826.0</v>
      </c>
      <c r="H906" s="34" t="str">
        <f>IFERROR(__xludf.DUMMYFUNCTION("LOWER(REGEXREPLACE(B906&amp;"" ""&amp;C906,""[^а-яa-z0-9 ]"","" ""))"),"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f>
        <v>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v>
      </c>
    </row>
    <row r="907">
      <c r="A907" s="35" t="s">
        <v>1997</v>
      </c>
      <c r="B907" s="9" t="s">
        <v>1998</v>
      </c>
      <c r="C907" s="31" t="s">
        <v>1999</v>
      </c>
      <c r="D907" s="37" t="s">
        <v>68</v>
      </c>
      <c r="E907" s="38">
        <v>2.0</v>
      </c>
      <c r="F907" s="38">
        <v>1.0</v>
      </c>
      <c r="G907" s="11">
        <v>158962.0</v>
      </c>
      <c r="H907" s="34" t="str">
        <f>IFERROR(__xludf.DUMMYFUNCTION("LOWER(REGEXREPLACE(B907&amp;"" ""&amp;C907,""[^а-яa-z0-9 ]"","" ""))"),"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3"&amp;" шт   ополнительный порт     2 0  1 шт   орты подключения датчиков аналоговый цифр    4 шт   12bit       егистратор данных    роцессор  1  z      ortex    8  32bit       32 32         ache  512     2  ache  амять  256   mobile         1         lash  пера"&amp;"ционнаясистема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out"&amp;"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"&amp;"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воспрои"&amp;"зведения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"&amp;"лабораторных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резул"&amp;"ьтатов эксперимента  вопросы и дополнительные задания ")</f>
        <v>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 шт   ополнительный порт     2 0  1 шт   орты подключения датчиков аналоговый цифр    4 шт   12bit       егистратор данных    роцессор  1  z      ortex    8  32bit       32 32         ache  512     2  ache  амять  256   mobile         1         lash  перационнаясистема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 </v>
      </c>
    </row>
    <row r="908">
      <c r="A908" s="35" t="s">
        <v>2000</v>
      </c>
      <c r="B908" s="31" t="s">
        <v>2001</v>
      </c>
      <c r="C908" s="31"/>
      <c r="D908" s="36"/>
      <c r="E908" s="10"/>
      <c r="F908" s="36"/>
      <c r="G908" s="11"/>
      <c r="H908" s="34" t="str">
        <f>IFERROR(__xludf.DUMMYFUNCTION("LOWER(REGEXREPLACE(B908&amp;"" ""&amp;C908,""[^а-яa-z0-9 ]"","" ""))")," атчик заряда ")</f>
        <v> атчик заряда </v>
      </c>
    </row>
    <row r="909">
      <c r="A909" s="35" t="s">
        <v>2002</v>
      </c>
      <c r="B909" s="9" t="s">
        <v>2003</v>
      </c>
      <c r="C909" s="31"/>
      <c r="D909" s="37" t="s">
        <v>14</v>
      </c>
      <c r="E909" s="38">
        <v>2.0</v>
      </c>
      <c r="F909" s="40">
        <v>0.06</v>
      </c>
      <c r="G909" s="11">
        <v>152183.0</v>
      </c>
      <c r="H909" s="34" t="str">
        <f>IFERROR(__xludf.DUMMYFUNCTION("LOWER(REGEXREPLACE(B909&amp;"" ""&amp;C909,""[^а-яa-z0-9 ]"","" ""))")," instein   атчик электростатического заряда      261   иапазон   0 25 мк л   0 025 мк л   азрешение  12 бит   0 12 н л для  0 25 мк л  12 2 п л для  0 025 мк л ")</f>
        <v> instein   атчик электростатического заряда      261   иапазон   0 25 мк л   0 025 мк л   азрешение  12 бит   0 12 н л для  0 25 мк л  12 2 п л для  0 025 мк л </v>
      </c>
    </row>
    <row r="910">
      <c r="A910" s="35" t="s">
        <v>2004</v>
      </c>
      <c r="B910" s="9" t="s">
        <v>2005</v>
      </c>
      <c r="C910" s="31"/>
      <c r="D910" s="37" t="s">
        <v>14</v>
      </c>
      <c r="E910" s="38">
        <v>2.0</v>
      </c>
      <c r="F910" s="39">
        <v>0.1</v>
      </c>
      <c r="G910" s="11">
        <v>49776.0</v>
      </c>
      <c r="H910" s="34" t="str">
        <f>IFERROR(__xludf.DUMMYFUNCTION("LOWER(REGEXREPLACE(B910&amp;"" ""&amp;C910,""[^а-яa-z0-9 ]"","" ""))")," атчик заряда типа  ense disc  0008   иапазон  0 220 н л   очность  4 4 н л   азрешение  0 1 н л ")</f>
        <v> атчик заряда типа  ense disc  0008   иапазон  0 220 н л   очность  4 4 н л   азрешение  0 1 н л </v>
      </c>
    </row>
    <row r="911">
      <c r="A911" s="35" t="s">
        <v>2006</v>
      </c>
      <c r="B911" s="31" t="s">
        <v>2007</v>
      </c>
      <c r="C911" s="31"/>
      <c r="D911" s="37" t="s">
        <v>14</v>
      </c>
      <c r="E911" s="38">
        <v>2.0</v>
      </c>
      <c r="F911" s="40">
        <v>0.07</v>
      </c>
      <c r="G911" s="11">
        <v>6070.0</v>
      </c>
      <c r="H911" s="34" t="str">
        <f>IFERROR(__xludf.DUMMYFUNCTION("LOWER(REGEXREPLACE(B911&amp;"" ""&amp;C911,""[^а-яa-z0-9 ]"","" ""))")," ход универсальный вход ")</f>
        <v> ход универсальный вход </v>
      </c>
    </row>
    <row r="912">
      <c r="A912" s="35" t="s">
        <v>2008</v>
      </c>
      <c r="B912" s="31" t="s">
        <v>2009</v>
      </c>
      <c r="C912" s="31"/>
      <c r="D912" s="37" t="s">
        <v>14</v>
      </c>
      <c r="E912" s="38">
        <v>2.0</v>
      </c>
      <c r="F912" s="38">
        <v>39.0</v>
      </c>
      <c r="G912" s="11">
        <v>1330353.0</v>
      </c>
      <c r="H912" s="34" t="str">
        <f>IFERROR(__xludf.DUMMYFUNCTION("LOWER(REGEXREPLACE(B912&amp;"" ""&amp;C912,""[^а-яa-z0-9 ]"","" ""))")," обильная научная тележка  lobisense  obile  cience cart для хранения и зарядки до 16 устройств  abdisc и до 16 планшетных компьютеров ")</f>
        <v> обильная научная тележка  lobisense  obile  cience cart для хранения и зарядки до 16 устройств  abdisc и до 16 планшетных компьютеров </v>
      </c>
    </row>
    <row r="913">
      <c r="A913" s="35" t="s">
        <v>2010</v>
      </c>
      <c r="B913" s="9" t="s">
        <v>2011</v>
      </c>
      <c r="C913" s="31"/>
      <c r="D913" s="37" t="s">
        <v>14</v>
      </c>
      <c r="E913" s="38">
        <v>2.0</v>
      </c>
      <c r="F913" s="39">
        <v>2.3</v>
      </c>
      <c r="G913" s="11">
        <v>463843.0</v>
      </c>
      <c r="H913" s="34" t="str">
        <f>IFERROR(__xludf.DUMMYFUNCTION("LOWER(REGEXREPLACE(B913&amp;"" ""&amp;C913,""[^а-яa-z0-9 ]"","" ""))")," арядный лоток  lobisense  harging tray для зарядки 8 устройств  abdisc ")</f>
        <v> арядный лоток  lobisense  harging tray для зарядки 8 устройств  abdisc </v>
      </c>
    </row>
    <row r="914">
      <c r="A914" s="35" t="s">
        <v>2012</v>
      </c>
      <c r="B914" s="31" t="s">
        <v>2013</v>
      </c>
      <c r="C914" s="31"/>
      <c r="D914" s="36"/>
      <c r="E914" s="10"/>
      <c r="F914" s="36"/>
      <c r="G914" s="11"/>
      <c r="H914" s="34" t="str">
        <f>IFERROR(__xludf.DUMMYFUNCTION("LOWER(REGEXREPLACE(B914&amp;"" ""&amp;C914,""[^а-яa-z0-9 ]"","" ""))")," аборатория цифровая по физике ")</f>
        <v> аборатория цифровая по физике </v>
      </c>
    </row>
    <row r="915">
      <c r="A915" s="35" t="s">
        <v>2014</v>
      </c>
      <c r="B915" s="31" t="s">
        <v>2015</v>
      </c>
      <c r="C915" s="31"/>
      <c r="D915" s="37" t="s">
        <v>14</v>
      </c>
      <c r="E915" s="38">
        <v>2.0</v>
      </c>
      <c r="F915" s="40">
        <v>0.71</v>
      </c>
      <c r="G915" s="11">
        <v>482227.0</v>
      </c>
      <c r="H915" s="34" t="str">
        <f>IFERROR(__xludf.DUMMYFUNCTION("LOWER(REGEXREPLACE(B915&amp;"" ""&amp;C915,""[^а-яa-z0-9 ]"","" ""))")," аборатория цифровая по физике типа  lobisense  abdisc          9 12  hysics со встроенными датчиками ")</f>
        <v> аборатория цифровая по физике типа  lobisense  abdisc          9 12  hysics со встроенными датчиками </v>
      </c>
    </row>
    <row r="916">
      <c r="A916" s="35" t="s">
        <v>2016</v>
      </c>
      <c r="B916" s="31" t="s">
        <v>2017</v>
      </c>
      <c r="C916" s="31"/>
      <c r="D916" s="37" t="s">
        <v>14</v>
      </c>
      <c r="E916" s="38">
        <v>2.0</v>
      </c>
      <c r="F916" s="39">
        <v>0.5</v>
      </c>
      <c r="G916" s="11">
        <v>562056.0</v>
      </c>
      <c r="H916" s="34" t="str">
        <f>IFERROR(__xludf.DUMMYFUNCTION("LOWER(REGEXREPLACE(B916&amp;"" ""&amp;C916,""[^а-яa-z0-9 ]"","" ""))"),"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f>
        <v>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v>
      </c>
    </row>
    <row r="917">
      <c r="A917" s="35" t="s">
        <v>2018</v>
      </c>
      <c r="B917" s="31" t="s">
        <v>2019</v>
      </c>
      <c r="C917" s="31"/>
      <c r="D917" s="36"/>
      <c r="E917" s="10"/>
      <c r="F917" s="36"/>
      <c r="G917" s="11"/>
      <c r="H917" s="34" t="str">
        <f>IFERROR(__xludf.DUMMYFUNCTION("LOWER(REGEXREPLACE(B917&amp;"" ""&amp;C917,""[^а-яa-z0-9 ]"","" ""))")," риборы и принадлежности для опытов демонстрационные и лабораторные ")</f>
        <v> риборы и принадлежности для опытов демонстрационные и лабораторные </v>
      </c>
    </row>
    <row r="918">
      <c r="A918" s="35" t="s">
        <v>2020</v>
      </c>
      <c r="B918" s="31" t="s">
        <v>2021</v>
      </c>
      <c r="C918" s="31" t="s">
        <v>2022</v>
      </c>
      <c r="D918" s="37" t="s">
        <v>1507</v>
      </c>
      <c r="E918" s="38">
        <v>2.0</v>
      </c>
      <c r="F918" s="40">
        <v>0.14</v>
      </c>
      <c r="G918" s="11">
        <v>3403.0</v>
      </c>
      <c r="H918" s="34" t="str">
        <f>IFERROR(__xludf.DUMMYFUNCTION("LOWER(REGEXREPLACE(B918&amp;"" ""&amp;C918,""[^а-яa-z0-9 ]"","" ""))"),"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верх"&amp;"ней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f>
        <v>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v>
      </c>
    </row>
    <row r="919">
      <c r="A919" s="35" t="s">
        <v>2023</v>
      </c>
      <c r="B919" s="31" t="s">
        <v>2024</v>
      </c>
      <c r="C919" s="31"/>
      <c r="D919" s="37" t="s">
        <v>14</v>
      </c>
      <c r="E919" s="10"/>
      <c r="F919" s="36"/>
      <c r="G919" s="11"/>
      <c r="H919" s="34" t="str">
        <f>IFERROR(__xludf.DUMMYFUNCTION("LOWER(REGEXREPLACE(B919&amp;"" ""&amp;C919,""[^а-яa-z0-9 ]"","" ""))")," есы лабораторные ")</f>
        <v> есы лабораторные </v>
      </c>
    </row>
    <row r="920">
      <c r="A920" s="35" t="s">
        <v>2025</v>
      </c>
      <c r="B920" s="31" t="s">
        <v>2026</v>
      </c>
      <c r="C920" s="31" t="s">
        <v>2027</v>
      </c>
      <c r="D920" s="37" t="s">
        <v>14</v>
      </c>
      <c r="E920" s="10"/>
      <c r="F920" s="36"/>
      <c r="G920" s="11">
        <v>8732.0</v>
      </c>
      <c r="H920" s="34" t="str">
        <f>IFERROR(__xludf.DUMMYFUNCTION("LOWER(REGEXREPLACE(B920&amp;"" ""&amp;C920,""[^а-яa-z0-9 ]"","" ""))"),"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f>
        <v>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v>
      </c>
    </row>
    <row r="921">
      <c r="A921" s="35" t="s">
        <v>2028</v>
      </c>
      <c r="B921" s="31" t="s">
        <v>2029</v>
      </c>
      <c r="C921" s="31" t="s">
        <v>2030</v>
      </c>
      <c r="D921" s="37" t="s">
        <v>14</v>
      </c>
      <c r="E921" s="38">
        <v>2.0</v>
      </c>
      <c r="F921" s="40">
        <v>0.62</v>
      </c>
      <c r="G921" s="11">
        <v>7017.0</v>
      </c>
      <c r="H921" s="34" t="str">
        <f>IFERROR(__xludf.DUMMYFUNCTION("LOWER(REGEXREPLACE(B921&amp;"" ""&amp;C921,""[^а-яa-z0-9 ]"","" ""))"),"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"&amp;"211 10   1 шт   руководство по эксплуатации   1 шт ")</f>
        <v>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4 211 10   1 шт   руководство по эксплуатации   1 шт </v>
      </c>
    </row>
    <row r="922">
      <c r="A922" s="35" t="s">
        <v>2031</v>
      </c>
      <c r="B922" s="31" t="s">
        <v>2032</v>
      </c>
      <c r="C922" s="31" t="s">
        <v>2033</v>
      </c>
      <c r="D922" s="37" t="s">
        <v>14</v>
      </c>
      <c r="E922" s="38">
        <v>2.0</v>
      </c>
      <c r="F922" s="40">
        <v>4.55</v>
      </c>
      <c r="G922" s="11">
        <v>40845.0</v>
      </c>
      <c r="H922" s="34" t="str">
        <f>IFERROR(__xludf.DUMMYFUNCTION("LOWER(REGEXREPLACE(B922&amp;"" ""&amp;C922,""[^а-яa-z0-9 ]"","" ""))")," есы технические   иапазон измерений 0 05 1000г   ена деления 0 05г  есы технические   иапазон измерений 0 05 1000г   ена деления 0 05г ")</f>
        <v> есы технические   иапазон измерений 0 05 1000г   ена деления 0 05г  есы технические   иапазон измерений 0 05 1000г   ена деления 0 05г </v>
      </c>
    </row>
    <row r="923">
      <c r="A923" s="35" t="s">
        <v>2034</v>
      </c>
      <c r="B923" s="31" t="s">
        <v>2035</v>
      </c>
      <c r="C923" s="31" t="s">
        <v>2036</v>
      </c>
      <c r="D923" s="37" t="s">
        <v>14</v>
      </c>
      <c r="E923" s="38">
        <v>2.0</v>
      </c>
      <c r="F923" s="40">
        <v>0.62</v>
      </c>
      <c r="G923" s="11">
        <v>7017.0</v>
      </c>
      <c r="H923" s="34" t="str">
        <f>IFERROR(__xludf.DUMMYFUNCTION("LOWER(REGEXREPLACE(B923&amp;"" ""&amp;C923,""[^а-яa-z0-9 ]"","" ""))"),"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изгото"&amp;"влены из пластмассы ")</f>
        <v>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изготовлены из пластмассы </v>
      </c>
    </row>
    <row r="924">
      <c r="A924" s="35" t="s">
        <v>2037</v>
      </c>
      <c r="B924" s="31" t="s">
        <v>2038</v>
      </c>
      <c r="C924" s="31" t="s">
        <v>2039</v>
      </c>
      <c r="D924" s="37" t="s">
        <v>14</v>
      </c>
      <c r="E924" s="38">
        <v>2.0</v>
      </c>
      <c r="F924" s="40">
        <v>0.63</v>
      </c>
      <c r="G924" s="11">
        <v>21585.0</v>
      </c>
      <c r="H924" s="34" t="str">
        <f>IFERROR(__xludf.DUMMYFUNCTION("LOWER(REGEXREPLACE(B924&amp;"" ""&amp;C924,""[^а-яa-z0-9 ]"","" ""))"),"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р"&amp;"азмеры  не менее 190х138х28мм")</f>
        <v>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размеры  не менее 190х138х28мм</v>
      </c>
    </row>
    <row r="925">
      <c r="A925" s="35" t="s">
        <v>2040</v>
      </c>
      <c r="B925" s="31" t="s">
        <v>2041</v>
      </c>
      <c r="C925" s="31" t="s">
        <v>2042</v>
      </c>
      <c r="D925" s="37" t="s">
        <v>14</v>
      </c>
      <c r="E925" s="38">
        <v>2.0</v>
      </c>
      <c r="F925" s="39">
        <v>3.2</v>
      </c>
      <c r="G925" s="11">
        <v>49091.0</v>
      </c>
      <c r="H925" s="34" t="str">
        <f>IFERROR(__xludf.DUMMYFUNCTION("LOWER(REGEXREPLACE(B925&amp;"" ""&amp;C925,""[^а-яa-z0-9 ]"","" ""))"),"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f>
        <v>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v>
      </c>
    </row>
    <row r="926">
      <c r="A926" s="35" t="s">
        <v>2043</v>
      </c>
      <c r="B926" s="31" t="s">
        <v>2044</v>
      </c>
      <c r="C926" s="31" t="s">
        <v>2045</v>
      </c>
      <c r="D926" s="37" t="s">
        <v>14</v>
      </c>
      <c r="E926" s="38">
        <v>2.0</v>
      </c>
      <c r="F926" s="42">
        <v>0.632</v>
      </c>
      <c r="G926" s="11">
        <v>21197.0</v>
      </c>
      <c r="H926" s="34" t="str">
        <f>IFERROR(__xludf.DUMMYFUNCTION("LOWER(REGEXREPLACE(B926&amp;"" ""&amp;C926,""[^а-яa-z0-9 ]"","" ""))")," есы электронные до 1000 г  0 2г   опустимая нагрузка 1000г   очность взвешивания 0 2г ")</f>
        <v> есы электронные до 1000 г  0 2г   опустимая нагрузка 1000г   очность взвешивания 0 2г </v>
      </c>
    </row>
    <row r="927">
      <c r="A927" s="35" t="s">
        <v>2046</v>
      </c>
      <c r="B927" s="31" t="s">
        <v>2047</v>
      </c>
      <c r="C927" s="31"/>
      <c r="D927" s="37" t="s">
        <v>14</v>
      </c>
      <c r="E927" s="10"/>
      <c r="F927" s="36"/>
      <c r="G927" s="11">
        <v>11607.0</v>
      </c>
      <c r="H927" s="34" t="str">
        <f>IFERROR(__xludf.DUMMYFUNCTION("LOWER(REGEXREPLACE(B927&amp;"" ""&amp;C927,""[^а-яa-z0-9 ]"","" ""))")," игрометр 0 25 градусов ")</f>
        <v> игрометр 0 25 градусов </v>
      </c>
    </row>
    <row r="928">
      <c r="A928" s="35" t="s">
        <v>2048</v>
      </c>
      <c r="B928" s="31" t="s">
        <v>2049</v>
      </c>
      <c r="C928" s="31"/>
      <c r="D928" s="37" t="s">
        <v>14</v>
      </c>
      <c r="E928" s="10"/>
      <c r="F928" s="36"/>
      <c r="G928" s="11">
        <v>11607.0</v>
      </c>
      <c r="H928" s="34" t="str">
        <f>IFERROR(__xludf.DUMMYFUNCTION("LOWER(REGEXREPLACE(B928&amp;"" ""&amp;C928,""[^а-яa-z0-9 ]"","" ""))")," игрометр 15 40 градусов ")</f>
        <v> игрометр 15 40 градусов </v>
      </c>
    </row>
    <row r="929">
      <c r="A929" s="35" t="s">
        <v>2050</v>
      </c>
      <c r="B929" s="31" t="s">
        <v>2051</v>
      </c>
      <c r="C929" s="31"/>
      <c r="D929" s="37" t="s">
        <v>14</v>
      </c>
      <c r="E929" s="10"/>
      <c r="F929" s="36"/>
      <c r="G929" s="11"/>
      <c r="H929" s="34" t="str">
        <f>IFERROR(__xludf.DUMMYFUNCTION("LOWER(REGEXREPLACE(B929&amp;"" ""&amp;C929,""[^а-яa-z0-9 ]"","" ""))")," инамометр ")</f>
        <v> инамометр </v>
      </c>
    </row>
    <row r="930">
      <c r="A930" s="35" t="s">
        <v>2052</v>
      </c>
      <c r="B930" s="31" t="s">
        <v>2053</v>
      </c>
      <c r="C930" s="31"/>
      <c r="D930" s="37" t="s">
        <v>14</v>
      </c>
      <c r="E930" s="10"/>
      <c r="F930" s="36"/>
      <c r="G930" s="11">
        <v>49731.0</v>
      </c>
      <c r="H930" s="34" t="str">
        <f>IFERROR(__xludf.DUMMYFUNCTION("LOWER(REGEXREPLACE(B930&amp;"" ""&amp;C930,""[^а-яa-z0-9 ]"","" ""))")," инамометр демонстрационный ")</f>
        <v> инамометр демонстрационный </v>
      </c>
    </row>
    <row r="931">
      <c r="A931" s="35" t="s">
        <v>2054</v>
      </c>
      <c r="B931" s="31" t="s">
        <v>2055</v>
      </c>
      <c r="C931" s="31" t="s">
        <v>2056</v>
      </c>
      <c r="D931" s="37" t="s">
        <v>68</v>
      </c>
      <c r="E931" s="38">
        <v>2.0</v>
      </c>
      <c r="F931" s="42">
        <v>0.277</v>
      </c>
      <c r="G931" s="11">
        <v>6746.0</v>
      </c>
      <c r="H931" s="34" t="str">
        <f>IFERROR(__xludf.DUMMYFUNCTION("LOWER(REGEXREPLACE(B931&amp;"" ""&amp;C931,""[^а-яa-z0-9 ]"","" ""))")," омплект динамометров   состав комплекта входят  5 динамометров   иапазон измерения от 0 до 1    от 0 до 2    от 0 до 2 5    от 0 до 5   от 0 до 10   ")</f>
        <v> омплект динамометров   состав комплекта входят  5 динамометров   иапазон измерения от 0 до 1    от 0 до 2    от 0 до 2 5    от 0 до 5   от 0 до 10   </v>
      </c>
    </row>
    <row r="932">
      <c r="A932" s="35" t="s">
        <v>2057</v>
      </c>
      <c r="B932" s="9" t="s">
        <v>2058</v>
      </c>
      <c r="C932" s="31" t="s">
        <v>2059</v>
      </c>
      <c r="D932" s="37" t="s">
        <v>14</v>
      </c>
      <c r="E932" s="38">
        <v>2.0</v>
      </c>
      <c r="F932" s="40">
        <v>0.33</v>
      </c>
      <c r="G932" s="11">
        <v>9714.0</v>
      </c>
      <c r="H932" s="34" t="str">
        <f>IFERROR(__xludf.DUMMYFUNCTION("LOWER(REGEXREPLACE(B932&amp;"" ""&amp;C932,""[^а-яa-z0-9 ]"","" ""))"),"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име"&amp;"ет влево и вправо от нуля 10 делений ценой один ньютон каждое   аксимальная нагрузка 10   ")</f>
        <v>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имеет влево и вправо от нуля 10 делений ценой один ньютон каждое   аксимальная нагрузка 10   </v>
      </c>
    </row>
    <row r="933">
      <c r="A933" s="35" t="s">
        <v>2060</v>
      </c>
      <c r="B933" s="31" t="s">
        <v>2061</v>
      </c>
      <c r="C933" s="31"/>
      <c r="D933" s="37" t="s">
        <v>14</v>
      </c>
      <c r="E933" s="38">
        <v>2.0</v>
      </c>
      <c r="F933" s="40">
        <v>0.32</v>
      </c>
      <c r="G933" s="11">
        <v>2879.0</v>
      </c>
      <c r="H933" s="34" t="str">
        <f>IFERROR(__xludf.DUMMYFUNCTION("LOWER(REGEXREPLACE(B933&amp;"" ""&amp;C933,""[^а-яa-z0-9 ]"","" ""))")," еркало выпуклое и вогнутое  комплект  ")</f>
        <v> еркало выпуклое и вогнутое  комплект  </v>
      </c>
    </row>
    <row r="934">
      <c r="A934" s="35" t="s">
        <v>2062</v>
      </c>
      <c r="B934" s="31" t="s">
        <v>2063</v>
      </c>
      <c r="C934" s="31" t="s">
        <v>2064</v>
      </c>
      <c r="D934" s="37" t="s">
        <v>14</v>
      </c>
      <c r="E934" s="38">
        <v>2.0</v>
      </c>
      <c r="F934" s="39">
        <v>0.9</v>
      </c>
      <c r="G934" s="11">
        <v>17948.0</v>
      </c>
      <c r="H934" s="34" t="str">
        <f>IFERROR(__xludf.DUMMYFUNCTION("LOWER(REGEXREPLACE(B934&amp;"" ""&amp;C934,""[^а-яa-z0-9 ]"","" ""))"),"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пр"&amp;"ямоугольного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"&amp;"  амертон на ящике   2 шт   молоточек   1 шт ")</f>
        <v>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амертон на ящике   2 шт   молоточек   1 шт </v>
      </c>
    </row>
    <row r="935">
      <c r="A935" s="35" t="s">
        <v>2065</v>
      </c>
      <c r="B935" s="31" t="s">
        <v>2066</v>
      </c>
      <c r="C935" s="31" t="s">
        <v>2067</v>
      </c>
      <c r="D935" s="37" t="s">
        <v>68</v>
      </c>
      <c r="E935" s="38">
        <v>2.0</v>
      </c>
      <c r="F935" s="39">
        <v>0.3</v>
      </c>
      <c r="G935" s="11">
        <v>7048.0</v>
      </c>
      <c r="H935" s="34" t="str">
        <f>IFERROR(__xludf.DUMMYFUNCTION("LOWER(REGEXREPLACE(B935&amp;"" ""&amp;C935,""[^а-яa-z0-9 ]"","" ""))"),"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f>
        <v>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v>
      </c>
    </row>
    <row r="936">
      <c r="A936" s="35" t="s">
        <v>2068</v>
      </c>
      <c r="B936" s="31" t="s">
        <v>2069</v>
      </c>
      <c r="C936" s="31"/>
      <c r="D936" s="37" t="s">
        <v>14</v>
      </c>
      <c r="E936" s="10"/>
      <c r="F936" s="36"/>
      <c r="G936" s="11"/>
      <c r="H936" s="34" t="str">
        <f>IFERROR(__xludf.DUMMYFUNCTION("LOWER(REGEXREPLACE(B936&amp;"" ""&amp;C936,""[^а-яa-z0-9 ]"","" ""))")," агазин сопротивлений демонстрационный ")</f>
        <v> агазин сопротивлений демонстрационный </v>
      </c>
    </row>
    <row r="937">
      <c r="A937" s="35" t="s">
        <v>2070</v>
      </c>
      <c r="B937" s="31" t="s">
        <v>2071</v>
      </c>
      <c r="C937" s="31" t="s">
        <v>2072</v>
      </c>
      <c r="D937" s="37" t="s">
        <v>14</v>
      </c>
      <c r="E937" s="38">
        <v>2.0</v>
      </c>
      <c r="F937" s="39">
        <v>0.2</v>
      </c>
      <c r="G937" s="11">
        <v>4306.0</v>
      </c>
      <c r="H937" s="34" t="str">
        <f>IFERROR(__xludf.DUMMYFUNCTION("LOWER(REGEXREPLACE(B937&amp;"" ""&amp;C937,""[^а-яa-z0-9 ]"","" ""))"),"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f>
        <v>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v>
      </c>
    </row>
    <row r="938">
      <c r="A938" s="35" t="s">
        <v>2073</v>
      </c>
      <c r="B938" s="31" t="s">
        <v>2074</v>
      </c>
      <c r="C938" s="31" t="s">
        <v>2075</v>
      </c>
      <c r="D938" s="37" t="s">
        <v>14</v>
      </c>
      <c r="E938" s="38">
        <v>2.0</v>
      </c>
      <c r="F938" s="39">
        <v>0.4</v>
      </c>
      <c r="G938" s="11">
        <v>7960.0</v>
      </c>
      <c r="H938" s="34" t="str">
        <f>IFERROR(__xludf.DUMMYFUNCTION("LOWER(REGEXREPLACE(B938&amp;"" ""&amp;C938,""[^а-яa-z0-9 ]"","" ""))"),"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элект"&amp;"ромагнитной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f>
        <v>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v>
      </c>
    </row>
    <row r="939">
      <c r="A939" s="35" t="s">
        <v>2076</v>
      </c>
      <c r="B939" s="31" t="s">
        <v>2077</v>
      </c>
      <c r="C939" s="31" t="s">
        <v>2078</v>
      </c>
      <c r="D939" s="37" t="s">
        <v>14</v>
      </c>
      <c r="E939" s="38">
        <v>2.0</v>
      </c>
      <c r="F939" s="39">
        <v>0.3</v>
      </c>
      <c r="G939" s="11">
        <v>5226.0</v>
      </c>
      <c r="H939" s="34" t="str">
        <f>IFERROR(__xludf.DUMMYFUNCTION("LOWER(REGEXREPLACE(B939&amp;"" ""&amp;C939,""[^а-яa-z0-9 ]"","" ""))"),"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f>
        <v>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v>
      </c>
    </row>
    <row r="940">
      <c r="A940" s="35" t="s">
        <v>2079</v>
      </c>
      <c r="B940" s="31" t="s">
        <v>2080</v>
      </c>
      <c r="C940" s="31"/>
      <c r="D940" s="37" t="s">
        <v>14</v>
      </c>
      <c r="E940" s="10"/>
      <c r="F940" s="36"/>
      <c r="G940" s="11"/>
      <c r="H940" s="34" t="str">
        <f>IFERROR(__xludf.DUMMYFUNCTION("LOWER(REGEXREPLACE(B940&amp;"" ""&amp;C940,""[^а-яa-z0-9 ]"","" ""))")," анометр ")</f>
        <v> анометр </v>
      </c>
    </row>
    <row r="941">
      <c r="A941" s="35" t="s">
        <v>2081</v>
      </c>
      <c r="B941" s="31" t="s">
        <v>2082</v>
      </c>
      <c r="C941" s="31" t="s">
        <v>2083</v>
      </c>
      <c r="D941" s="37" t="s">
        <v>1507</v>
      </c>
      <c r="E941" s="38">
        <v>2.0</v>
      </c>
      <c r="F941" s="40">
        <v>1.65</v>
      </c>
      <c r="G941" s="11">
        <v>26805.0</v>
      </c>
      <c r="H941" s="34" t="str">
        <f>IFERROR(__xludf.DUMMYFUNCTION("LOWER(REGEXREPLACE(B941&amp;"" ""&amp;C941,""[^а-яa-z0-9 ]"","" ""))"),"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м"&amp;"анометр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f>
        <v>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v>
      </c>
    </row>
    <row r="942">
      <c r="A942" s="35" t="s">
        <v>2084</v>
      </c>
      <c r="B942" s="31" t="s">
        <v>2085</v>
      </c>
      <c r="C942" s="31" t="s">
        <v>2086</v>
      </c>
      <c r="D942" s="37" t="s">
        <v>14</v>
      </c>
      <c r="E942" s="38">
        <v>2.0</v>
      </c>
      <c r="F942" s="39">
        <v>0.2</v>
      </c>
      <c r="G942" s="11">
        <v>3625.0</v>
      </c>
      <c r="H942" s="34" t="str">
        <f>IFERROR(__xludf.DUMMYFUNCTION("LOWER(REGEXREPLACE(B942&amp;"" ""&amp;C942,""[^а-яa-z0-9 ]"","" ""))"),"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укрепленную"&amp;"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труб"&amp;"ка резиновая   1 шт ")</f>
        <v>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трубка резиновая   1 шт </v>
      </c>
    </row>
    <row r="943">
      <c r="A943" s="35" t="s">
        <v>2087</v>
      </c>
      <c r="B943" s="31" t="s">
        <v>2088</v>
      </c>
      <c r="C943" s="31" t="s">
        <v>2089</v>
      </c>
      <c r="D943" s="37" t="s">
        <v>14</v>
      </c>
      <c r="E943" s="38">
        <v>2.0</v>
      </c>
      <c r="F943" s="38">
        <v>3.0</v>
      </c>
      <c r="G943" s="11">
        <v>27350.0</v>
      </c>
      <c r="H943" s="34" t="str">
        <f>IFERROR(__xludf.DUMMYFUNCTION("LOWER(REGEXREPLACE(B943&amp;"" ""&amp;C943,""[^а-яa-z0-9 ]"","" ""))"),"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г"&amp;"енераторов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f>
        <v>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v>
      </c>
    </row>
    <row r="944">
      <c r="A944" s="35" t="s">
        <v>2090</v>
      </c>
      <c r="B944" s="31" t="s">
        <v>2091</v>
      </c>
      <c r="C944" s="31"/>
      <c r="D944" s="37" t="s">
        <v>1507</v>
      </c>
      <c r="E944" s="10"/>
      <c r="F944" s="36"/>
      <c r="G944" s="11"/>
      <c r="H944" s="34" t="str">
        <f>IFERROR(__xludf.DUMMYFUNCTION("LOWER(REGEXREPLACE(B944&amp;"" ""&amp;C944,""[^а-яa-z0-9 ]"","" ""))")," абор из 5 шаров маятников со штативом ")</f>
        <v> абор из 5 шаров маятников со штативом </v>
      </c>
    </row>
    <row r="945">
      <c r="A945" s="35" t="s">
        <v>2092</v>
      </c>
      <c r="B945" s="31" t="s">
        <v>2093</v>
      </c>
      <c r="C945" s="31" t="s">
        <v>2094</v>
      </c>
      <c r="D945" s="37" t="s">
        <v>1507</v>
      </c>
      <c r="E945" s="38">
        <v>2.0</v>
      </c>
      <c r="F945" s="40">
        <v>0.65</v>
      </c>
      <c r="G945" s="11">
        <v>4049.0</v>
      </c>
      <c r="H945" s="34" t="str">
        <f>IFERROR(__xludf.DUMMYFUNCTION("LOWER(REGEXREPLACE(B945&amp;"" ""&amp;C945,""[^а-яa-z0-9 ]"","" ""))"),"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э"&amp;"ксплуатации   1 шт ")</f>
        <v>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эксплуатации   1 шт </v>
      </c>
    </row>
    <row r="946">
      <c r="A946" s="35" t="s">
        <v>2095</v>
      </c>
      <c r="B946" s="31" t="s">
        <v>2091</v>
      </c>
      <c r="C946" s="31" t="s">
        <v>2096</v>
      </c>
      <c r="D946" s="37" t="s">
        <v>1507</v>
      </c>
      <c r="E946" s="38">
        <v>2.0</v>
      </c>
      <c r="F946" s="39">
        <v>0.3</v>
      </c>
      <c r="G946" s="11">
        <v>10370.0</v>
      </c>
      <c r="H946" s="34" t="str">
        <f>IFERROR(__xludf.DUMMYFUNCTION("LOWER(REGEXREPLACE(B946&amp;"" ""&amp;C946,""[^а-яa-z0-9 ]"","" ""))"),"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металли"&amp;"ческой стойки  алюминиевой муфты и металлического стержня")</f>
        <v>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металлической стойки  алюминиевой муфты и металлического стержня</v>
      </c>
    </row>
    <row r="947">
      <c r="A947" s="35" t="s">
        <v>2097</v>
      </c>
      <c r="B947" s="31" t="s">
        <v>2098</v>
      </c>
      <c r="C947" s="31"/>
      <c r="D947" s="37" t="s">
        <v>1507</v>
      </c>
      <c r="E947" s="10"/>
      <c r="F947" s="36"/>
      <c r="G947" s="11"/>
      <c r="H947" s="34" t="str">
        <f>IFERROR(__xludf.DUMMYFUNCTION("LOWER(REGEXREPLACE(B947&amp;"" ""&amp;C947,""[^а-яa-z0-9 ]"","" ""))")," абор капилляров ")</f>
        <v> абор капилляров </v>
      </c>
    </row>
    <row r="948">
      <c r="A948" s="35" t="s">
        <v>2099</v>
      </c>
      <c r="B948" s="31" t="s">
        <v>2100</v>
      </c>
      <c r="C948" s="31" t="s">
        <v>2101</v>
      </c>
      <c r="D948" s="37" t="s">
        <v>1507</v>
      </c>
      <c r="E948" s="38">
        <v>2.0</v>
      </c>
      <c r="F948" s="39">
        <v>0.2</v>
      </c>
      <c r="G948" s="11">
        <v>6071.0</v>
      </c>
      <c r="H948" s="34" t="str">
        <f>IFERROR(__xludf.DUMMYFUNCTION("LOWER(REGEXREPLACE(B948&amp;"" ""&amp;C948,""[^а-яa-z0-9 ]"","" ""))"),"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капиллярных"&amp;" трубок 80мм")</f>
        <v>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 трубок 80мм</v>
      </c>
    </row>
    <row r="949">
      <c r="A949" s="35" t="s">
        <v>2102</v>
      </c>
      <c r="B949" s="31" t="s">
        <v>2103</v>
      </c>
      <c r="C949" s="31" t="s">
        <v>2104</v>
      </c>
      <c r="D949" s="37" t="s">
        <v>1507</v>
      </c>
      <c r="E949" s="10"/>
      <c r="F949" s="42">
        <v>0.192</v>
      </c>
      <c r="G949" s="11">
        <v>2339.0</v>
      </c>
      <c r="H949" s="34" t="str">
        <f>IFERROR(__xludf.DUMMYFUNCTION("LOWER(REGEXREPLACE(B949&amp;"" ""&amp;C949,""[^а-яa-z0-9 ]"","" ""))")," абор резисторов   наборе имеется три проволочных резистора сопротивлением 5  hm 1 5   10  hm 1  и 15  hm 0 6  ")</f>
        <v> абор резисторов   наборе имеется три проволочных резистора сопротивлением 5  hm 1 5   10  hm 1  и 15  hm 0 6  </v>
      </c>
    </row>
    <row r="950">
      <c r="A950" s="35" t="s">
        <v>2105</v>
      </c>
      <c r="B950" s="31" t="s">
        <v>2106</v>
      </c>
      <c r="C950" s="31"/>
      <c r="D950" s="37" t="s">
        <v>14</v>
      </c>
      <c r="E950" s="10"/>
      <c r="F950" s="36"/>
      <c r="G950" s="11"/>
      <c r="H950" s="34" t="str">
        <f>IFERROR(__xludf.DUMMYFUNCTION("LOWER(REGEXREPLACE(B950&amp;"" ""&amp;C950,""[^а-яa-z0-9 ]"","" ""))")," рибор для измерения и демонстрации физических явлений ")</f>
        <v> рибор для измерения и демонстрации физических явлений </v>
      </c>
    </row>
    <row r="951">
      <c r="A951" s="35" t="s">
        <v>2107</v>
      </c>
      <c r="B951" s="31" t="s">
        <v>2108</v>
      </c>
      <c r="C951" s="31" t="s">
        <v>2109</v>
      </c>
      <c r="D951" s="37" t="s">
        <v>14</v>
      </c>
      <c r="E951" s="38">
        <v>2.0</v>
      </c>
      <c r="F951" s="39">
        <v>0.5</v>
      </c>
      <c r="G951" s="11">
        <v>4678.0</v>
      </c>
      <c r="H951" s="34" t="str">
        <f>IFERROR(__xludf.DUMMYFUNCTION("LOWER(REGEXREPLACE(B951&amp;"" ""&amp;C951,""[^а-яa-z0-9 ]"","" ""))"),"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содержа"&amp;"ние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f>
        <v>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v>
      </c>
    </row>
    <row r="952">
      <c r="A952" s="35" t="s">
        <v>2110</v>
      </c>
      <c r="B952" s="31" t="s">
        <v>2111</v>
      </c>
      <c r="C952" s="31" t="s">
        <v>2112</v>
      </c>
      <c r="D952" s="37" t="s">
        <v>68</v>
      </c>
      <c r="E952" s="38">
        <v>2.0</v>
      </c>
      <c r="F952" s="39">
        <v>0.6</v>
      </c>
      <c r="G952" s="11">
        <v>24890.0</v>
      </c>
      <c r="H952" s="34" t="str">
        <f>IFERROR(__xludf.DUMMYFUNCTION("LOWER(REGEXREPLACE(B952&amp;"" ""&amp;C952,""[^а-яa-z0-9 ]"","" ""))"),"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в"&amp;"а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стор"&amp;"оны закреплены магниты противоположными полюсами навстречу друг другу ")</f>
        <v>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v>
      </c>
    </row>
    <row r="953">
      <c r="A953" s="35" t="s">
        <v>2113</v>
      </c>
      <c r="B953" s="31" t="s">
        <v>2114</v>
      </c>
      <c r="C953" s="31" t="s">
        <v>2115</v>
      </c>
      <c r="D953" s="37" t="s">
        <v>14</v>
      </c>
      <c r="E953" s="38">
        <v>2.0</v>
      </c>
      <c r="F953" s="40">
        <v>0.12</v>
      </c>
      <c r="G953" s="11">
        <v>8274.0</v>
      </c>
      <c r="H953" s="34" t="str">
        <f>IFERROR(__xludf.DUMMYFUNCTION("LOWER(REGEXREPLACE(B953&amp;"" ""&amp;C953,""[^а-яa-z0-9 ]"","" ""))"),"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то"&amp;"нкие бумажные полоски   о время опытов другой конец стержня вставляется в отверстие изолирующего штатива   ля работы необходима эбонитовая палочка ")</f>
        <v>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тонкие бумажные полоски   о время опытов другой конец стержня вставляется в отверстие изолирующего штатива   ля работы необходима эбонитовая палочка </v>
      </c>
    </row>
    <row r="954">
      <c r="A954" s="35" t="s">
        <v>2116</v>
      </c>
      <c r="B954" s="31" t="s">
        <v>2117</v>
      </c>
      <c r="C954" s="31" t="s">
        <v>2118</v>
      </c>
      <c r="D954" s="37" t="s">
        <v>14</v>
      </c>
      <c r="E954" s="38">
        <v>2.0</v>
      </c>
      <c r="F954" s="39">
        <v>1.3</v>
      </c>
      <c r="G954" s="11">
        <v>33728.0</v>
      </c>
      <c r="H954" s="34" t="str">
        <f>IFERROR(__xludf.DUMMYFUNCTION("LOWER(REGEXREPLACE(B954&amp;"" ""&amp;C954,""[^а-яa-z0-9 ]"","" ""))"),"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ви"&amp;"ды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f>
        <v>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v>
      </c>
    </row>
    <row r="955">
      <c r="A955" s="35" t="s">
        <v>2119</v>
      </c>
      <c r="B955" s="31" t="s">
        <v>2120</v>
      </c>
      <c r="C955" s="31" t="s">
        <v>2121</v>
      </c>
      <c r="D955" s="37" t="s">
        <v>14</v>
      </c>
      <c r="E955" s="38">
        <v>2.0</v>
      </c>
      <c r="F955" s="40">
        <v>0.21</v>
      </c>
      <c r="G955" s="11">
        <v>8544.0</v>
      </c>
      <c r="H955" s="34" t="str">
        <f>IFERROR(__xludf.DUMMYFUNCTION("LOWER(REGEXREPLACE(B955&amp;"" ""&amp;C955,""[^а-яa-z0-9 ]"","" ""))"),"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предусм"&amp;"отрен винт с контргайкой   анель со звонком может быть установлена на экран оверхед проектора или закреплена в прилагаемой подставке ")</f>
        <v>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предусмотрен винт с контргайкой   анель со звонком может быть установлена на экран оверхед проектора или закреплена в прилагаемой подставке </v>
      </c>
    </row>
    <row r="956">
      <c r="A956" s="35" t="s">
        <v>2122</v>
      </c>
      <c r="B956" s="31" t="s">
        <v>2123</v>
      </c>
      <c r="C956" s="31" t="s">
        <v>2124</v>
      </c>
      <c r="D956" s="37" t="s">
        <v>14</v>
      </c>
      <c r="E956" s="38">
        <v>2.0</v>
      </c>
      <c r="F956" s="39">
        <v>0.3</v>
      </c>
      <c r="G956" s="11">
        <v>9713.0</v>
      </c>
      <c r="H956" s="34" t="str">
        <f>IFERROR(__xludf.DUMMYFUNCTION("LOWER(REGEXREPLACE(B956&amp;"" ""&amp;C956,""[^а-яa-z0-9 ]"","" ""))"),"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f>
        <v>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v>
      </c>
    </row>
    <row r="957">
      <c r="A957" s="35" t="s">
        <v>2125</v>
      </c>
      <c r="B957" s="31" t="s">
        <v>2126</v>
      </c>
      <c r="C957" s="31" t="s">
        <v>2127</v>
      </c>
      <c r="D957" s="37" t="s">
        <v>14</v>
      </c>
      <c r="E957" s="38">
        <v>2.0</v>
      </c>
      <c r="F957" s="39">
        <v>0.2</v>
      </c>
      <c r="G957" s="11">
        <v>12748.0</v>
      </c>
      <c r="H957" s="34" t="str">
        <f>IFERROR(__xludf.DUMMYFUNCTION("LOWER(REGEXREPLACE(B957&amp;"" ""&amp;C957,""[^а-яa-z0-9 ]"","" ""))"),"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рел"&amp;"ьсы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зажима"&amp;"ми типа  крокодил    омплектность   латформа   1 шт    пластины   2 шт   стеклянные палочки со стопорными кольцами   рельсы   2 шт    шарик   1 шт ")</f>
        <v>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зажимами типа  крокодил    омплектность   латформа   1 шт    пластины   2 шт   стеклянные палочки со стопорными кольцами   рельсы   2 шт    шарик   1 шт </v>
      </c>
    </row>
    <row r="958">
      <c r="A958" s="35" t="s">
        <v>2128</v>
      </c>
      <c r="B958" s="31" t="s">
        <v>2129</v>
      </c>
      <c r="C958" s="31" t="s">
        <v>2130</v>
      </c>
      <c r="D958" s="37" t="s">
        <v>14</v>
      </c>
      <c r="E958" s="38">
        <v>2.0</v>
      </c>
      <c r="F958" s="39">
        <v>6.4</v>
      </c>
      <c r="G958" s="11">
        <v>88445.0</v>
      </c>
      <c r="H958" s="34" t="str">
        <f>IFERROR(__xludf.DUMMYFUNCTION("LOWER(REGEXREPLACE(B958&amp;"" ""&amp;C958,""[^а-яa-z0-9 ]"","" ""))"),"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комп"&amp;"ьютерных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f>
        <v>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v>
      </c>
    </row>
    <row r="959">
      <c r="A959" s="35" t="s">
        <v>2131</v>
      </c>
      <c r="B959" s="31" t="s">
        <v>2132</v>
      </c>
      <c r="C959" s="31" t="s">
        <v>2133</v>
      </c>
      <c r="D959" s="37" t="s">
        <v>14</v>
      </c>
      <c r="E959" s="38">
        <v>2.0</v>
      </c>
      <c r="F959" s="40">
        <v>0.25</v>
      </c>
      <c r="G959" s="11">
        <v>12055.0</v>
      </c>
      <c r="H959" s="34" t="str">
        <f>IFERROR(__xludf.DUMMYFUNCTION("LOWER(REGEXREPLACE(B959&amp;"" ""&amp;C959,""[^а-яa-z0-9 ]"","" ""))"),"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"&amp;" 1 шт   шарики металлические   3 шт   шарики пластмассовые   3 шт   цилиндры поролоновые с боковыми прорезями   3 шт   руководство по эксплуатации   1 шт ")</f>
        <v>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1 шт   шарики металлические   3 шт   шарики пластмассовые   3 шт   цилиндры поролоновые с боковыми прорезями   3 шт   руководство по эксплуатации   1 шт </v>
      </c>
    </row>
    <row r="960">
      <c r="A960" s="35" t="s">
        <v>2134</v>
      </c>
      <c r="B960" s="31" t="s">
        <v>2135</v>
      </c>
      <c r="C960" s="31" t="s">
        <v>2136</v>
      </c>
      <c r="D960" s="37" t="s">
        <v>14</v>
      </c>
      <c r="E960" s="38">
        <v>2.0</v>
      </c>
      <c r="F960" s="40">
        <v>0.86</v>
      </c>
      <c r="G960" s="11">
        <v>16893.0</v>
      </c>
      <c r="H960" s="34" t="str">
        <f>IFERROR(__xludf.DUMMYFUNCTION("LOWER(REGEXREPLACE(B960&amp;"" ""&amp;C960,""[^а-яa-z0-9 ]"","" ""))"),"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кон"&amp;"тактами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навстречу"&amp;" друг другу   ля проведения демонстраций необходимы источник постоянного напряжения до 6    гальванометр или микроамперметр  провода ")</f>
        <v>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ля проведения демонстраций необходимы источник постоянного напряжения до 6    гальванометр или микроамперметр  провода </v>
      </c>
    </row>
    <row r="961">
      <c r="A961" s="35" t="s">
        <v>2137</v>
      </c>
      <c r="B961" s="31" t="s">
        <v>2138</v>
      </c>
      <c r="C961" s="31"/>
      <c r="D961" s="37" t="s">
        <v>14</v>
      </c>
      <c r="E961" s="10"/>
      <c r="F961" s="36"/>
      <c r="G961" s="11"/>
      <c r="H961" s="34" t="str">
        <f>IFERROR(__xludf.DUMMYFUNCTION("LOWER(REGEXREPLACE(B961&amp;"" ""&amp;C961,""[^а-яa-z0-9 ]"","" ""))")," еостат ползунковый ")</f>
        <v> еостат ползунковый </v>
      </c>
    </row>
    <row r="962">
      <c r="A962" s="35" t="s">
        <v>2139</v>
      </c>
      <c r="B962" s="31" t="s">
        <v>2138</v>
      </c>
      <c r="C962" s="31" t="s">
        <v>2140</v>
      </c>
      <c r="D962" s="37" t="s">
        <v>14</v>
      </c>
      <c r="E962" s="38">
        <v>2.0</v>
      </c>
      <c r="F962" s="42">
        <v>3.495</v>
      </c>
      <c r="G962" s="11">
        <v>4690.0</v>
      </c>
      <c r="H962" s="34" t="str">
        <f>IFERROR(__xludf.DUMMYFUNCTION("LOWER(REGEXREPLACE(B962&amp;"" ""&amp;C962,""[^а-яa-z0-9 ]"","" ""))"),"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п"&amp;"ластмассовом корпусе ")</f>
        <v>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 </v>
      </c>
    </row>
    <row r="963">
      <c r="A963" s="35" t="s">
        <v>2141</v>
      </c>
      <c r="B963" s="31" t="s">
        <v>2142</v>
      </c>
      <c r="C963" s="31" t="s">
        <v>2143</v>
      </c>
      <c r="D963" s="37" t="s">
        <v>1507</v>
      </c>
      <c r="E963" s="38">
        <v>2.0</v>
      </c>
      <c r="F963" s="39">
        <v>3.6</v>
      </c>
      <c r="G963" s="11">
        <v>44912.0</v>
      </c>
      <c r="H963" s="34" t="str">
        <f>IFERROR(__xludf.DUMMYFUNCTION("LOWER(REGEXREPLACE(B963&amp;"" ""&amp;C963,""[^а-яa-z0-9 ]"","" ""))"),"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5"&amp;"     абаритные размеры  не менее 225х70х100мм  4  0 200  м  сила тока 1 5     абаритные размеры  не менее 280х90х150мм   5  0 1750  м  сила тока 1 5     абаритные размеры  не менее 360х90х150мм")</f>
        <v>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     абаритные размеры  не менее 225х70х100мм  4  0 200  м  сила тока 1 5     абаритные размеры  не менее 280х90х150мм   5  0 1750  м  сила тока 1 5     абаритные размеры  не менее 360х90х150мм</v>
      </c>
    </row>
    <row r="964">
      <c r="A964" s="35" t="s">
        <v>2144</v>
      </c>
      <c r="B964" s="31" t="s">
        <v>2145</v>
      </c>
      <c r="C964" s="31" t="s">
        <v>2146</v>
      </c>
      <c r="D964" s="37" t="s">
        <v>14</v>
      </c>
      <c r="E964" s="38">
        <v>2.0</v>
      </c>
      <c r="F964" s="42">
        <v>0.163</v>
      </c>
      <c r="G964" s="11">
        <v>12815.0</v>
      </c>
      <c r="H964" s="34" t="str">
        <f>IFERROR(__xludf.DUMMYFUNCTION("LOWER(REGEXREPLACE(B964&amp;"" ""&amp;C964,""[^а-яa-z0-9 ]"","" ""))"),"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плас"&amp;"тмассовых щек и стянута с ними стяжной шпилькой ")</f>
        <v>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пластмассовых щек и стянута с ними стяжной шпилькой </v>
      </c>
    </row>
    <row r="965">
      <c r="A965" s="35" t="s">
        <v>2147</v>
      </c>
      <c r="B965" s="31" t="s">
        <v>2148</v>
      </c>
      <c r="C965" s="31" t="s">
        <v>2149</v>
      </c>
      <c r="D965" s="37" t="s">
        <v>14</v>
      </c>
      <c r="E965" s="38">
        <v>2.0</v>
      </c>
      <c r="F965" s="39">
        <v>0.5</v>
      </c>
      <c r="G965" s="11">
        <v>11063.0</v>
      </c>
      <c r="H965" s="34" t="str">
        <f>IFERROR(__xludf.DUMMYFUNCTION("LOWER(REGEXREPLACE(B965&amp;"" ""&amp;C965,""[^а-яa-z0-9 ]"","" ""))"),"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f>
        <v>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v>
      </c>
    </row>
    <row r="966">
      <c r="A966" s="35" t="s">
        <v>2150</v>
      </c>
      <c r="B966" s="31" t="s">
        <v>2151</v>
      </c>
      <c r="C966" s="31"/>
      <c r="D966" s="37" t="s">
        <v>1507</v>
      </c>
      <c r="E966" s="10"/>
      <c r="F966" s="36"/>
      <c r="G966" s="11"/>
      <c r="H966" s="34" t="str">
        <f>IFERROR(__xludf.DUMMYFUNCTION("LOWER(REGEXREPLACE(B966&amp;"" ""&amp;C966,""[^а-яa-z0-9 ]"","" ""))")," осуды сообщающиеся ")</f>
        <v> осуды сообщающиеся </v>
      </c>
    </row>
    <row r="967">
      <c r="A967" s="35" t="s">
        <v>2152</v>
      </c>
      <c r="B967" s="31" t="s">
        <v>2151</v>
      </c>
      <c r="C967" s="31" t="s">
        <v>2153</v>
      </c>
      <c r="D967" s="37" t="s">
        <v>1507</v>
      </c>
      <c r="E967" s="38">
        <v>2.0</v>
      </c>
      <c r="F967" s="40">
        <v>0.15</v>
      </c>
      <c r="G967" s="11">
        <v>3591.0</v>
      </c>
      <c r="H967" s="34" t="str">
        <f>IFERROR(__xludf.DUMMYFUNCTION("LOWER(REGEXREPLACE(B967&amp;"" ""&amp;C967,""[^а-яa-z0-9 ]"","" ""))"),"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"&amp;"всех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f>
        <v>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v>
      </c>
    </row>
    <row r="968">
      <c r="A968" s="35" t="s">
        <v>2154</v>
      </c>
      <c r="B968" s="31" t="s">
        <v>2155</v>
      </c>
      <c r="C968" s="31" t="s">
        <v>2156</v>
      </c>
      <c r="D968" s="37" t="s">
        <v>14</v>
      </c>
      <c r="E968" s="38">
        <v>2.0</v>
      </c>
      <c r="F968" s="42">
        <v>1.558</v>
      </c>
      <c r="G968" s="11">
        <v>9359.0</v>
      </c>
      <c r="H968" s="34" t="str">
        <f>IFERROR(__xludf.DUMMYFUNCTION("LOWER(REGEXREPLACE(B968&amp;"" ""&amp;C968,""[^а-яa-z0-9 ]"","" ""))")," толик подъемный  абочая поверхность столика  150 х 150 мм   аксимальная высота подъема  280мм ")</f>
        <v> толик подъемный  абочая поверхность столика  150 х 150 мм   аксимальная высота подъема  280мм </v>
      </c>
    </row>
    <row r="969">
      <c r="A969" s="35" t="s">
        <v>2157</v>
      </c>
      <c r="B969" s="31" t="s">
        <v>2158</v>
      </c>
      <c r="C969" s="31"/>
      <c r="D969" s="37" t="s">
        <v>14</v>
      </c>
      <c r="E969" s="38">
        <v>2.0</v>
      </c>
      <c r="F969" s="40">
        <v>0.06</v>
      </c>
      <c r="G969" s="11">
        <v>400.0</v>
      </c>
      <c r="H969" s="34" t="str">
        <f>IFERROR(__xludf.DUMMYFUNCTION("LOWER(REGEXREPLACE(B969&amp;"" ""&amp;C969,""[^а-яa-z0-9 ]"","" ""))")," ермометр жидкостной ")</f>
        <v> ермометр жидкостной </v>
      </c>
    </row>
    <row r="970">
      <c r="A970" s="35" t="s">
        <v>2159</v>
      </c>
      <c r="B970" s="31" t="s">
        <v>2160</v>
      </c>
      <c r="C970" s="31"/>
      <c r="D970" s="37" t="s">
        <v>14</v>
      </c>
      <c r="E970" s="10"/>
      <c r="F970" s="36"/>
      <c r="G970" s="11"/>
      <c r="H970" s="34" t="str">
        <f>IFERROR(__xludf.DUMMYFUNCTION("LOWER(REGEXREPLACE(B970&amp;"" ""&amp;C970,""[^а-яa-z0-9 ]"","" ""))")," ермометр спиртовой ")</f>
        <v> ермометр спиртовой </v>
      </c>
    </row>
    <row r="971">
      <c r="A971" s="35" t="s">
        <v>2161</v>
      </c>
      <c r="B971" s="9" t="s">
        <v>2162</v>
      </c>
      <c r="C971" s="31"/>
      <c r="D971" s="37" t="s">
        <v>14</v>
      </c>
      <c r="E971" s="38">
        <v>2.0</v>
      </c>
      <c r="F971" s="42">
        <v>0.015</v>
      </c>
      <c r="G971" s="11">
        <v>5431.0</v>
      </c>
      <c r="H971" s="34" t="str">
        <f>IFERROR(__xludf.DUMMYFUNCTION("LOWER(REGEXREPLACE(B971&amp;"" ""&amp;C971,""[^а-яa-z0-9 ]"","" ""))")," ермометр спиртовой   атериал  пластик  стекло   иапазон измерения  от  50 до  50    и от  60 до 120    ")</f>
        <v> ермометр спиртовой   атериал  пластик  стекло   иапазон измерения  от  50 до  50    и от  60 до 120    </v>
      </c>
    </row>
    <row r="972">
      <c r="A972" s="35" t="s">
        <v>2163</v>
      </c>
      <c r="B972" s="31" t="s">
        <v>2164</v>
      </c>
      <c r="C972" s="31"/>
      <c r="D972" s="37" t="s">
        <v>68</v>
      </c>
      <c r="E972" s="10"/>
      <c r="F972" s="36"/>
      <c r="G972" s="11"/>
      <c r="H972" s="34" t="str">
        <f>IFERROR(__xludf.DUMMYFUNCTION("LOWER(REGEXREPLACE(B972&amp;"" ""&amp;C972,""[^а-яa-z0-9 ]"","" ""))")," омплект цилиндров свинцовых со стругом ")</f>
        <v> омплект цилиндров свинцовых со стругом </v>
      </c>
    </row>
    <row r="973">
      <c r="A973" s="35" t="s">
        <v>2165</v>
      </c>
      <c r="B973" s="31" t="s">
        <v>2164</v>
      </c>
      <c r="C973" s="31" t="s">
        <v>2166</v>
      </c>
      <c r="D973" s="37" t="s">
        <v>68</v>
      </c>
      <c r="E973" s="38">
        <v>2.0</v>
      </c>
      <c r="F973" s="39">
        <v>0.3</v>
      </c>
      <c r="G973" s="11">
        <v>3014.0</v>
      </c>
      <c r="H973" s="34" t="str">
        <f>IFERROR(__xludf.DUMMYFUNCTION("LOWER(REGEXREPLACE(B973&amp;"" ""&amp;C973,""[^а-яa-z0-9 ]"","" ""))"),"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рибор"&amp;"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f>
        <v>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v>
      </c>
    </row>
    <row r="974">
      <c r="A974" s="35" t="s">
        <v>2167</v>
      </c>
      <c r="B974" s="31" t="s">
        <v>2168</v>
      </c>
      <c r="C974" s="31" t="s">
        <v>2169</v>
      </c>
      <c r="D974" s="37" t="s">
        <v>14</v>
      </c>
      <c r="E974" s="38">
        <v>2.0</v>
      </c>
      <c r="F974" s="40">
        <v>0.34</v>
      </c>
      <c r="G974" s="11">
        <v>9967.0</v>
      </c>
      <c r="H974" s="34" t="str">
        <f>IFERROR(__xludf.DUMMYFUNCTION("LOWER(REGEXREPLACE(B974&amp;"" ""&amp;C974,""[^а-яa-z0-9 ]"","" ""))"),"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отд"&amp;"елен от него ")</f>
        <v>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отделен от него </v>
      </c>
    </row>
    <row r="975">
      <c r="A975" s="35" t="s">
        <v>2170</v>
      </c>
      <c r="B975" s="31" t="s">
        <v>2171</v>
      </c>
      <c r="C975" s="31" t="s">
        <v>2172</v>
      </c>
      <c r="D975" s="37" t="s">
        <v>14</v>
      </c>
      <c r="E975" s="38">
        <v>2.0</v>
      </c>
      <c r="F975" s="39">
        <v>0.2</v>
      </c>
      <c r="G975" s="11">
        <v>7058.0</v>
      </c>
      <c r="H975" s="34" t="str">
        <f>IFERROR(__xludf.DUMMYFUNCTION("LOWER(REGEXREPLACE(B975&amp;"" ""&amp;C975,""[^а-яa-z0-9 ]"","" ""))"),"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ш"&amp;"ара   24 мм   ысота стойки   300 мм   нутренний диаметр кольца   24 1 мм ")</f>
        <v>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шара   24 мм   ысота стойки   300 мм   нутренний диаметр кольца   24 1 мм </v>
      </c>
    </row>
    <row r="976">
      <c r="A976" s="35" t="s">
        <v>2173</v>
      </c>
      <c r="B976" s="31" t="s">
        <v>2174</v>
      </c>
      <c r="C976" s="31"/>
      <c r="D976" s="37" t="s">
        <v>14</v>
      </c>
      <c r="E976" s="10"/>
      <c r="F976" s="36"/>
      <c r="G976" s="11"/>
      <c r="H976" s="34" t="str">
        <f>IFERROR(__xludf.DUMMYFUNCTION("LOWER(REGEXREPLACE(B976&amp;"" ""&amp;C976,""[^а-яa-z0-9 ]"","" ""))")," мперметр ")</f>
        <v> мперметр </v>
      </c>
    </row>
    <row r="977">
      <c r="A977" s="35" t="s">
        <v>2175</v>
      </c>
      <c r="B977" s="31" t="s">
        <v>2176</v>
      </c>
      <c r="C977" s="31" t="s">
        <v>2177</v>
      </c>
      <c r="D977" s="37" t="s">
        <v>14</v>
      </c>
      <c r="E977" s="38">
        <v>2.0</v>
      </c>
      <c r="F977" s="40">
        <v>0.16</v>
      </c>
      <c r="G977" s="11">
        <v>5225.0</v>
      </c>
      <c r="H977" s="34" t="str">
        <f>IFERROR(__xludf.DUMMYFUNCTION("LOWER(REGEXREPLACE(B977&amp;"" ""&amp;C977,""[^а-яa-z0-9 ]"","" ""))"),"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пластмассовый"&amp;"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f>
        <v>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v>
      </c>
    </row>
    <row r="978">
      <c r="A978" s="35" t="s">
        <v>2178</v>
      </c>
      <c r="B978" s="31" t="s">
        <v>2179</v>
      </c>
      <c r="C978" s="31" t="s">
        <v>2180</v>
      </c>
      <c r="D978" s="37" t="s">
        <v>14</v>
      </c>
      <c r="E978" s="38">
        <v>2.0</v>
      </c>
      <c r="F978" s="40">
        <v>0.16</v>
      </c>
      <c r="G978" s="11">
        <v>3508.0</v>
      </c>
      <c r="H978" s="34" t="str">
        <f>IFERROR(__xludf.DUMMYFUNCTION("LOWER(REGEXREPLACE(B978&amp;"" ""&amp;C978,""[^а-яa-z0-9 ]"","" ""))")," мперметр аналоговый лабораторный   иапазон измерения  0 6   и 3    иапазон измерения  0 6   и 3     ена деления шкалы на первом пределе   0 02    на втором  0 1   ")</f>
        <v> мперметр аналоговый лабораторный   иапазон измерения  0 6   и 3    иапазон измерения  0 6   и 3     ена деления шкалы на первом пределе   0 02    на втором  0 1   </v>
      </c>
    </row>
    <row r="979">
      <c r="A979" s="35" t="s">
        <v>2181</v>
      </c>
      <c r="B979" s="31" t="s">
        <v>2182</v>
      </c>
      <c r="C979" s="31"/>
      <c r="D979" s="37" t="s">
        <v>14</v>
      </c>
      <c r="E979" s="38">
        <v>2.0</v>
      </c>
      <c r="F979" s="40">
        <v>1.15</v>
      </c>
      <c r="G979" s="11">
        <v>36156.0</v>
      </c>
      <c r="H979" s="34" t="str">
        <f>IFERROR(__xludf.DUMMYFUNCTION("LOWER(REGEXREPLACE(B979&amp;"" ""&amp;C979,""[^а-яa-z0-9 ]"","" ""))")," мпервольтметр аналоговый с гальвонометром ")</f>
        <v> мпервольтметр аналоговый с гальвонометром </v>
      </c>
    </row>
    <row r="980">
      <c r="A980" s="35" t="s">
        <v>2183</v>
      </c>
      <c r="B980" s="31" t="s">
        <v>2184</v>
      </c>
      <c r="C980" s="31"/>
      <c r="D980" s="37" t="s">
        <v>14</v>
      </c>
      <c r="E980" s="38">
        <v>2.0</v>
      </c>
      <c r="F980" s="40">
        <v>1.25</v>
      </c>
      <c r="G980" s="11">
        <v>36156.0</v>
      </c>
      <c r="H980" s="34" t="str">
        <f>IFERROR(__xludf.DUMMYFUNCTION("LOWER(REGEXREPLACE(B980&amp;"" ""&amp;C980,""[^а-яa-z0-9 ]"","" ""))")," мпервольтметр аналоговый для постоянного и переменного тока демонстрационный ")</f>
        <v> мпервольтметр аналоговый для постоянного и переменного тока демонстрационный </v>
      </c>
    </row>
    <row r="981">
      <c r="A981" s="35" t="s">
        <v>2185</v>
      </c>
      <c r="B981" s="31" t="s">
        <v>2186</v>
      </c>
      <c r="C981" s="31" t="s">
        <v>2187</v>
      </c>
      <c r="D981" s="37" t="s">
        <v>14</v>
      </c>
      <c r="E981" s="38">
        <v>2.0</v>
      </c>
      <c r="F981" s="40">
        <v>0.16</v>
      </c>
      <c r="G981" s="11">
        <v>3508.0</v>
      </c>
      <c r="H981" s="34" t="str">
        <f>IFERROR(__xludf.DUMMYFUNCTION("LOWER(REGEXREPLACE(B981&amp;"" ""&amp;C981,""[^а-яa-z0-9 ]"","" ""))"),"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f>
        <v>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v>
      </c>
    </row>
    <row r="982">
      <c r="A982" s="35" t="s">
        <v>2188</v>
      </c>
      <c r="B982" s="31" t="s">
        <v>2189</v>
      </c>
      <c r="C982" s="31" t="s">
        <v>2190</v>
      </c>
      <c r="D982" s="37" t="s">
        <v>14</v>
      </c>
      <c r="E982" s="38">
        <v>2.0</v>
      </c>
      <c r="F982" s="39">
        <v>0.3</v>
      </c>
      <c r="G982" s="11">
        <v>7077.0</v>
      </c>
      <c r="H982" s="34" t="str">
        <f>IFERROR(__xludf.DUMMYFUNCTION("LOWER(REGEXREPLACE(B982&amp;"" ""&amp;C982,""[^а-яa-z0-9 ]"","" ""))"),"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f>
        <v>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v>
      </c>
    </row>
    <row r="983">
      <c r="A983" s="35" t="s">
        <v>2191</v>
      </c>
      <c r="B983" s="31" t="s">
        <v>2192</v>
      </c>
      <c r="C983" s="31" t="s">
        <v>2193</v>
      </c>
      <c r="D983" s="37" t="s">
        <v>14</v>
      </c>
      <c r="E983" s="38">
        <v>2.0</v>
      </c>
      <c r="F983" s="40">
        <v>0.29</v>
      </c>
      <c r="G983" s="11">
        <v>4306.0</v>
      </c>
      <c r="H983" s="34" t="str">
        <f>IFERROR(__xludf.DUMMYFUNCTION("LOWER(REGEXREPLACE(B983&amp;"" ""&amp;C983,""[^а-яa-z0-9 ]"","" ""))"),"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магнитоэлектри"&amp;"ческой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стрелочн"&amp;"ым  указателем   кала равномерная с двойной оцифровкой   ласс точности  2 5")</f>
        <v>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стрелочным  указателем   кала равномерная с двойной оцифровкой   ласс точности  2 5</v>
      </c>
    </row>
    <row r="984">
      <c r="A984" s="35" t="s">
        <v>2194</v>
      </c>
      <c r="B984" s="31" t="s">
        <v>2195</v>
      </c>
      <c r="C984" s="31"/>
      <c r="D984" s="37" t="s">
        <v>14</v>
      </c>
      <c r="E984" s="10"/>
      <c r="F984" s="36"/>
      <c r="G984" s="11"/>
      <c r="H984" s="34" t="str">
        <f>IFERROR(__xludf.DUMMYFUNCTION("LOWER(REGEXREPLACE(B984&amp;"" ""&amp;C984,""[^а-яa-z0-9 ]"","" ""))")," ольтметр ")</f>
        <v> ольтметр </v>
      </c>
    </row>
    <row r="985">
      <c r="A985" s="35" t="s">
        <v>2196</v>
      </c>
      <c r="B985" s="31" t="s">
        <v>2197</v>
      </c>
      <c r="C985" s="31"/>
      <c r="D985" s="37" t="s">
        <v>14</v>
      </c>
      <c r="E985" s="10"/>
      <c r="F985" s="36"/>
      <c r="G985" s="11">
        <v>7041.0</v>
      </c>
      <c r="H985" s="34" t="str">
        <f>IFERROR(__xludf.DUMMYFUNCTION("LOWER(REGEXREPLACE(B985&amp;"" ""&amp;C985,""[^а-яa-z0-9 ]"","" ""))")," ольтметр лабораторный 0 до 15  ")</f>
        <v> ольтметр лабораторный 0 до 15  </v>
      </c>
    </row>
    <row r="986">
      <c r="A986" s="35" t="s">
        <v>2198</v>
      </c>
      <c r="B986" s="31" t="s">
        <v>2199</v>
      </c>
      <c r="C986" s="31" t="s">
        <v>2200</v>
      </c>
      <c r="D986" s="37" t="s">
        <v>14</v>
      </c>
      <c r="E986" s="38">
        <v>2.0</v>
      </c>
      <c r="F986" s="40">
        <v>0.16</v>
      </c>
      <c r="G986" s="11">
        <v>3508.0</v>
      </c>
      <c r="H986" s="34" t="str">
        <f>IFERROR(__xludf.DUMMYFUNCTION("LOWER(REGEXREPLACE(B986&amp;"" ""&amp;C986,""[^а-яa-z0-9 ]"","" ""))")," ольтметр аналоговый лабораторный   иапазон измерения  3   и 15    иапазон измерения  3   и 15     ена деления шкалы напервом пределе   0 1    на втором   0 5   ")</f>
        <v> ольтметр аналоговый лабораторный   иапазон измерения  3   и 15    иапазон измерения  3   и 15     ена деления шкалы напервом пределе   0 1    на втором   0 5   </v>
      </c>
    </row>
    <row r="987">
      <c r="A987" s="35" t="s">
        <v>2201</v>
      </c>
      <c r="B987" s="31" t="s">
        <v>2202</v>
      </c>
      <c r="C987" s="31"/>
      <c r="D987" s="37" t="s">
        <v>14</v>
      </c>
      <c r="E987" s="10"/>
      <c r="F987" s="36"/>
      <c r="G987" s="11"/>
      <c r="H987" s="34" t="str">
        <f>IFERROR(__xludf.DUMMYFUNCTION("LOWER(REGEXREPLACE(B987&amp;"" ""&amp;C987,""[^а-яa-z0-9 ]"","" ""))")," ыключатель однополюсный ")</f>
        <v> ыключатель однополюсный </v>
      </c>
    </row>
    <row r="988">
      <c r="A988" s="35" t="s">
        <v>2203</v>
      </c>
      <c r="B988" s="31" t="s">
        <v>2204</v>
      </c>
      <c r="C988" s="31" t="s">
        <v>2205</v>
      </c>
      <c r="D988" s="37" t="s">
        <v>14</v>
      </c>
      <c r="E988" s="38">
        <v>2.0</v>
      </c>
      <c r="F988" s="42">
        <v>0.095</v>
      </c>
      <c r="G988" s="11">
        <v>585.0</v>
      </c>
      <c r="H988" s="34" t="str">
        <f>IFERROR(__xludf.DUMMYFUNCTION("LOWER(REGEXREPLACE(B988&amp;"" ""&amp;C988,""[^а-яa-z0-9 ]"","" ""))"),"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упругие"&amp;" губки и универсальные зажимы   аксимальное напряжение 36    сила тока 6   ")</f>
        <v>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 губки и универсальные зажимы   аксимальное напряжение 36    сила тока 6   </v>
      </c>
    </row>
    <row r="989">
      <c r="A989" s="35" t="s">
        <v>2206</v>
      </c>
      <c r="B989" s="31" t="s">
        <v>2207</v>
      </c>
      <c r="C989" s="31" t="s">
        <v>2208</v>
      </c>
      <c r="D989" s="37" t="s">
        <v>14</v>
      </c>
      <c r="E989" s="38">
        <v>2.0</v>
      </c>
      <c r="F989" s="39">
        <v>0.2</v>
      </c>
      <c r="G989" s="11">
        <v>1395.0</v>
      </c>
      <c r="H989" s="34" t="str">
        <f>IFERROR(__xludf.DUMMYFUNCTION("LOWER(REGEXREPLACE(B989&amp;"" ""&amp;C989,""[^а-яa-z0-9 ]"","" ""))"),"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"&amp;"измерения от 0 до 2 5    ена деления  0 1    меется шкала для измерения массы от 0 до 250 гр с ценой деления 10 гр   зготовлен из пластика ")</f>
        <v>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измерения от 0 до 2 5    ена деления  0 1    меется шкала для измерения массы от 0 до 250 гр с ценой деления 10 гр   зготовлен из пластика </v>
      </c>
    </row>
    <row r="990">
      <c r="A990" s="35" t="s">
        <v>2209</v>
      </c>
      <c r="B990" s="31" t="s">
        <v>2210</v>
      </c>
      <c r="C990" s="31"/>
      <c r="D990" s="37" t="s">
        <v>68</v>
      </c>
      <c r="E990" s="10"/>
      <c r="F990" s="36"/>
      <c r="G990" s="11"/>
      <c r="H990" s="34" t="str">
        <f>IFERROR(__xludf.DUMMYFUNCTION("LOWER(REGEXREPLACE(B990&amp;"" ""&amp;C990,""[^а-яa-z0-9 ]"","" ""))")," омплект блоков ")</f>
        <v> омплект блоков </v>
      </c>
    </row>
    <row r="991">
      <c r="A991" s="35" t="s">
        <v>2211</v>
      </c>
      <c r="B991" s="31" t="s">
        <v>2212</v>
      </c>
      <c r="C991" s="31"/>
      <c r="D991" s="37" t="s">
        <v>68</v>
      </c>
      <c r="E991" s="10"/>
      <c r="F991" s="36"/>
      <c r="G991" s="11">
        <v>2518.0</v>
      </c>
      <c r="H991" s="34" t="str">
        <f>IFERROR(__xludf.DUMMYFUNCTION("LOWER(REGEXREPLACE(B991&amp;"" ""&amp;C991,""[^а-яa-z0-9 ]"","" ""))")," омплект блоков лабораторных ")</f>
        <v> омплект блоков лабораторных </v>
      </c>
    </row>
    <row r="992">
      <c r="A992" s="35" t="s">
        <v>2213</v>
      </c>
      <c r="B992" s="31" t="s">
        <v>2214</v>
      </c>
      <c r="C992" s="31" t="s">
        <v>2215</v>
      </c>
      <c r="D992" s="37" t="s">
        <v>68</v>
      </c>
      <c r="E992" s="10"/>
      <c r="F992" s="40">
        <v>0.39</v>
      </c>
      <c r="G992" s="11">
        <v>4678.0</v>
      </c>
      <c r="H992" s="34" t="str">
        <f>IFERROR(__xludf.DUMMYFUNCTION("LOWER(REGEXREPLACE(B992&amp;"" ""&amp;C992,""[^а-яa-z0-9 ]"","" ""))"),"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f>
        <v>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v>
      </c>
    </row>
    <row r="993">
      <c r="A993" s="35" t="s">
        <v>2216</v>
      </c>
      <c r="B993" s="31" t="s">
        <v>2217</v>
      </c>
      <c r="C993" s="31"/>
      <c r="D993" s="37" t="s">
        <v>68</v>
      </c>
      <c r="E993" s="10"/>
      <c r="F993" s="36"/>
      <c r="G993" s="11">
        <v>2473.0</v>
      </c>
      <c r="H993" s="34" t="str">
        <f>IFERROR(__xludf.DUMMYFUNCTION("LOWER(REGEXREPLACE(B993&amp;"" ""&amp;C993,""[^а-яa-z0-9 ]"","" ""))")," омплект соединительных проводов ")</f>
        <v> омплект соединительных проводов </v>
      </c>
    </row>
    <row r="994">
      <c r="A994" s="35" t="s">
        <v>2218</v>
      </c>
      <c r="B994" s="31" t="s">
        <v>2219</v>
      </c>
      <c r="C994" s="31" t="s">
        <v>2220</v>
      </c>
      <c r="D994" s="37" t="s">
        <v>14</v>
      </c>
      <c r="E994" s="10"/>
      <c r="F994" s="40">
        <v>0.04</v>
      </c>
      <c r="G994" s="11">
        <v>630.0</v>
      </c>
      <c r="H994" s="34" t="str">
        <f>IFERROR(__xludf.DUMMYFUNCTION("LOWER(REGEXREPLACE(B994&amp;"" ""&amp;C994,""[^а-яa-z0-9 ]"","" ""))")," ержатель миниатюрный ламповый   качестве осветителя  ламповый держатель используется лампочка накаливания напряжением до 30   и силы тока до 3   ")</f>
        <v> ержатель миниатюрный ламповый   качестве осветителя  ламповый держатель используется лампочка накаливания напряжением до 30   и силы тока до 3   </v>
      </c>
    </row>
    <row r="995">
      <c r="A995" s="35" t="s">
        <v>2221</v>
      </c>
      <c r="B995" s="31" t="s">
        <v>2222</v>
      </c>
      <c r="C995" s="31" t="s">
        <v>2223</v>
      </c>
      <c r="D995" s="37" t="s">
        <v>14</v>
      </c>
      <c r="E995" s="10"/>
      <c r="F995" s="36"/>
      <c r="G995" s="11">
        <v>1079.0</v>
      </c>
      <c r="H995" s="34" t="str">
        <f>IFERROR(__xludf.DUMMYFUNCTION("LOWER(REGEXREPLACE(B995&amp;"" ""&amp;C995,""[^а-яa-z0-9 ]"","" ""))")," инза на подставке  инза изготовлена из стекла и имеет  вогнутую поверхность   акреплена в пластмассовой оправе и установлена на подставке   иаметр 50 мм ")</f>
        <v> инза на подставке  инза изготовлена из стекла и имеет  вогнутую поверхность   акреплена в пластмассовой оправе и установлена на подставке   иаметр 50 мм </v>
      </c>
    </row>
    <row r="996">
      <c r="A996" s="35" t="s">
        <v>2224</v>
      </c>
      <c r="B996" s="31" t="s">
        <v>2225</v>
      </c>
      <c r="C996" s="31" t="s">
        <v>2226</v>
      </c>
      <c r="D996" s="37" t="s">
        <v>14</v>
      </c>
      <c r="E996" s="10"/>
      <c r="F996" s="36"/>
      <c r="G996" s="11">
        <v>1799.0</v>
      </c>
      <c r="H996" s="34" t="str">
        <f>IFERROR(__xludf.DUMMYFUNCTION("LOWER(REGEXREPLACE(B996&amp;"" ""&amp;C996,""[^а-яa-z0-9 ]"","" ""))"),"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азнои"&amp;"менные полюса магнитов замкнуты пластиной из мягкой стали ")</f>
        <v>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азноименные полюса магнитов замкнуты пластиной из мягкой стали </v>
      </c>
    </row>
    <row r="997">
      <c r="A997" s="35" t="s">
        <v>2227</v>
      </c>
      <c r="B997" s="31" t="s">
        <v>2228</v>
      </c>
      <c r="C997" s="31" t="s">
        <v>2229</v>
      </c>
      <c r="D997" s="37" t="s">
        <v>14</v>
      </c>
      <c r="E997" s="10"/>
      <c r="F997" s="36"/>
      <c r="G997" s="11">
        <v>1799.0</v>
      </c>
      <c r="H997" s="34" t="str">
        <f>IFERROR(__xludf.DUMMYFUNCTION("LOWER(REGEXREPLACE(B997&amp;"" ""&amp;C997,""[^а-яa-z0-9 ]"","" ""))")," агнит полосовой  еверный полюс каждого магнита окрашен в синий цвет  южный   в красный   араметры магнитного потока  не более 0 05  ")</f>
        <v> агнит полосовой  еверный полюс каждого магнита окрашен в синий цвет  южный   в красный   араметры магнитного потока  не более 0 05  </v>
      </c>
    </row>
    <row r="998">
      <c r="A998" s="35" t="s">
        <v>2230</v>
      </c>
      <c r="B998" s="31" t="s">
        <v>2231</v>
      </c>
      <c r="C998" s="31"/>
      <c r="D998" s="37" t="s">
        <v>14</v>
      </c>
      <c r="E998" s="10"/>
      <c r="F998" s="36"/>
      <c r="G998" s="11"/>
      <c r="H998" s="34" t="str">
        <f>IFERROR(__xludf.DUMMYFUNCTION("LOWER(REGEXREPLACE(B998&amp;"" ""&amp;C998,""[^а-яa-z0-9 ]"","" ""))")," одель электродвигателя ")</f>
        <v> одель электродвигателя </v>
      </c>
    </row>
    <row r="999">
      <c r="A999" s="35" t="s">
        <v>2232</v>
      </c>
      <c r="B999" s="31" t="s">
        <v>2233</v>
      </c>
      <c r="C999" s="31"/>
      <c r="D999" s="37" t="s">
        <v>14</v>
      </c>
      <c r="E999" s="10"/>
      <c r="F999" s="36"/>
      <c r="G999" s="11">
        <v>6709.0</v>
      </c>
      <c r="H999" s="34" t="str">
        <f>IFERROR(__xludf.DUMMYFUNCTION("LOWER(REGEXREPLACE(B999&amp;"" ""&amp;C999,""[^а-яa-z0-9 ]"","" ""))")," одель электродвигателя  разборная  лабораторная ")</f>
        <v> одель электродвигателя  разборная  лабораторная </v>
      </c>
    </row>
    <row r="1000">
      <c r="A1000" s="35" t="s">
        <v>2234</v>
      </c>
      <c r="B1000" s="31" t="s">
        <v>2235</v>
      </c>
      <c r="C1000" s="31"/>
      <c r="D1000" s="37" t="s">
        <v>14</v>
      </c>
      <c r="E1000" s="38">
        <v>2.0</v>
      </c>
      <c r="F1000" s="39">
        <v>0.2</v>
      </c>
      <c r="G1000" s="11">
        <v>23274.0</v>
      </c>
      <c r="H1000" s="34" t="str">
        <f>IFERROR(__xludf.DUMMYFUNCTION("LOWER(REGEXREPLACE(B1000&amp;"" ""&amp;C1000,""[^а-яa-z0-9 ]"","" ""))")," одель электродвигателя  разборная  лабораторная типа  ornelsen  xperimenta 54835 ")</f>
        <v> одель электродвигателя  разборная  лабораторная типа  ornelsen  xperimenta 54835 </v>
      </c>
    </row>
    <row r="1001">
      <c r="A1001" s="35" t="s">
        <v>2236</v>
      </c>
      <c r="B1001" s="31" t="s">
        <v>2237</v>
      </c>
      <c r="C1001" s="31"/>
      <c r="D1001" s="37" t="s">
        <v>14</v>
      </c>
      <c r="E1001" s="38">
        <v>2.0</v>
      </c>
      <c r="F1001" s="40">
        <v>0.44</v>
      </c>
      <c r="G1001" s="11">
        <v>9354.0</v>
      </c>
      <c r="H1001" s="34" t="str">
        <f>IFERROR(__xludf.DUMMYFUNCTION("LOWER(REGEXREPLACE(B1001&amp;"" ""&amp;C1001,""[^а-яa-z0-9 ]"","" ""))")," одель электродвигателя лабораторная ")</f>
        <v> одель электродвигателя лабораторная </v>
      </c>
    </row>
    <row r="1002">
      <c r="A1002" s="35" t="s">
        <v>2238</v>
      </c>
      <c r="B1002" s="31" t="s">
        <v>2239</v>
      </c>
      <c r="C1002" s="31"/>
      <c r="D1002" s="37" t="s">
        <v>68</v>
      </c>
      <c r="E1002" s="10"/>
      <c r="F1002" s="36"/>
      <c r="G1002" s="11"/>
      <c r="H1002" s="34" t="str">
        <f>IFERROR(__xludf.DUMMYFUNCTION("LOWER(REGEXREPLACE(B1002&amp;"" ""&amp;C1002,""[^а-яa-z0-9 ]"","" ""))")," абор грузов ")</f>
        <v> абор грузов </v>
      </c>
    </row>
    <row r="1003">
      <c r="A1003" s="35" t="s">
        <v>2240</v>
      </c>
      <c r="B1003" s="31" t="s">
        <v>2241</v>
      </c>
      <c r="C1003" s="31" t="s">
        <v>2242</v>
      </c>
      <c r="D1003" s="37" t="s">
        <v>1507</v>
      </c>
      <c r="E1003" s="38">
        <v>2.0</v>
      </c>
      <c r="F1003" s="38">
        <v>1.0</v>
      </c>
      <c r="G1003" s="11">
        <v>6964.0</v>
      </c>
      <c r="H1003" s="34" t="str">
        <f>IFERROR(__xludf.DUMMYFUNCTION("LOWER(REGEXREPLACE(B1003&amp;"" ""&amp;C1003,""[^а-яa-z0-9 ]"","" ""))"),"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"&amp;"снабжены крючками для подвешивания и соединения между собой ")</f>
        <v>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снабжены крючками для подвешивания и соединения между собой </v>
      </c>
    </row>
    <row r="1004">
      <c r="A1004" s="35" t="s">
        <v>2243</v>
      </c>
      <c r="B1004" s="31" t="s">
        <v>2244</v>
      </c>
      <c r="C1004" s="31" t="s">
        <v>2245</v>
      </c>
      <c r="D1004" s="37" t="s">
        <v>1507</v>
      </c>
      <c r="E1004" s="38">
        <v>2.0</v>
      </c>
      <c r="F1004" s="39">
        <v>2.2</v>
      </c>
      <c r="G1004" s="11">
        <v>2931.0</v>
      </c>
      <c r="H1004" s="34" t="str">
        <f>IFERROR(__xludf.DUMMYFUNCTION("LOWER(REGEXREPLACE(B1004&amp;"" ""&amp;C1004,""[^а-яa-z0-9 ]"","" ""))"),"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f>
        <v>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v>
      </c>
    </row>
    <row r="1005">
      <c r="A1005" s="35" t="s">
        <v>2246</v>
      </c>
      <c r="B1005" s="31" t="s">
        <v>2247</v>
      </c>
      <c r="C1005" s="31" t="s">
        <v>2248</v>
      </c>
      <c r="D1005" s="37" t="s">
        <v>1507</v>
      </c>
      <c r="E1005" s="38">
        <v>2.0</v>
      </c>
      <c r="F1005" s="39">
        <v>0.2</v>
      </c>
      <c r="G1005" s="11">
        <v>4677.0</v>
      </c>
      <c r="H1005" s="34" t="str">
        <f>IFERROR(__xludf.DUMMYFUNCTION("LOWER(REGEXREPLACE(B1005&amp;"" ""&amp;C1005,""[^а-яa-z0-9 ]"","" ""))"),"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f>
        <v>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v>
      </c>
    </row>
    <row r="1006">
      <c r="A1006" s="35" t="s">
        <v>2249</v>
      </c>
      <c r="B1006" s="31" t="s">
        <v>2250</v>
      </c>
      <c r="C1006" s="31"/>
      <c r="D1006" s="37" t="s">
        <v>1507</v>
      </c>
      <c r="E1006" s="10"/>
      <c r="F1006" s="36"/>
      <c r="G1006" s="11"/>
      <c r="H1006" s="34" t="str">
        <f>IFERROR(__xludf.DUMMYFUNCTION("LOWER(REGEXREPLACE(B1006&amp;"" ""&amp;C1006,""[^а-яa-z0-9 ]"","" ""))")," абор тел равного объема ")</f>
        <v> абор тел равного объема </v>
      </c>
    </row>
    <row r="1007">
      <c r="A1007" s="35" t="s">
        <v>2251</v>
      </c>
      <c r="B1007" s="31" t="s">
        <v>2250</v>
      </c>
      <c r="C1007" s="31" t="s">
        <v>2252</v>
      </c>
      <c r="D1007" s="37" t="s">
        <v>1507</v>
      </c>
      <c r="E1007" s="38">
        <v>2.0</v>
      </c>
      <c r="F1007" s="40">
        <v>0.24</v>
      </c>
      <c r="G1007" s="11">
        <v>3558.0</v>
      </c>
      <c r="H1007" s="34" t="str">
        <f>IFERROR(__xludf.DUMMYFUNCTION("LOWER(REGEXREPLACE(B1007&amp;"" ""&amp;C1007,""[^а-яa-z0-9 ]"","" ""))")," абор тел равного объема  абор состоит из прямоугольных брусков из стали  алюминия и пластмассы одинакового размера ")</f>
        <v> абор тел равного объема  абор состоит из прямоугольных брусков из стали  алюминия и пластмассы одинакового размера </v>
      </c>
    </row>
    <row r="1008">
      <c r="A1008" s="35" t="s">
        <v>2253</v>
      </c>
      <c r="B1008" s="31" t="s">
        <v>2254</v>
      </c>
      <c r="C1008" s="31"/>
      <c r="D1008" s="37" t="s">
        <v>1507</v>
      </c>
      <c r="E1008" s="38">
        <v>2.0</v>
      </c>
      <c r="F1008" s="39">
        <v>0.3</v>
      </c>
      <c r="G1008" s="11">
        <v>28778.0</v>
      </c>
      <c r="H1008" s="34" t="str">
        <f>IFERROR(__xludf.DUMMYFUNCTION("LOWER(REGEXREPLACE(B1008&amp;"" ""&amp;C1008,""[^а-яa-z0-9 ]"","" ""))")," абор тел равного объема типа  ornelsen  xperimenta 41231 ")</f>
        <v> абор тел равного объема типа  ornelsen  xperimenta 41231 </v>
      </c>
    </row>
    <row r="1009">
      <c r="A1009" s="35" t="s">
        <v>2255</v>
      </c>
      <c r="B1009" s="31" t="s">
        <v>2256</v>
      </c>
      <c r="C1009" s="31"/>
      <c r="D1009" s="37" t="s">
        <v>1507</v>
      </c>
      <c r="E1009" s="10"/>
      <c r="F1009" s="36"/>
      <c r="G1009" s="11"/>
      <c r="H1009" s="34" t="str">
        <f>IFERROR(__xludf.DUMMYFUNCTION("LOWER(REGEXREPLACE(B1009&amp;"" ""&amp;C1009,""[^а-яa-z0-9 ]"","" ""))")," абор тел равной массы ")</f>
        <v> абор тел равной массы </v>
      </c>
    </row>
    <row r="1010">
      <c r="A1010" s="35" t="s">
        <v>2257</v>
      </c>
      <c r="B1010" s="31" t="s">
        <v>2256</v>
      </c>
      <c r="C1010" s="31" t="s">
        <v>2258</v>
      </c>
      <c r="D1010" s="37" t="s">
        <v>1507</v>
      </c>
      <c r="E1010" s="10"/>
      <c r="F1010" s="40">
        <v>0.24</v>
      </c>
      <c r="G1010" s="11">
        <v>4308.0</v>
      </c>
      <c r="H1010" s="34" t="str">
        <f>IFERROR(__xludf.DUMMYFUNCTION("LOWER(REGEXREPLACE(B1010&amp;"" ""&amp;C1010,""[^а-яa-z0-9 ]"","" ""))")," абор тел равной массы  абор состоит из прямоугольных брусков из стали  алюминия и пластмассы одинакового основания и массы 100 г ")</f>
        <v> абор тел равной массы  абор состоит из прямоугольных брусков из стали  алюминия и пластмассы одинакового основания и массы 100 г </v>
      </c>
    </row>
    <row r="1011">
      <c r="A1011" s="35" t="s">
        <v>2259</v>
      </c>
      <c r="B1011" s="31" t="s">
        <v>2260</v>
      </c>
      <c r="C1011" s="31"/>
      <c r="D1011" s="37" t="s">
        <v>1507</v>
      </c>
      <c r="E1011" s="38">
        <v>2.0</v>
      </c>
      <c r="F1011" s="40">
        <v>0.15</v>
      </c>
      <c r="G1011" s="11">
        <v>32079.0</v>
      </c>
      <c r="H1011" s="34" t="str">
        <f>IFERROR(__xludf.DUMMYFUNCTION("LOWER(REGEXREPLACE(B1011&amp;"" ""&amp;C1011,""[^а-яa-z0-9 ]"","" ""))")," абор тел равной массы типа  ornelsen  xperimenta 41235 44282 ")</f>
        <v> абор тел равной массы типа  ornelsen  xperimenta 41235 44282 </v>
      </c>
    </row>
    <row r="1012">
      <c r="A1012" s="35" t="s">
        <v>2261</v>
      </c>
      <c r="B1012" s="31" t="s">
        <v>2262</v>
      </c>
      <c r="C1012" s="31"/>
      <c r="D1012" s="37" t="s">
        <v>14</v>
      </c>
      <c r="E1012" s="10"/>
      <c r="F1012" s="36"/>
      <c r="G1012" s="11"/>
      <c r="H1012" s="34" t="str">
        <f>IFERROR(__xludf.DUMMYFUNCTION("LOWER(REGEXREPLACE(B1012&amp;"" ""&amp;C1012,""[^а-яa-z0-9 ]"","" ""))")," рибометр лабораторный ")</f>
        <v> рибометр лабораторный </v>
      </c>
    </row>
    <row r="1013">
      <c r="A1013" s="35" t="s">
        <v>2263</v>
      </c>
      <c r="B1013" s="31" t="s">
        <v>2262</v>
      </c>
      <c r="C1013" s="31" t="s">
        <v>2264</v>
      </c>
      <c r="D1013" s="37" t="s">
        <v>14</v>
      </c>
      <c r="E1013" s="38">
        <v>2.0</v>
      </c>
      <c r="F1013" s="39">
        <v>0.3</v>
      </c>
      <c r="G1013" s="11">
        <v>4677.0</v>
      </c>
      <c r="H1013" s="34" t="str">
        <f>IFERROR(__xludf.DUMMYFUNCTION("LOWER(REGEXREPLACE(B1013&amp;"" ""&amp;C1013,""[^а-яa-z0-9 ]"","" ""))"),"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коэффициент"&amp;"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f>
        <v>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v>
      </c>
    </row>
    <row r="1014">
      <c r="A1014" s="35" t="s">
        <v>2265</v>
      </c>
      <c r="B1014" s="31" t="s">
        <v>2266</v>
      </c>
      <c r="C1014" s="31" t="s">
        <v>2267</v>
      </c>
      <c r="D1014" s="37" t="s">
        <v>14</v>
      </c>
      <c r="E1014" s="38">
        <v>2.0</v>
      </c>
      <c r="F1014" s="39">
        <v>0.7</v>
      </c>
      <c r="G1014" s="11">
        <v>6888.0</v>
      </c>
      <c r="H1014" s="34" t="str">
        <f>IFERROR(__xludf.DUMMYFUNCTION("LOWER(REGEXREPLACE(B1014&amp;"" ""&amp;C1014,""[^а-яa-z0-9 ]"","" ""))"),"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динамометр"&amp;" 10     1 шт 5   уководство по эксплуатации    1 шт   упаковка")</f>
        <v>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 10     1 шт 5   уководство по эксплуатации    1 шт   упаковка</v>
      </c>
    </row>
    <row r="1015">
      <c r="A1015" s="35" t="s">
        <v>2268</v>
      </c>
      <c r="B1015" s="31" t="s">
        <v>2269</v>
      </c>
      <c r="C1015" s="31"/>
      <c r="D1015" s="37" t="s">
        <v>14</v>
      </c>
      <c r="E1015" s="10"/>
      <c r="F1015" s="36"/>
      <c r="G1015" s="11"/>
      <c r="H1015" s="34" t="str">
        <f>IFERROR(__xludf.DUMMYFUNCTION("LOWER(REGEXREPLACE(B1015&amp;"" ""&amp;C1015,""[^а-яa-z0-9 ]"","" ""))")," иллиамперметр ")</f>
        <v> иллиамперметр </v>
      </c>
    </row>
    <row r="1016">
      <c r="A1016" s="35" t="s">
        <v>2270</v>
      </c>
      <c r="B1016" s="9" t="s">
        <v>2271</v>
      </c>
      <c r="C1016" s="31"/>
      <c r="D1016" s="37" t="s">
        <v>14</v>
      </c>
      <c r="E1016" s="38">
        <v>2.0</v>
      </c>
      <c r="F1016" s="40">
        <v>0.22</v>
      </c>
      <c r="G1016" s="11">
        <v>6846.0</v>
      </c>
      <c r="H1016" s="34" t="str">
        <f>IFERROR(__xludf.DUMMYFUNCTION("LOWER(REGEXREPLACE(B1016&amp;"" ""&amp;C1016,""[^а-яa-z0-9 ]"","" ""))")," иллиамперметр для измерения переменного тока ")</f>
        <v> иллиамперметр для измерения переменного тока </v>
      </c>
    </row>
    <row r="1017">
      <c r="A1017" s="35" t="s">
        <v>2272</v>
      </c>
      <c r="B1017" s="31" t="s">
        <v>2273</v>
      </c>
      <c r="C1017" s="31"/>
      <c r="D1017" s="37" t="s">
        <v>14</v>
      </c>
      <c r="E1017" s="38">
        <v>2.0</v>
      </c>
      <c r="F1017" s="40">
        <v>0.16</v>
      </c>
      <c r="G1017" s="11">
        <v>3328.0</v>
      </c>
      <c r="H1017" s="34" t="str">
        <f>IFERROR(__xludf.DUMMYFUNCTION("LOWER(REGEXREPLACE(B1017&amp;"" ""&amp;C1017,""[^а-яa-z0-9 ]"","" ""))")," иллиамперметр   иапазон измерения 0 100m  ")</f>
        <v> иллиамперметр   иапазон измерения 0 100m  </v>
      </c>
    </row>
    <row r="1018">
      <c r="A1018" s="35" t="s">
        <v>2274</v>
      </c>
      <c r="B1018" s="31" t="s">
        <v>2275</v>
      </c>
      <c r="C1018" s="31"/>
      <c r="D1018" s="37" t="s">
        <v>14</v>
      </c>
      <c r="E1018" s="38">
        <v>2.0</v>
      </c>
      <c r="F1018" s="40">
        <v>0.29</v>
      </c>
      <c r="G1018" s="11">
        <v>4306.0</v>
      </c>
      <c r="H1018" s="34" t="str">
        <f>IFERROR(__xludf.DUMMYFUNCTION("LOWER(REGEXREPLACE(B1018&amp;"" ""&amp;C1018,""[^а-яa-z0-9 ]"","" ""))")," иллиамперметр лабораторный   иапазон измерения  от  5 до  5m  и от  50 до  50m  ")</f>
        <v> иллиамперметр лабораторный   иапазон измерения  от  5 до  5m  и от  50 до  50m  </v>
      </c>
    </row>
    <row r="1019">
      <c r="A1019" s="35" t="s">
        <v>2276</v>
      </c>
      <c r="B1019" s="31" t="s">
        <v>2277</v>
      </c>
      <c r="C1019" s="31"/>
      <c r="D1019" s="37" t="s">
        <v>14</v>
      </c>
      <c r="E1019" s="10"/>
      <c r="F1019" s="36"/>
      <c r="G1019" s="11">
        <v>107.0</v>
      </c>
      <c r="H1019" s="34" t="str">
        <f>IFERROR(__xludf.DUMMYFUNCTION("LOWER(REGEXREPLACE(B1019&amp;"" ""&amp;C1019,""[^а-яa-z0-9 ]"","" ""))")," лемент питания ")</f>
        <v> лемент питания </v>
      </c>
    </row>
    <row r="1020">
      <c r="A1020" s="35" t="s">
        <v>2278</v>
      </c>
      <c r="B1020" s="31" t="s">
        <v>2279</v>
      </c>
      <c r="C1020" s="31" t="s">
        <v>2280</v>
      </c>
      <c r="D1020" s="37" t="s">
        <v>68</v>
      </c>
      <c r="E1020" s="38">
        <v>2.0</v>
      </c>
      <c r="F1020" s="38">
        <v>4.0</v>
      </c>
      <c r="G1020" s="11">
        <v>419370.0</v>
      </c>
      <c r="H1020" s="34" t="str">
        <f>IFERROR(__xludf.DUMMYFUNCTION("LOWER(REGEXREPLACE(B1020&amp;"" ""&amp;C1020,""[^а-яa-z0-9 ]"","" ""))"),"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резонанс"&amp;"ным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"&amp;"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"&amp;"100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диаметром"&amp;" 12 мм и длиной 200 мм  прямоугольный держатель  2 x 60 мл шприца с фиксатором  юэра")</f>
        <v>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 12 мм и длиной 200 мм  прямоугольный держатель  2 x 60 мл шприца с фиксатором  юэра</v>
      </c>
    </row>
    <row r="1021">
      <c r="A1021" s="35" t="s">
        <v>2281</v>
      </c>
      <c r="B1021" s="31" t="s">
        <v>2282</v>
      </c>
      <c r="C1021" s="31" t="s">
        <v>2283</v>
      </c>
      <c r="D1021" s="37" t="s">
        <v>14</v>
      </c>
      <c r="E1021" s="38">
        <v>2.0</v>
      </c>
      <c r="F1021" s="38">
        <v>26.0</v>
      </c>
      <c r="G1021" s="11">
        <v>187063.0</v>
      </c>
      <c r="H1021" s="34" t="str">
        <f>IFERROR(__xludf.DUMMYFUNCTION("LOWER(REGEXREPLACE(B1021&amp;"" ""&amp;C1021,""[^а-яa-z0-9 ]"","" ""))"),"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двухштырьковы"&amp;"е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устро"&amp;"йством защитного отключения и цифровым дисплеем входного напряжения ")</f>
        <v>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устройством защитного отключения и цифровым дисплеем входного напряжения </v>
      </c>
    </row>
    <row r="1022">
      <c r="A1022" s="35" t="s">
        <v>2284</v>
      </c>
      <c r="B1022" s="31" t="s">
        <v>2285</v>
      </c>
      <c r="C1022" s="31" t="s">
        <v>2286</v>
      </c>
      <c r="D1022" s="37" t="s">
        <v>68</v>
      </c>
      <c r="E1022" s="38">
        <v>2.0</v>
      </c>
      <c r="F1022" s="42">
        <v>0.167</v>
      </c>
      <c r="G1022" s="11">
        <v>4677.0</v>
      </c>
      <c r="H1022" s="34" t="str">
        <f>IFERROR(__xludf.DUMMYFUNCTION("LOWER(REGEXREPLACE(B1022&amp;"" ""&amp;C1022,""[^а-яa-z0-9 ]"","" ""))")," омплект соединительных проводов лабораторных   комплекте имеется 10 гибких изолированных проводов разного цвета и длины с наконечниками ")</f>
        <v> омплект соединительных проводов лабораторных   комплекте имеется 10 гибких изолированных проводов разного цвета и длины с наконечниками </v>
      </c>
    </row>
    <row r="1023">
      <c r="A1023" s="35" t="s">
        <v>2287</v>
      </c>
      <c r="B1023" s="31" t="s">
        <v>2288</v>
      </c>
      <c r="C1023" s="31"/>
      <c r="D1023" s="36"/>
      <c r="E1023" s="10"/>
      <c r="F1023" s="36"/>
      <c r="G1023" s="11"/>
      <c r="H1023" s="34" t="str">
        <f>IFERROR(__xludf.DUMMYFUNCTION("LOWER(REGEXREPLACE(B1023&amp;"" ""&amp;C1023,""[^а-яa-z0-9 ]"","" ""))")," елоб ")</f>
        <v> елоб </v>
      </c>
    </row>
    <row r="1024">
      <c r="A1024" s="35" t="s">
        <v>2289</v>
      </c>
      <c r="B1024" s="31" t="s">
        <v>2290</v>
      </c>
      <c r="C1024" s="31" t="s">
        <v>2291</v>
      </c>
      <c r="D1024" s="37" t="s">
        <v>14</v>
      </c>
      <c r="E1024" s="38">
        <v>2.0</v>
      </c>
      <c r="F1024" s="40">
        <v>0.25</v>
      </c>
      <c r="G1024" s="11">
        <v>6434.0</v>
      </c>
      <c r="H1024" s="34" t="str">
        <f>IFERROR(__xludf.DUMMYFUNCTION("LOWER(REGEXREPLACE(B1024&amp;"" ""&amp;C1024,""[^а-яa-z0-9 ]"","" ""))"),"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f>
        <v>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v>
      </c>
    </row>
    <row r="1025">
      <c r="A1025" s="35" t="s">
        <v>2292</v>
      </c>
      <c r="B1025" s="31" t="s">
        <v>2293</v>
      </c>
      <c r="C1025" s="31" t="s">
        <v>2294</v>
      </c>
      <c r="D1025" s="37" t="s">
        <v>14</v>
      </c>
      <c r="E1025" s="38">
        <v>2.0</v>
      </c>
      <c r="F1025" s="40">
        <v>0.07</v>
      </c>
      <c r="G1025" s="11">
        <v>1799.0</v>
      </c>
      <c r="H1025" s="34" t="str">
        <f>IFERROR(__xludf.DUMMYFUNCTION("LOWER(REGEXREPLACE(B1025&amp;"" ""&amp;C1025,""[^а-яa-z0-9 ]"","" ""))"),"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f>
        <v>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v>
      </c>
    </row>
    <row r="1026">
      <c r="A1026" s="35" t="s">
        <v>2295</v>
      </c>
      <c r="B1026" s="31" t="s">
        <v>2296</v>
      </c>
      <c r="C1026" s="31"/>
      <c r="D1026" s="36"/>
      <c r="E1026" s="10"/>
      <c r="F1026" s="36"/>
      <c r="G1026" s="11"/>
      <c r="H1026" s="34" t="str">
        <f>IFERROR(__xludf.DUMMYFUNCTION("LOWER(REGEXREPLACE(B1026&amp;"" ""&amp;C1026,""[^а-яa-z0-9 ]"","" ""))")," алориметр ")</f>
        <v> алориметр </v>
      </c>
    </row>
    <row r="1027">
      <c r="A1027" s="35" t="s">
        <v>2297</v>
      </c>
      <c r="B1027" s="31" t="s">
        <v>2298</v>
      </c>
      <c r="C1027" s="31" t="s">
        <v>2299</v>
      </c>
      <c r="D1027" s="37" t="s">
        <v>14</v>
      </c>
      <c r="E1027" s="38">
        <v>2.0</v>
      </c>
      <c r="F1027" s="40">
        <v>0.24</v>
      </c>
      <c r="G1027" s="11">
        <v>4677.0</v>
      </c>
      <c r="H1027" s="34" t="str">
        <f>IFERROR(__xludf.DUMMYFUNCTION("LOWER(REGEXREPLACE(B1027&amp;"" ""&amp;C1027,""[^а-яa-z0-9 ]"","" ""))"),"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ц"&amp;"епь  отверстия для термометра  стержня для перемещения тел внутри калориметра ")</f>
        <v>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 </v>
      </c>
    </row>
    <row r="1028">
      <c r="A1028" s="35" t="s">
        <v>2300</v>
      </c>
      <c r="B1028" s="31" t="s">
        <v>2301</v>
      </c>
      <c r="C1028" s="31" t="s">
        <v>2302</v>
      </c>
      <c r="D1028" s="37" t="s">
        <v>14</v>
      </c>
      <c r="E1028" s="38">
        <v>2.0</v>
      </c>
      <c r="F1028" s="40">
        <v>0.29</v>
      </c>
      <c r="G1028" s="11">
        <v>4138.0</v>
      </c>
      <c r="H1028" s="34" t="str">
        <f>IFERROR(__xludf.DUMMYFUNCTION("LOWER(REGEXREPLACE(B1028&amp;"" ""&amp;C1028,""[^а-яa-z0-9 ]"","" ""))"),"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звонко"&amp;"вая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"&amp;"электромагнитного реле  сборка и испытание электрического звонка ")</f>
        <v>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 </v>
      </c>
    </row>
    <row r="1029">
      <c r="A1029" s="35" t="s">
        <v>2303</v>
      </c>
      <c r="B1029" s="31" t="s">
        <v>2304</v>
      </c>
      <c r="C1029" s="31"/>
      <c r="D1029" s="36"/>
      <c r="E1029" s="10"/>
      <c r="F1029" s="36"/>
      <c r="G1029" s="11"/>
      <c r="H1029" s="34" t="str">
        <f>IFERROR(__xludf.DUMMYFUNCTION("LOWER(REGEXREPLACE(B1029&amp;"" ""&amp;C1029,""[^а-яa-z0-9 ]"","" ""))")," атушка ")</f>
        <v> атушка </v>
      </c>
    </row>
    <row r="1030">
      <c r="A1030" s="35" t="s">
        <v>2305</v>
      </c>
      <c r="B1030" s="31" t="s">
        <v>2306</v>
      </c>
      <c r="C1030" s="31" t="s">
        <v>2307</v>
      </c>
      <c r="D1030" s="37" t="s">
        <v>14</v>
      </c>
      <c r="E1030" s="38">
        <v>2.0</v>
      </c>
      <c r="F1030" s="42">
        <v>0.156</v>
      </c>
      <c r="G1030" s="11">
        <v>8184.0</v>
      </c>
      <c r="H1030" s="34" t="str">
        <f>IFERROR(__xludf.DUMMYFUNCTION("LOWER(REGEXREPLACE(B1030&amp;"" ""&amp;C1030,""[^а-яa-z0-9 ]"","" ""))"),"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менее"&amp;"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f>
        <v>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v>
      </c>
    </row>
    <row r="1031">
      <c r="A1031" s="35" t="s">
        <v>2308</v>
      </c>
      <c r="B1031" s="31" t="s">
        <v>2309</v>
      </c>
      <c r="C1031" s="31" t="s">
        <v>2310</v>
      </c>
      <c r="D1031" s="37" t="s">
        <v>14</v>
      </c>
      <c r="E1031" s="38">
        <v>2.0</v>
      </c>
      <c r="F1031" s="40">
        <v>0.24</v>
      </c>
      <c r="G1031" s="11">
        <v>11600.0</v>
      </c>
      <c r="H1031" s="34" t="str">
        <f>IFERROR(__xludf.DUMMYFUNCTION("LOWER(REGEXREPLACE(B1031&amp;"" ""&amp;C1031,""[^а-яa-z0-9 ]"","" ""))"),"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ат"&amp;"ушка  омсона   1 шт   плоская катушка на каркасе   1 шт   сердечник из трансформаторной стали   1 шт ")</f>
        <v>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атушка  омсона   1 шт   плоская катушка на каркасе   1 шт   сердечник из трансформаторной стали   1 шт </v>
      </c>
    </row>
    <row r="1032">
      <c r="A1032" s="35" t="s">
        <v>2311</v>
      </c>
      <c r="B1032" s="31" t="s">
        <v>2312</v>
      </c>
      <c r="C1032" s="31" t="s">
        <v>2313</v>
      </c>
      <c r="D1032" s="37" t="s">
        <v>14</v>
      </c>
      <c r="E1032" s="38">
        <v>2.0</v>
      </c>
      <c r="F1032" s="40">
        <v>1.85</v>
      </c>
      <c r="G1032" s="11">
        <v>77795.0</v>
      </c>
      <c r="H1032" s="34" t="str">
        <f>IFERROR(__xludf.DUMMYFUNCTION("LOWER(REGEXREPLACE(B1032&amp;"" ""&amp;C1032,""[^а-яa-z0-9 ]"","" ""))")," рибор для измерения деформации растяжения  рибор состоит из штатива  фиксатора  пружины сострелкой  шкалой с фиксатором  набора грузов по 100 и 50 г ")</f>
        <v> рибор для измерения деформации растяжения  рибор состоит из штатива  фиксатора  пружины сострелкой  шкалой с фиксатором  набора грузов по 100 и 50 г </v>
      </c>
    </row>
    <row r="1033">
      <c r="A1033" s="35" t="s">
        <v>2314</v>
      </c>
      <c r="B1033" s="31" t="s">
        <v>2315</v>
      </c>
      <c r="C1033" s="31"/>
      <c r="D1033" s="36"/>
      <c r="E1033" s="10"/>
      <c r="F1033" s="36"/>
      <c r="G1033" s="11"/>
      <c r="H1033" s="34" t="str">
        <f>IFERROR(__xludf.DUMMYFUNCTION("LOWER(REGEXREPLACE(B1033&amp;"" ""&amp;C1033,""[^а-яa-z0-9 ]"","" ""))")," аттметр лабораторный ")</f>
        <v> аттметр лабораторный </v>
      </c>
    </row>
    <row r="1034">
      <c r="A1034" s="35" t="s">
        <v>2316</v>
      </c>
      <c r="B1034" s="31" t="s">
        <v>2317</v>
      </c>
      <c r="C1034" s="31" t="s">
        <v>2318</v>
      </c>
      <c r="D1034" s="37" t="s">
        <v>14</v>
      </c>
      <c r="E1034" s="38">
        <v>2.0</v>
      </c>
      <c r="F1034" s="40">
        <v>1.15</v>
      </c>
      <c r="G1034" s="11">
        <v>55985.0</v>
      </c>
      <c r="H1034" s="34" t="str">
        <f>IFERROR(__xludf.DUMMYFUNCTION("LOWER(REGEXREPLACE(B1034&amp;"" ""&amp;C1034,""[^а-яa-z0-9 ]"","" ""))"),"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5"&amp;"00m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f>
        <v>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v>
      </c>
    </row>
    <row r="1035">
      <c r="A1035" s="35" t="s">
        <v>2319</v>
      </c>
      <c r="B1035" s="31" t="s">
        <v>2320</v>
      </c>
      <c r="C1035" s="31" t="s">
        <v>2321</v>
      </c>
      <c r="D1035" s="37" t="s">
        <v>14</v>
      </c>
      <c r="E1035" s="38">
        <v>2.0</v>
      </c>
      <c r="F1035" s="39">
        <v>5.8</v>
      </c>
      <c r="G1035" s="11">
        <v>39591.0</v>
      </c>
      <c r="H1035" s="34" t="str">
        <f>IFERROR(__xludf.DUMMYFUNCTION("LOWER(REGEXREPLACE(B1035&amp;"" ""&amp;C1035,""[^а-яa-z0-9 ]"","" ""))"),"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д"&amp;"вижение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с"&amp;"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f>
        <v>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v>
      </c>
    </row>
    <row r="1036">
      <c r="A1036" s="35" t="s">
        <v>2322</v>
      </c>
      <c r="B1036" s="31" t="s">
        <v>2323</v>
      </c>
      <c r="C1036" s="31" t="s">
        <v>2324</v>
      </c>
      <c r="D1036" s="37" t="s">
        <v>1507</v>
      </c>
      <c r="E1036" s="38">
        <v>2.0</v>
      </c>
      <c r="F1036" s="39">
        <v>1.4</v>
      </c>
      <c r="G1036" s="11">
        <v>265654.0</v>
      </c>
      <c r="H1036" s="34" t="str">
        <f>IFERROR(__xludf.DUMMYFUNCTION("LOWER(REGEXREPLACE(B1036&amp;"" ""&amp;C1036,""[^а-яa-z0-9 ]"","" ""))"),"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ре"&amp;"шетками  300 и 600 штрих мм   1 шт   олупроводниковый лазер  1 шт   уководство по эксплуатации")</f>
        <v>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решетками  300 и 600 штрих мм   1 шт   олупроводниковый лазер  1 шт   уководство по эксплуатации</v>
      </c>
    </row>
    <row r="1037">
      <c r="A1037" s="35" t="s">
        <v>2325</v>
      </c>
      <c r="B1037" s="31" t="s">
        <v>2326</v>
      </c>
      <c r="C1037" s="31"/>
      <c r="D1037" s="36"/>
      <c r="E1037" s="10"/>
      <c r="F1037" s="36"/>
      <c r="G1037" s="11"/>
      <c r="H1037" s="34" t="str">
        <f>IFERROR(__xludf.DUMMYFUNCTION("LOWER(REGEXREPLACE(B1037&amp;"" ""&amp;C1037,""[^а-яa-z0-9 ]"","" ""))")," аятник ")</f>
        <v> аятник </v>
      </c>
    </row>
    <row r="1038">
      <c r="A1038" s="35" t="s">
        <v>2327</v>
      </c>
      <c r="B1038" s="31" t="s">
        <v>2328</v>
      </c>
      <c r="C1038" s="31"/>
      <c r="D1038" s="37" t="s">
        <v>14</v>
      </c>
      <c r="E1038" s="38">
        <v>2.0</v>
      </c>
      <c r="F1038" s="39">
        <v>0.8</v>
      </c>
      <c r="G1038" s="11">
        <v>373207.0</v>
      </c>
      <c r="H1038" s="34" t="str">
        <f>IFERROR(__xludf.DUMMYFUNCTION("LOWER(REGEXREPLACE(B1038&amp;"" ""&amp;C1038,""[^а-яa-z0-9 ]"","" ""))")," аятник математический типа  hywe 12972 00 ")</f>
        <v> аятник математический типа  hywe 12972 00 </v>
      </c>
    </row>
    <row r="1039">
      <c r="A1039" s="35" t="s">
        <v>2329</v>
      </c>
      <c r="B1039" s="31" t="s">
        <v>2330</v>
      </c>
      <c r="C1039" s="31"/>
      <c r="D1039" s="37" t="s">
        <v>14</v>
      </c>
      <c r="E1039" s="38">
        <v>2.0</v>
      </c>
      <c r="F1039" s="38">
        <v>2.0</v>
      </c>
      <c r="G1039" s="11">
        <v>1285986.0</v>
      </c>
      <c r="H1039" s="34" t="str">
        <f>IFERROR(__xludf.DUMMYFUNCTION("LOWER(REGEXREPLACE(B1039&amp;"" ""&amp;C1039,""[^а-яa-z0-9 ]"","" ""))")," аятник баллистический  hywe  2131200 ")</f>
        <v> аятник баллистический  hywe  2131200 </v>
      </c>
    </row>
    <row r="1040">
      <c r="A1040" s="35" t="s">
        <v>2331</v>
      </c>
      <c r="B1040" s="31" t="s">
        <v>2332</v>
      </c>
      <c r="C1040" s="31" t="s">
        <v>2333</v>
      </c>
      <c r="D1040" s="37" t="s">
        <v>14</v>
      </c>
      <c r="E1040" s="38">
        <v>2.0</v>
      </c>
      <c r="F1040" s="39">
        <v>1.2</v>
      </c>
      <c r="G1040" s="11">
        <v>8773.0</v>
      </c>
      <c r="H1040" s="34" t="str">
        <f>IFERROR(__xludf.DUMMYFUNCTION("LOWER(REGEXREPLACE(B1040&amp;"" ""&amp;C1040,""[^а-яa-z0-9 ]"","" ""))"),"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пробирк"&amp;"а стеклянная для хранения комплекта с пробкой   1 шт   емонстрация при изучении процесса электризации тел ")</f>
        <v>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пробирка стеклянная для хранения комплекта с пробкой   1 шт   емонстрация при изучении процесса электризации тел </v>
      </c>
    </row>
    <row r="1041">
      <c r="A1041" s="35" t="s">
        <v>2334</v>
      </c>
      <c r="B1041" s="31" t="s">
        <v>2335</v>
      </c>
      <c r="C1041" s="31" t="s">
        <v>2336</v>
      </c>
      <c r="D1041" s="37" t="s">
        <v>14</v>
      </c>
      <c r="E1041" s="38">
        <v>2.0</v>
      </c>
      <c r="F1041" s="39">
        <v>1.5</v>
      </c>
      <c r="G1041" s="11">
        <v>42834.0</v>
      </c>
      <c r="H1041" s="34" t="str">
        <f>IFERROR(__xludf.DUMMYFUNCTION("LOWER(REGEXREPLACE(B1041&amp;"" ""&amp;C1041,""[^а-яa-z0-9 ]"","" ""))"),"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"&amp;"и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f>
        <v>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v>
      </c>
    </row>
    <row r="1042">
      <c r="A1042" s="35" t="s">
        <v>2337</v>
      </c>
      <c r="B1042" s="31" t="s">
        <v>2338</v>
      </c>
      <c r="C1042" s="31" t="s">
        <v>2339</v>
      </c>
      <c r="D1042" s="37" t="s">
        <v>14</v>
      </c>
      <c r="E1042" s="38">
        <v>2.0</v>
      </c>
      <c r="F1042" s="42">
        <v>0.095</v>
      </c>
      <c r="G1042" s="11">
        <v>5891.0</v>
      </c>
      <c r="H1042" s="34" t="str">
        <f>IFERROR(__xludf.DUMMYFUNCTION("LOWER(REGEXREPLACE(B1042&amp;"" ""&amp;C1042,""[^а-яa-z0-9 ]"","" ""))")," атарея солнечная  остоит из кремниевых фотоэлементов  электрического двигателя соединенного с фотоэлементом ")</f>
        <v> атарея солнечная  остоит из кремниевых фотоэлементов  электрического двигателя соединенного с фотоэлементом </v>
      </c>
    </row>
    <row r="1043">
      <c r="A1043" s="35" t="s">
        <v>2340</v>
      </c>
      <c r="B1043" s="31" t="s">
        <v>2341</v>
      </c>
      <c r="C1043" s="31" t="s">
        <v>2342</v>
      </c>
      <c r="D1043" s="37" t="s">
        <v>14</v>
      </c>
      <c r="E1043" s="38">
        <v>2.0</v>
      </c>
      <c r="F1043" s="42">
        <v>0.183</v>
      </c>
      <c r="G1043" s="11">
        <v>17222.0</v>
      </c>
      <c r="H1043" s="34" t="str">
        <f>IFERROR(__xludf.DUMMYFUNCTION("LOWER(REGEXREPLACE(B1043&amp;"" ""&amp;C1043,""[^а-яa-z0-9 ]"","" ""))"),"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f>
        <v>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v>
      </c>
    </row>
    <row r="1044">
      <c r="A1044" s="35" t="s">
        <v>2343</v>
      </c>
      <c r="B1044" s="31" t="s">
        <v>2344</v>
      </c>
      <c r="C1044" s="31" t="s">
        <v>2345</v>
      </c>
      <c r="D1044" s="37" t="s">
        <v>14</v>
      </c>
      <c r="E1044" s="38">
        <v>2.0</v>
      </c>
      <c r="F1044" s="40">
        <v>0.82</v>
      </c>
      <c r="G1044" s="11">
        <v>28466.0</v>
      </c>
      <c r="H1044" s="34" t="str">
        <f>IFERROR(__xludf.DUMMYFUNCTION("LOWER(REGEXREPLACE(B1044&amp;"" ""&amp;C1044,""[^а-яa-z0-9 ]"","" ""))"),"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нап"&amp;"ряжения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f>
        <v>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v>
      </c>
    </row>
    <row r="1045">
      <c r="A1045" s="35" t="s">
        <v>2346</v>
      </c>
      <c r="B1045" s="31" t="s">
        <v>2347</v>
      </c>
      <c r="C1045" s="31" t="s">
        <v>2348</v>
      </c>
      <c r="D1045" s="37" t="s">
        <v>14</v>
      </c>
      <c r="E1045" s="38">
        <v>2.0</v>
      </c>
      <c r="F1045" s="39">
        <v>1.8</v>
      </c>
      <c r="G1045" s="11">
        <v>95781.0</v>
      </c>
      <c r="H1045" s="34" t="str">
        <f>IFERROR(__xludf.DUMMYFUNCTION("LOWER(REGEXREPLACE(B1045&amp;"" ""&amp;C1045,""[^а-яa-z0-9 ]"","" ""))")," олновая машина  рибор предназначен для моделирования колебательного и волнового движения при изучении механических колебаний и волн на уроках физики ")</f>
        <v> олновая машина  рибор предназначен для моделирования колебательного и волнового движения при изучении механических колебаний и волн на уроках физики </v>
      </c>
    </row>
    <row r="1046">
      <c r="A1046" s="35" t="s">
        <v>2349</v>
      </c>
      <c r="B1046" s="31" t="s">
        <v>2350</v>
      </c>
      <c r="C1046" s="31"/>
      <c r="D1046" s="37" t="s">
        <v>14</v>
      </c>
      <c r="E1046" s="10"/>
      <c r="F1046" s="36"/>
      <c r="G1046" s="11"/>
      <c r="H1046" s="34" t="str">
        <f>IFERROR(__xludf.DUMMYFUNCTION("LOWER(REGEXREPLACE(B1046&amp;"" ""&amp;C1046,""[^а-яa-z0-9 ]"","" ""))")," лектроскоп ")</f>
        <v> лектроскоп </v>
      </c>
    </row>
    <row r="1047">
      <c r="A1047" s="35" t="s">
        <v>2351</v>
      </c>
      <c r="B1047" s="31" t="s">
        <v>2352</v>
      </c>
      <c r="C1047" s="31" t="s">
        <v>2353</v>
      </c>
      <c r="D1047" s="37" t="s">
        <v>14</v>
      </c>
      <c r="E1047" s="38">
        <v>2.0</v>
      </c>
      <c r="F1047" s="39">
        <v>0.2</v>
      </c>
      <c r="G1047" s="11">
        <v>13040.0</v>
      </c>
      <c r="H1047" s="34" t="str">
        <f>IFERROR(__xludf.DUMMYFUNCTION("LOWER(REGEXREPLACE(B1047&amp;"" ""&amp;C1047,""[^а-яa-z0-9 ]"","" ""))"),"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п"&amp;"омещенной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f>
        <v>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v>
      </c>
    </row>
    <row r="1048">
      <c r="A1048" s="35" t="s">
        <v>2354</v>
      </c>
      <c r="B1048" s="31" t="s">
        <v>2355</v>
      </c>
      <c r="C1048" s="31" t="s">
        <v>2356</v>
      </c>
      <c r="D1048" s="37" t="s">
        <v>14</v>
      </c>
      <c r="E1048" s="38">
        <v>2.0</v>
      </c>
      <c r="F1048" s="39">
        <v>0.6</v>
      </c>
      <c r="G1048" s="11">
        <v>101846.0</v>
      </c>
      <c r="H1048" s="34" t="str">
        <f>IFERROR(__xludf.DUMMYFUNCTION("LOWER(REGEXREPLACE(B1048&amp;"" ""&amp;C1048,""[^а-яa-z0-9 ]"","" ""))"),"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е"&amp;"твертое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ди"&amp;"апазоне от 0 до 5   с помощью рукоятки               итание генератора от сети 220    50 ц   рибор предназначен для использования только учителем ")</f>
        <v>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диапазоне от 0 до 5   с помощью рукоятки               итание генератора от сети 220    50 ц   рибор предназначен для использования только учителем </v>
      </c>
    </row>
    <row r="1049">
      <c r="A1049" s="35" t="s">
        <v>2357</v>
      </c>
      <c r="B1049" s="31" t="s">
        <v>2358</v>
      </c>
      <c r="C1049" s="31"/>
      <c r="D1049" s="37" t="s">
        <v>14</v>
      </c>
      <c r="E1049" s="10"/>
      <c r="F1049" s="36"/>
      <c r="G1049" s="11"/>
      <c r="H1049" s="34" t="str">
        <f>IFERROR(__xludf.DUMMYFUNCTION("LOWER(REGEXREPLACE(B1049&amp;"" ""&amp;C1049,""[^а-яa-z0-9 ]"","" ""))")," сцилограф ")</f>
        <v> сцилограф </v>
      </c>
    </row>
    <row r="1050">
      <c r="A1050" s="35" t="s">
        <v>2359</v>
      </c>
      <c r="B1050" s="31" t="s">
        <v>2360</v>
      </c>
      <c r="C1050" s="31" t="s">
        <v>2361</v>
      </c>
      <c r="D1050" s="37" t="s">
        <v>14</v>
      </c>
      <c r="E1050" s="38">
        <v>2.0</v>
      </c>
      <c r="F1050" s="39">
        <v>2.2</v>
      </c>
      <c r="G1050" s="11">
        <v>229326.0</v>
      </c>
      <c r="H1050" s="34" t="str">
        <f>IFERROR(__xludf.DUMMYFUNCTION("LOWER(REGEXREPLACE(B1050&amp;"" ""&amp;C1050,""[^а-яa-z0-9 ]"","" ""))"),"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олос"&amp;"а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втомат"&amp;"ическое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шт"&amp;"    абель питания   1 шт       кабель   1 шт      для соединения с компьютером   1 шт ")</f>
        <v>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    абель питания   1 шт       кабель   1 шт      для соединения с компьютером   1 шт </v>
      </c>
    </row>
    <row r="1051">
      <c r="A1051" s="35" t="s">
        <v>2362</v>
      </c>
      <c r="B1051" s="31" t="s">
        <v>2363</v>
      </c>
      <c r="C1051" s="31" t="s">
        <v>2364</v>
      </c>
      <c r="D1051" s="37" t="s">
        <v>14</v>
      </c>
      <c r="E1051" s="38">
        <v>2.0</v>
      </c>
      <c r="F1051" s="38">
        <v>2.0</v>
      </c>
      <c r="G1051" s="11">
        <v>132877.0</v>
      </c>
      <c r="H1051" s="34" t="str">
        <f>IFERROR(__xludf.DUMMYFUNCTION("LOWER(REGEXREPLACE(B1051&amp;"" ""&amp;C1051,""[^а-яa-z0-9 ]"","" ""))")," сцилограф лабораторный  омплектность  осциллограф   1 шт  адаптер   1 шт  кабель типа  тюльпан   для подключения к телевизору   1 шт ")</f>
        <v> сцилограф лабораторный  омплектность  осциллограф   1 шт  адаптер   1 шт  кабель типа  тюльпан   для подключения к телевизору   1 шт </v>
      </c>
    </row>
    <row r="1052">
      <c r="A1052" s="35" t="s">
        <v>2365</v>
      </c>
      <c r="B1052" s="31" t="s">
        <v>2366</v>
      </c>
      <c r="C1052" s="31" t="s">
        <v>2367</v>
      </c>
      <c r="D1052" s="37" t="s">
        <v>14</v>
      </c>
      <c r="E1052" s="38">
        <v>2.0</v>
      </c>
      <c r="F1052" s="39">
        <v>0.2</v>
      </c>
      <c r="G1052" s="11">
        <v>9713.0</v>
      </c>
      <c r="H1052" s="34" t="str">
        <f>IFERROR(__xludf.DUMMYFUNCTION("LOWER(REGEXREPLACE(B1052&amp;"" ""&amp;C1052,""[^а-яa-z0-9 ]"","" ""))"),"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напр"&amp;"имер с генератором высокого напряжения универсальным ")</f>
        <v>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например с генератором высокого напряжения универсальным </v>
      </c>
    </row>
    <row r="1053">
      <c r="A1053" s="35" t="s">
        <v>2368</v>
      </c>
      <c r="B1053" s="31" t="s">
        <v>2369</v>
      </c>
      <c r="C1053" s="31"/>
      <c r="D1053" s="37" t="s">
        <v>14</v>
      </c>
      <c r="E1053" s="10"/>
      <c r="F1053" s="36"/>
      <c r="G1053" s="11"/>
      <c r="H1053" s="34" t="str">
        <f>IFERROR(__xludf.DUMMYFUNCTION("LOWER(REGEXREPLACE(B1053&amp;"" ""&amp;C1053,""[^а-яa-z0-9 ]"","" ""))")," альванометр ")</f>
        <v> альванометр </v>
      </c>
    </row>
    <row r="1054">
      <c r="A1054" s="35" t="s">
        <v>2370</v>
      </c>
      <c r="B1054" s="31" t="s">
        <v>2371</v>
      </c>
      <c r="C1054" s="31" t="s">
        <v>2372</v>
      </c>
      <c r="D1054" s="37" t="s">
        <v>14</v>
      </c>
      <c r="E1054" s="38">
        <v>2.0</v>
      </c>
      <c r="F1054" s="39">
        <v>0.9</v>
      </c>
      <c r="G1054" s="11">
        <v>4388.0</v>
      </c>
      <c r="H1054" s="34" t="str">
        <f>IFERROR(__xludf.DUMMYFUNCTION("LOWER(REGEXREPLACE(B1054&amp;"" ""&amp;C1054,""[^а-яa-z0-9 ]"","" ""))")," альванометр лабораторный  атериал  пластик   электронный компонент   увствительный диапазон   30 0 30     азмер  133x97x100мм   очность    5 ")</f>
        <v> альванометр лабораторный  атериал  пластик   электронный компонент   увствительный диапазон   30 0 30     азмер  133x97x100мм   очность    5 </v>
      </c>
    </row>
    <row r="1055">
      <c r="A1055" s="35" t="s">
        <v>2373</v>
      </c>
      <c r="B1055" s="31" t="s">
        <v>2374</v>
      </c>
      <c r="C1055" s="31" t="s">
        <v>2375</v>
      </c>
      <c r="D1055" s="37" t="s">
        <v>14</v>
      </c>
      <c r="E1055" s="38">
        <v>2.0</v>
      </c>
      <c r="F1055" s="40">
        <v>0.15</v>
      </c>
      <c r="G1055" s="11">
        <v>4722.0</v>
      </c>
      <c r="H1055" s="34" t="str">
        <f>IFERROR(__xludf.DUMMYFUNCTION("LOWER(REGEXREPLACE(B1055&amp;"" ""&amp;C1055,""[^а-яa-z0-9 ]"","" ""))"),"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f>
        <v>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v>
      </c>
    </row>
    <row r="1056">
      <c r="A1056" s="35" t="s">
        <v>2376</v>
      </c>
      <c r="B1056" s="31" t="s">
        <v>2377</v>
      </c>
      <c r="C1056" s="31"/>
      <c r="D1056" s="36"/>
      <c r="E1056" s="10"/>
      <c r="F1056" s="36"/>
      <c r="G1056" s="11"/>
      <c r="H1056" s="34" t="str">
        <f>IFERROR(__xludf.DUMMYFUNCTION("LOWER(REGEXREPLACE(B1056&amp;"" ""&amp;C1056,""[^а-яa-z0-9 ]"","" ""))")," аборатория в чемодане ")</f>
        <v> аборатория в чемодане </v>
      </c>
    </row>
    <row r="1057">
      <c r="A1057" s="35" t="s">
        <v>2378</v>
      </c>
      <c r="B1057" s="31" t="s">
        <v>2379</v>
      </c>
      <c r="C1057" s="31"/>
      <c r="D1057" s="37" t="s">
        <v>68</v>
      </c>
      <c r="E1057" s="10"/>
      <c r="F1057" s="36"/>
      <c r="G1057" s="11"/>
      <c r="H1057" s="34" t="str">
        <f>IFERROR(__xludf.DUMMYFUNCTION("LOWER(REGEXREPLACE(B1057&amp;"" ""&amp;C1057,""[^а-яa-z0-9 ]"","" ""))")," емонстрационный набор   епловые явления  ")</f>
        <v> емонстрационный набор   епловые явления  </v>
      </c>
    </row>
    <row r="1058">
      <c r="A1058" s="35" t="s">
        <v>2380</v>
      </c>
      <c r="B1058" s="31" t="s">
        <v>2381</v>
      </c>
      <c r="C1058" s="31"/>
      <c r="D1058" s="37" t="s">
        <v>68</v>
      </c>
      <c r="E1058" s="38">
        <v>2.0</v>
      </c>
      <c r="F1058" s="42">
        <v>0.184</v>
      </c>
      <c r="G1058" s="11">
        <v>2923.0</v>
      </c>
      <c r="H1058" s="34" t="str">
        <f>IFERROR(__xludf.DUMMYFUNCTION("LOWER(REGEXREPLACE(B1058&amp;"" ""&amp;C1058,""[^а-яa-z0-9 ]"","" ""))")," икролаборатория по изучению тепловых явлений ")</f>
        <v> икролаборатория по изучению тепловых явлений </v>
      </c>
    </row>
    <row r="1059">
      <c r="A1059" s="35" t="s">
        <v>2382</v>
      </c>
      <c r="B1059" s="31" t="s">
        <v>2383</v>
      </c>
      <c r="C1059" s="31"/>
      <c r="D1059" s="37" t="s">
        <v>1507</v>
      </c>
      <c r="E1059" s="10"/>
      <c r="F1059" s="36"/>
      <c r="G1059" s="11"/>
      <c r="H1059" s="34" t="str">
        <f>IFERROR(__xludf.DUMMYFUNCTION("LOWER(REGEXREPLACE(B1059&amp;"" ""&amp;C1059,""[^а-яa-z0-9 ]"","" ""))")," абор демонстрационный   птика  ")</f>
        <v> абор демонстрационный   птика  </v>
      </c>
    </row>
    <row r="1060">
      <c r="A1060" s="35" t="s">
        <v>2384</v>
      </c>
      <c r="B1060" s="31" t="s">
        <v>2385</v>
      </c>
      <c r="C1060" s="31" t="s">
        <v>2386</v>
      </c>
      <c r="D1060" s="37" t="s">
        <v>1507</v>
      </c>
      <c r="E1060" s="38">
        <v>2.0</v>
      </c>
      <c r="F1060" s="39">
        <v>4.6</v>
      </c>
      <c r="G1060" s="11">
        <v>94878.0</v>
      </c>
      <c r="H1060" s="34" t="str">
        <f>IFERROR(__xludf.DUMMYFUNCTION("LOWER(REGEXREPLACE(B1060&amp;"" ""&amp;C1060,""[^а-яa-z0-9 ]"","" ""))")," абор демонстрационный для изучения оптики   набор входят  1  щит экран 2  щелевая панель 3  источник света 4  набор линз  зеркал  призм  светофильтров")</f>
        <v> абор демонстрационный для изучения оптики   набор входят  1  щит экран 2  щелевая панель 3  источник света 4  набор линз  зеркал  призм  светофильтров</v>
      </c>
    </row>
    <row r="1061">
      <c r="A1061" s="35" t="s">
        <v>2387</v>
      </c>
      <c r="B1061" s="31" t="s">
        <v>2388</v>
      </c>
      <c r="C1061" s="31" t="s">
        <v>2389</v>
      </c>
      <c r="D1061" s="37" t="s">
        <v>68</v>
      </c>
      <c r="E1061" s="38">
        <v>2.0</v>
      </c>
      <c r="F1061" s="40">
        <v>1.55</v>
      </c>
      <c r="G1061" s="11">
        <v>13782.0</v>
      </c>
      <c r="H1061" s="34" t="str">
        <f>IFERROR(__xludf.DUMMYFUNCTION("LOWER(REGEXREPLACE(B1061&amp;"" ""&amp;C1061,""[^а-яa-z0-9 ]"","" ""))"),"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f>
        <v>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v>
      </c>
    </row>
    <row r="1062">
      <c r="A1062" s="35" t="s">
        <v>2390</v>
      </c>
      <c r="B1062" s="31" t="s">
        <v>2391</v>
      </c>
      <c r="C1062" s="31"/>
      <c r="D1062" s="37" t="s">
        <v>1507</v>
      </c>
      <c r="E1062" s="10"/>
      <c r="F1062" s="36"/>
      <c r="G1062" s="11"/>
      <c r="H1062" s="34" t="str">
        <f>IFERROR(__xludf.DUMMYFUNCTION("LOWER(REGEXREPLACE(B1062&amp;"" ""&amp;C1062,""[^а-яa-z0-9 ]"","" ""))")," емонстрационный набор   лектричество  ")</f>
        <v> емонстрационный набор   лектричество  </v>
      </c>
    </row>
    <row r="1063">
      <c r="A1063" s="35" t="s">
        <v>2392</v>
      </c>
      <c r="B1063" s="31" t="s">
        <v>2393</v>
      </c>
      <c r="C1063" s="31" t="s">
        <v>2394</v>
      </c>
      <c r="D1063" s="37" t="s">
        <v>1507</v>
      </c>
      <c r="E1063" s="38">
        <v>2.0</v>
      </c>
      <c r="F1063" s="40">
        <v>0.25</v>
      </c>
      <c r="G1063" s="11">
        <v>12453.0</v>
      </c>
      <c r="H1063" s="34" t="str">
        <f>IFERROR(__xludf.DUMMYFUNCTION("LOWER(REGEXREPLACE(B1063&amp;"" ""&amp;C1063,""[^а-яa-z0-9 ]"","" ""))"),"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проводимости"&amp;"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f>
        <v>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v>
      </c>
    </row>
    <row r="1064">
      <c r="A1064" s="35" t="s">
        <v>2395</v>
      </c>
      <c r="B1064" s="31" t="s">
        <v>2396</v>
      </c>
      <c r="C1064" s="31"/>
      <c r="D1064" s="37" t="s">
        <v>68</v>
      </c>
      <c r="E1064" s="10"/>
      <c r="F1064" s="36"/>
      <c r="G1064" s="11"/>
      <c r="H1064" s="34" t="str">
        <f>IFERROR(__xludf.DUMMYFUNCTION("LOWER(REGEXREPLACE(B1064&amp;"" ""&amp;C1064,""[^а-яa-z0-9 ]"","" ""))")," емонстрационный набор   еханика  ")</f>
        <v> емонстрационный набор   еханика  </v>
      </c>
    </row>
    <row r="1065">
      <c r="A1065" s="35" t="s">
        <v>2397</v>
      </c>
      <c r="B1065" s="9" t="s">
        <v>2398</v>
      </c>
      <c r="C1065" s="31" t="s">
        <v>2399</v>
      </c>
      <c r="D1065" s="37" t="s">
        <v>1507</v>
      </c>
      <c r="E1065" s="38">
        <v>2.0</v>
      </c>
      <c r="F1065" s="39">
        <v>4.2</v>
      </c>
      <c r="G1065" s="11">
        <v>251412.0</v>
      </c>
      <c r="H1065" s="34" t="str">
        <f>IFERROR(__xludf.DUMMYFUNCTION("LOWER(REGEXREPLACE(B1065&amp;"" ""&amp;C1065,""[^а-яa-z0-9 ]"","" ""))")," абор демонстрационный для изучения механики типа  xperia     011  интовой микрометр  1 шт    тангенциркуль  1 шт    аланс  1 шт    руз  1 шт  ")</f>
        <v> абор демонстрационный для изучения механики типа  xperia     011  интовой микрометр  1 шт    тангенциркуль  1 шт    аланс  1 шт    руз  1 шт  </v>
      </c>
    </row>
    <row r="1066">
      <c r="A1066" s="35" t="s">
        <v>2400</v>
      </c>
      <c r="B1066" s="31" t="s">
        <v>2401</v>
      </c>
      <c r="C1066" s="31" t="s">
        <v>2402</v>
      </c>
      <c r="D1066" s="37" t="s">
        <v>1507</v>
      </c>
      <c r="E1066" s="38">
        <v>2.0</v>
      </c>
      <c r="F1066" s="40">
        <v>7.39</v>
      </c>
      <c r="G1066" s="11">
        <v>986700.0</v>
      </c>
      <c r="H1066" s="34" t="str">
        <f>IFERROR(__xludf.DUMMYFUNCTION("LOWER(REGEXREPLACE(B1066&amp;"" ""&amp;C1066,""[^а-яa-z0-9 ]"","" ""))"),"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подв"&amp;"есом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состав"&amp;"ляет 300г  разновес с двумя крючками    борудование размещено в пластиковом чемодане  размер которого составляет   х х   540x450x150 мм")</f>
        <v>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борудование размещено в пластиковом чемодане  размер которого составляет   х х   540x450x150 мм</v>
      </c>
    </row>
    <row r="1067">
      <c r="A1067" s="35" t="s">
        <v>2403</v>
      </c>
      <c r="B1067" s="9" t="s">
        <v>2404</v>
      </c>
      <c r="C1067" s="31" t="s">
        <v>2405</v>
      </c>
      <c r="D1067" s="37" t="s">
        <v>1507</v>
      </c>
      <c r="E1067" s="38">
        <v>2.0</v>
      </c>
      <c r="F1067" s="39">
        <v>1.9</v>
      </c>
      <c r="G1067" s="11">
        <v>163114.0</v>
      </c>
      <c r="H1067" s="34" t="str">
        <f>IFERROR(__xludf.DUMMYFUNCTION("LOWER(REGEXREPLACE(B1067&amp;"" ""&amp;C1067,""[^а-яa-z0-9 ]"","" ""))")," абор   ростые механизмы  типа  ischertechnik   набор входит   еревка  анатные шкивы  естерни  олеса  си  ить")</f>
        <v> абор   ростые механизмы  типа  ischertechnik   набор входит   еревка  анатные шкивы  естерни  олеса  си  ить</v>
      </c>
    </row>
    <row r="1068">
      <c r="A1068" s="35" t="s">
        <v>2406</v>
      </c>
      <c r="B1068" s="9" t="s">
        <v>2407</v>
      </c>
      <c r="C1068" s="31" t="s">
        <v>2408</v>
      </c>
      <c r="D1068" s="37" t="s">
        <v>1507</v>
      </c>
      <c r="E1068" s="38">
        <v>2.0</v>
      </c>
      <c r="F1068" s="40">
        <v>3.45</v>
      </c>
      <c r="G1068" s="11">
        <v>31345.0</v>
      </c>
      <c r="H1068" s="34" t="str">
        <f>IFERROR(__xludf.DUMMYFUNCTION("LOWER(REGEXREPLACE(B1068&amp;"" ""&amp;C1068,""[^а-яa-z0-9 ]"","" ""))"),"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грузики"&amp;"  2 шт     8  стальные шарики  3 шт    9  плата держателей шариков  10  оптоэлектрические датчики  2 шт    11  методические указания")</f>
        <v>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v>
      </c>
    </row>
    <row r="1069">
      <c r="A1069" s="35" t="s">
        <v>2409</v>
      </c>
      <c r="B1069" s="31" t="s">
        <v>2410</v>
      </c>
      <c r="C1069" s="31"/>
      <c r="D1069" s="37" t="s">
        <v>68</v>
      </c>
      <c r="E1069" s="38">
        <v>2.0</v>
      </c>
      <c r="F1069" s="39">
        <v>0.2</v>
      </c>
      <c r="G1069" s="11">
        <v>4812.0</v>
      </c>
      <c r="H1069" s="34" t="str">
        <f>IFERROR(__xludf.DUMMYFUNCTION("LOWER(REGEXREPLACE(B1069&amp;"" ""&amp;C1069,""[^а-яa-z0-9 ]"","" ""))")," икролаборатория по изучению механики ")</f>
        <v> икролаборатория по изучению механики </v>
      </c>
    </row>
    <row r="1070">
      <c r="A1070" s="35" t="s">
        <v>2411</v>
      </c>
      <c r="B1070" s="31" t="s">
        <v>2412</v>
      </c>
      <c r="C1070" s="31" t="s">
        <v>2413</v>
      </c>
      <c r="D1070" s="37" t="s">
        <v>68</v>
      </c>
      <c r="E1070" s="38">
        <v>2.0</v>
      </c>
      <c r="F1070" s="38">
        <v>4.0</v>
      </c>
      <c r="G1070" s="11">
        <v>24323.0</v>
      </c>
      <c r="H1070" s="34" t="str">
        <f>IFERROR(__xludf.DUMMYFUNCTION("LOWER(REGEXREPLACE(B1070&amp;"" ""&amp;C1070,""[^а-яa-z0-9 ]"","" ""))"),"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"&amp;"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шт"&amp;"    етодические указания   1 шт    аспорт набора   1 шт    оток с ложементом   1 шт ")</f>
        <v>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    етодические указания   1 шт    аспорт набора   1 шт    оток с ложементом   1 шт </v>
      </c>
    </row>
    <row r="1071">
      <c r="A1071" s="35" t="s">
        <v>2414</v>
      </c>
      <c r="B1071" s="31" t="s">
        <v>2415</v>
      </c>
      <c r="C1071" s="31" t="s">
        <v>2416</v>
      </c>
      <c r="D1071" s="37" t="s">
        <v>68</v>
      </c>
      <c r="E1071" s="38">
        <v>2.0</v>
      </c>
      <c r="F1071" s="39">
        <v>0.4</v>
      </c>
      <c r="G1071" s="11">
        <v>12586.0</v>
      </c>
      <c r="H1071" s="34" t="str">
        <f>IFERROR(__xludf.DUMMYFUNCTION("LOWER(REGEXREPLACE(B1071&amp;"" ""&amp;C1071,""[^а-яa-z0-9 ]"","" ""))"),"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шу"&amp;"рупом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f>
        <v>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v>
      </c>
    </row>
    <row r="1072">
      <c r="A1072" s="35" t="s">
        <v>2417</v>
      </c>
      <c r="B1072" s="31" t="s">
        <v>2418</v>
      </c>
      <c r="C1072" s="31"/>
      <c r="D1072" s="37" t="s">
        <v>68</v>
      </c>
      <c r="E1072" s="10"/>
      <c r="F1072" s="36"/>
      <c r="G1072" s="11">
        <v>105473.0</v>
      </c>
      <c r="H1072" s="34" t="str">
        <f>IFERROR(__xludf.DUMMYFUNCTION("LOWER(REGEXREPLACE(B1072&amp;"" ""&amp;C1072,""[^а-яa-z0-9 ]"","" ""))")," чебный комплект для научных исследований   озобновляемая энергия  ")</f>
        <v> чебный комплект для научных исследований   озобновляемая энергия  </v>
      </c>
    </row>
    <row r="1073">
      <c r="A1073" s="35" t="s">
        <v>2419</v>
      </c>
      <c r="B1073" s="31" t="s">
        <v>2420</v>
      </c>
      <c r="C1073" s="31" t="s">
        <v>2421</v>
      </c>
      <c r="D1073" s="37" t="s">
        <v>68</v>
      </c>
      <c r="E1073" s="38">
        <v>2.0</v>
      </c>
      <c r="F1073" s="40">
        <v>0.25</v>
      </c>
      <c r="G1073" s="11">
        <v>2924.0</v>
      </c>
      <c r="H1073" s="34" t="str">
        <f>IFERROR(__xludf.DUMMYFUNCTION("LOWER(REGEXREPLACE(B1073&amp;"" ""&amp;C1073,""[^а-яa-z0-9 ]"","" ""))"),"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ыч"&amp;"аг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изучен"&amp;"ия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еталличе"&amp;"ский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крышку"&amp;"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f>
        <v>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v>
      </c>
    </row>
    <row r="1074">
      <c r="A1074" s="35" t="s">
        <v>2422</v>
      </c>
      <c r="B1074" s="31" t="s">
        <v>2423</v>
      </c>
      <c r="C1074" s="31"/>
      <c r="D1074" s="37" t="s">
        <v>1507</v>
      </c>
      <c r="E1074" s="10"/>
      <c r="F1074" s="36"/>
      <c r="G1074" s="11"/>
      <c r="H1074" s="34" t="str">
        <f>IFERROR(__xludf.DUMMYFUNCTION("LOWER(REGEXREPLACE(B1074&amp;"" ""&amp;C1074,""[^а-яa-z0-9 ]"","" ""))")," абор лабораторный   агнетизм  ")</f>
        <v> абор лабораторный   агнетизм  </v>
      </c>
    </row>
    <row r="1075">
      <c r="A1075" s="35" t="s">
        <v>2424</v>
      </c>
      <c r="B1075" s="31" t="s">
        <v>2423</v>
      </c>
      <c r="C1075" s="31" t="s">
        <v>2425</v>
      </c>
      <c r="D1075" s="37" t="s">
        <v>1507</v>
      </c>
      <c r="E1075" s="38">
        <v>2.0</v>
      </c>
      <c r="F1075" s="40">
        <v>0.23</v>
      </c>
      <c r="G1075" s="11">
        <v>2924.0</v>
      </c>
      <c r="H1075" s="34" t="str">
        <f>IFERROR(__xludf.DUMMYFUNCTION("LOWER(REGEXREPLACE(B1075&amp;"" ""&amp;C1075,""[^а-яa-z0-9 ]"","" ""))"),"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немарки"&amp;"рованные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прозрач"&amp;"ным кузовом   2 шт    коробка укладка   1 шт ")</f>
        <v>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прозрачным кузовом   2 шт    коробка укладка   1 шт </v>
      </c>
    </row>
    <row r="1076">
      <c r="A1076" s="35" t="s">
        <v>2426</v>
      </c>
      <c r="B1076" s="31" t="s">
        <v>2427</v>
      </c>
      <c r="C1076" s="31"/>
      <c r="D1076" s="37" t="s">
        <v>68</v>
      </c>
      <c r="E1076" s="38">
        <v>2.0</v>
      </c>
      <c r="F1076" s="42">
        <v>0.184</v>
      </c>
      <c r="G1076" s="11">
        <v>2923.0</v>
      </c>
      <c r="H1076" s="34" t="str">
        <f>IFERROR(__xludf.DUMMYFUNCTION("LOWER(REGEXREPLACE(B1076&amp;"" ""&amp;C1076,""[^а-яa-z0-9 ]"","" ""))")," икролаборатория по изучению магнетизма ")</f>
        <v> икролаборатория по изучению магнетизма </v>
      </c>
    </row>
    <row r="1077">
      <c r="A1077" s="35" t="s">
        <v>2428</v>
      </c>
      <c r="B1077" s="31" t="s">
        <v>2429</v>
      </c>
      <c r="C1077" s="31" t="s">
        <v>2430</v>
      </c>
      <c r="D1077" s="37" t="s">
        <v>1507</v>
      </c>
      <c r="E1077" s="38">
        <v>2.0</v>
      </c>
      <c r="F1077" s="40">
        <v>0.26</v>
      </c>
      <c r="G1077" s="11">
        <v>8544.0</v>
      </c>
      <c r="H1077" s="34" t="str">
        <f>IFERROR(__xludf.DUMMYFUNCTION("LOWER(REGEXREPLACE(B1077&amp;"" ""&amp;C1077,""[^а-яa-z0-9 ]"","" ""))"),"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методиче"&amp;"скими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f>
        <v>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v>
      </c>
    </row>
    <row r="1078">
      <c r="A1078" s="35" t="s">
        <v>2431</v>
      </c>
      <c r="B1078" s="31" t="s">
        <v>2432</v>
      </c>
      <c r="C1078" s="31" t="s">
        <v>2433</v>
      </c>
      <c r="D1078" s="37" t="s">
        <v>1507</v>
      </c>
      <c r="E1078" s="38">
        <v>2.0</v>
      </c>
      <c r="F1078" s="40">
        <v>0.25</v>
      </c>
      <c r="G1078" s="11">
        <v>2924.0</v>
      </c>
      <c r="H1078" s="34" t="str">
        <f>IFERROR(__xludf.DUMMYFUNCTION("LOWER(REGEXREPLACE(B1078&amp;"" ""&amp;C1078,""[^а-яa-z0-9 ]"","" ""))"),"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экр"&amp;"ан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"&amp;"шт   предмет стойка   1 шт   коробка укладка   1 шт   руководство по эксплуатации   1 шт ")</f>
        <v>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шт   предмет стойка   1 шт   коробка укладка   1 шт   руководство по эксплуатации   1 шт </v>
      </c>
    </row>
    <row r="1079">
      <c r="A1079" s="35" t="s">
        <v>2434</v>
      </c>
      <c r="B1079" s="31" t="s">
        <v>2435</v>
      </c>
      <c r="C1079" s="31" t="s">
        <v>2436</v>
      </c>
      <c r="D1079" s="37" t="s">
        <v>68</v>
      </c>
      <c r="E1079" s="38">
        <v>2.0</v>
      </c>
      <c r="F1079" s="40">
        <v>0.25</v>
      </c>
      <c r="G1079" s="11">
        <v>32645.0</v>
      </c>
      <c r="H1079" s="34" t="str">
        <f>IFERROR(__xludf.DUMMYFUNCTION("LOWER(REGEXREPLACE(B1079&amp;"" ""&amp;C1079,""[^а-яa-z0-9 ]"","" ""))"),"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позв"&amp;"оляет варьировать интенсивность света и направлять лучи   вет  2 2       красный   ампа   6       1 5  x2   бъектив        илиндрическая линза 40wx20  ")</f>
        <v>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позволяет варьировать интенсивность света и направлять лучи   вет  2 2       красный   ампа   6       1 5  x2   бъектив        илиндрическая линза 40wx20  </v>
      </c>
    </row>
    <row r="1080">
      <c r="A1080" s="35" t="s">
        <v>2437</v>
      </c>
      <c r="B1080" s="31" t="s">
        <v>2438</v>
      </c>
      <c r="C1080" s="31" t="s">
        <v>2439</v>
      </c>
      <c r="D1080" s="37" t="s">
        <v>68</v>
      </c>
      <c r="E1080" s="38">
        <v>2.0</v>
      </c>
      <c r="F1080" s="40">
        <v>7.35</v>
      </c>
      <c r="G1080" s="11">
        <v>139957.0</v>
      </c>
      <c r="H1080" s="34" t="str">
        <f>IFERROR(__xludf.DUMMYFUNCTION("LOWER(REGEXREPLACE(B1080&amp;"" ""&amp;C1080,""[^а-яa-z0-9 ]"","" ""))")," омплект радиотехнический диоды   6 шт ")</f>
        <v> омплект радиотехнический диоды   6 шт </v>
      </c>
    </row>
    <row r="1081">
      <c r="A1081" s="35" t="s">
        <v>2440</v>
      </c>
      <c r="B1081" s="9" t="s">
        <v>2441</v>
      </c>
      <c r="C1081" s="31" t="s">
        <v>2442</v>
      </c>
      <c r="D1081" s="37" t="s">
        <v>1507</v>
      </c>
      <c r="E1081" s="38">
        <v>2.0</v>
      </c>
      <c r="F1081" s="40">
        <v>1.77</v>
      </c>
      <c r="G1081" s="11">
        <v>896869.0</v>
      </c>
      <c r="H1081" s="34" t="str">
        <f>IFERROR(__xludf.DUMMYFUNCTION("LOWER(REGEXREPLACE(B1081&amp;"" ""&amp;C1081,""[^а-яa-z0-9 ]"","" ""))"),"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о"&amp;"единительный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ол"&amp;"нечный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х"&amp;"имический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ште"&amp;"псельными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оедин"&amp;"ительный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екундомер"&amp;"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"&amp;"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0"&amp;"0   1шт")</f>
        <v>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00   1шт</v>
      </c>
    </row>
    <row r="1082">
      <c r="A1082" s="35" t="s">
        <v>2443</v>
      </c>
      <c r="B1082" s="9" t="s">
        <v>2444</v>
      </c>
      <c r="C1082" s="31" t="s">
        <v>2445</v>
      </c>
      <c r="D1082" s="37" t="s">
        <v>1507</v>
      </c>
      <c r="E1082" s="38">
        <v>2.0</v>
      </c>
      <c r="F1082" s="39">
        <v>5.2</v>
      </c>
      <c r="G1082" s="11">
        <v>1400989.0</v>
      </c>
      <c r="H1082" s="34" t="str">
        <f>IFERROR(__xludf.DUMMYFUNCTION("LOWER(REGEXREPLACE(B1082&amp;"" ""&amp;C1082,""[^а-яa-z0-9 ]"","" ""))"),"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идротурби"&amp;"на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номинал"&amp;"ы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"&amp;"м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визуализац"&amp;"ии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принципов"&amp;" ветровой  солнечной и гидроэнергии ")</f>
        <v>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 ветровой  солнечной и гидроэнергии </v>
      </c>
    </row>
    <row r="1083">
      <c r="A1083" s="35" t="s">
        <v>2446</v>
      </c>
      <c r="B1083" s="9" t="s">
        <v>2447</v>
      </c>
      <c r="C1083" s="31" t="s">
        <v>2448</v>
      </c>
      <c r="D1083" s="37" t="s">
        <v>1507</v>
      </c>
      <c r="E1083" s="38">
        <v>2.0</v>
      </c>
      <c r="F1083" s="40">
        <v>3.74</v>
      </c>
      <c r="G1083" s="11">
        <v>268631.0</v>
      </c>
      <c r="H1083" s="34" t="str">
        <f>IFERROR(__xludf.DUMMYFUNCTION("LOWER(REGEXREPLACE(B1083&amp;"" ""&amp;C1083,""[^а-яa-z0-9 ]"","" ""))"),"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плено"&amp;"к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лосковогнута"&amp;"я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олупроз"&amp;"рачной бумагой  1 шт     ветной бумагой  1 шт     ранспортиром  1 шт     омпасом  1 шт     люминиевой фольгой  1 шт     розрачной линейкой  1 шт   ")</f>
        <v>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олупрозрачной бумагой  1 шт     ветной бумагой  1 шт     ранспортиром  1 шт     омпасом  1 шт     люминиевой фольгой  1 шт     розрачной линейкой  1 шт   </v>
      </c>
    </row>
    <row r="1084">
      <c r="A1084" s="35" t="s">
        <v>2449</v>
      </c>
      <c r="B1084" s="9" t="s">
        <v>2450</v>
      </c>
      <c r="C1084" s="31"/>
      <c r="D1084" s="37" t="s">
        <v>1507</v>
      </c>
      <c r="E1084" s="10"/>
      <c r="F1084" s="36"/>
      <c r="G1084" s="11"/>
      <c r="H1084" s="34" t="str">
        <f>IFERROR(__xludf.DUMMYFUNCTION("LOWER(REGEXREPLACE(B1084&amp;"" ""&amp;C1084,""[^а-яa-z0-9 ]"","" ""))")," абор демонстрационный для изучения электростатики ")</f>
        <v> абор демонстрационный для изучения электростатики </v>
      </c>
    </row>
    <row r="1085">
      <c r="A1085" s="35" t="s">
        <v>2451</v>
      </c>
      <c r="B1085" s="9" t="s">
        <v>2452</v>
      </c>
      <c r="C1085" s="31" t="s">
        <v>2453</v>
      </c>
      <c r="D1085" s="37" t="s">
        <v>1507</v>
      </c>
      <c r="E1085" s="38">
        <v>2.0</v>
      </c>
      <c r="F1085" s="40">
        <v>0.85</v>
      </c>
      <c r="G1085" s="11">
        <v>134716.0</v>
      </c>
      <c r="H1085" s="34" t="str">
        <f>IFERROR(__xludf.DUMMYFUNCTION("LOWER(REGEXREPLACE(B1085&amp;"" ""&amp;C1085,""[^а-яa-z0-9 ]"","" ""))"),"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конденса"&amp;"тор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f>
        <v>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v>
      </c>
    </row>
    <row r="1086">
      <c r="A1086" s="35" t="s">
        <v>2454</v>
      </c>
      <c r="B1086" s="31" t="s">
        <v>2455</v>
      </c>
      <c r="C1086" s="31"/>
      <c r="D1086" s="37" t="s">
        <v>1507</v>
      </c>
      <c r="E1086" s="38">
        <v>2.0</v>
      </c>
      <c r="F1086" s="40">
        <v>8.19</v>
      </c>
      <c r="G1086" s="11">
        <v>1002118.0</v>
      </c>
      <c r="H1086" s="34" t="str">
        <f>IFERROR(__xludf.DUMMYFUNCTION("LOWER(REGEXREPLACE(B1086&amp;"" ""&amp;C1086,""[^а-яa-z0-9 ]"","" ""))")," абор демонстрационный для изучения электростатики в комплекте с источником напряжения высоковольтным типа  ornelsen  xperimenta 50332 44280  50315 44207 ")</f>
        <v> абор демонстрационный для изучения электростатики в комплекте с источником напряжения высоковольтным типа  ornelsen  xperimenta 50332 44280  50315 44207 </v>
      </c>
    </row>
    <row r="1087">
      <c r="A1087" s="35" t="s">
        <v>2456</v>
      </c>
      <c r="B1087" s="31" t="s">
        <v>2457</v>
      </c>
      <c r="C1087" s="31" t="s">
        <v>2458</v>
      </c>
      <c r="D1087" s="37" t="s">
        <v>1507</v>
      </c>
      <c r="E1087" s="38">
        <v>2.0</v>
      </c>
      <c r="F1087" s="39">
        <v>5.8</v>
      </c>
      <c r="G1087" s="11">
        <v>161993.0</v>
      </c>
      <c r="H1087" s="34" t="str">
        <f>IFERROR(__xludf.DUMMYFUNCTION("LOWER(REGEXREPLACE(B1087&amp;"" ""&amp;C1087,""[^а-яa-z0-9 ]"","" ""))"),"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султаны"&amp;"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f>
        <v>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v>
      </c>
    </row>
    <row r="1088">
      <c r="A1088" s="35" t="s">
        <v>2459</v>
      </c>
      <c r="B1088" s="31" t="s">
        <v>2460</v>
      </c>
      <c r="C1088" s="31"/>
      <c r="D1088" s="37" t="s">
        <v>68</v>
      </c>
      <c r="E1088" s="38">
        <v>2.0</v>
      </c>
      <c r="F1088" s="42">
        <v>0.184</v>
      </c>
      <c r="G1088" s="11">
        <v>3710.0</v>
      </c>
      <c r="H1088" s="34" t="str">
        <f>IFERROR(__xludf.DUMMYFUNCTION("LOWER(REGEXREPLACE(B1088&amp;"" ""&amp;C1088,""[^а-яa-z0-9 ]"","" ""))")," икролаборатория по изучению электростатики ")</f>
        <v> икролаборатория по изучению электростатики </v>
      </c>
    </row>
    <row r="1089">
      <c r="A1089" s="35" t="s">
        <v>2461</v>
      </c>
      <c r="B1089" s="31" t="s">
        <v>2462</v>
      </c>
      <c r="C1089" s="31"/>
      <c r="D1089" s="37" t="s">
        <v>1507</v>
      </c>
      <c r="E1089" s="10"/>
      <c r="F1089" s="36"/>
      <c r="G1089" s="11"/>
      <c r="H1089" s="34" t="str">
        <f>IFERROR(__xludf.DUMMYFUNCTION("LOWER(REGEXREPLACE(B1089&amp;"" ""&amp;C1089,""[^а-яa-z0-9 ]"","" ""))")," емонстрационный набор   татика  ")</f>
        <v> емонстрационный набор   татика  </v>
      </c>
    </row>
    <row r="1090">
      <c r="A1090" s="35" t="s">
        <v>2463</v>
      </c>
      <c r="B1090" s="31" t="s">
        <v>2464</v>
      </c>
      <c r="C1090" s="31" t="s">
        <v>2465</v>
      </c>
      <c r="D1090" s="37" t="s">
        <v>1507</v>
      </c>
      <c r="E1090" s="38">
        <v>2.0</v>
      </c>
      <c r="F1090" s="39">
        <v>1.7</v>
      </c>
      <c r="G1090" s="11">
        <v>143924.0</v>
      </c>
      <c r="H1090" s="34" t="str">
        <f>IFERROR(__xludf.DUMMYFUNCTION("LOWER(REGEXREPLACE(B1090&amp;"" ""&amp;C1090,""[^а-яa-z0-9 ]"","" ""))")," абор   татика  типа  ischertechnik   набор входит   татические компоненты  гловой кронштейн  аспорки  ружинный балансир")</f>
        <v> абор   татика  типа  ischertechnik   набор входит   татические компоненты  гловой кронштейн  аспорки  ружинный балансир</v>
      </c>
    </row>
    <row r="1091">
      <c r="A1091" s="35" t="s">
        <v>2466</v>
      </c>
      <c r="B1091" s="31" t="s">
        <v>2467</v>
      </c>
      <c r="C1091" s="31"/>
      <c r="D1091" s="37" t="s">
        <v>68</v>
      </c>
      <c r="E1091" s="38">
        <v>2.0</v>
      </c>
      <c r="F1091" s="39">
        <v>0.3</v>
      </c>
      <c r="G1091" s="11">
        <v>2924.0</v>
      </c>
      <c r="H1091" s="34" t="str">
        <f>IFERROR(__xludf.DUMMYFUNCTION("LOWER(REGEXREPLACE(B1091&amp;"" ""&amp;C1091,""[^а-яa-z0-9 ]"","" ""))")," икролаборатория по изучению гидростатики ")</f>
        <v> икролаборатория по изучению гидростатики </v>
      </c>
    </row>
    <row r="1092">
      <c r="A1092" s="35" t="s">
        <v>2468</v>
      </c>
      <c r="B1092" s="31" t="s">
        <v>2469</v>
      </c>
      <c r="C1092" s="31" t="s">
        <v>2470</v>
      </c>
      <c r="D1092" s="37" t="s">
        <v>68</v>
      </c>
      <c r="E1092" s="38">
        <v>2.0</v>
      </c>
      <c r="F1092" s="39">
        <v>1.6</v>
      </c>
      <c r="G1092" s="11">
        <v>7159.0</v>
      </c>
      <c r="H1092" s="34" t="str">
        <f>IFERROR(__xludf.DUMMYFUNCTION("LOWER(REGEXREPLACE(B1092&amp;"" ""&amp;C1092,""[^а-яa-z0-9 ]"","" ""))"),"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ом"&amp;"плектация   тойка изолирующая с основанием 2шт   одставка с винтами  3 и  62шт   оробка 1шт   тикетка 1экземпляр")</f>
        <v>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омплектация   тойка изолирующая с основанием 2шт   одставка с винтами  3 и  62шт   оробка 1шт   тикетка 1экземпляр</v>
      </c>
    </row>
    <row r="1093">
      <c r="A1093" s="35" t="s">
        <v>2471</v>
      </c>
      <c r="B1093" s="31" t="s">
        <v>2472</v>
      </c>
      <c r="C1093" s="31"/>
      <c r="D1093" s="37" t="s">
        <v>1507</v>
      </c>
      <c r="E1093" s="10"/>
      <c r="F1093" s="36"/>
      <c r="G1093" s="11"/>
      <c r="H1093" s="34" t="str">
        <f>IFERROR(__xludf.DUMMYFUNCTION("LOWER(REGEXREPLACE(B1093&amp;"" ""&amp;C1093,""[^а-яa-z0-9 ]"","" ""))")," емонстрационный набор   лектроника  ")</f>
        <v> емонстрационный набор   лектроника  </v>
      </c>
    </row>
    <row r="1094">
      <c r="A1094" s="35" t="s">
        <v>2473</v>
      </c>
      <c r="B1094" s="31" t="s">
        <v>2474</v>
      </c>
      <c r="C1094" s="31" t="s">
        <v>2475</v>
      </c>
      <c r="D1094" s="37" t="s">
        <v>1507</v>
      </c>
      <c r="E1094" s="38">
        <v>2.0</v>
      </c>
      <c r="F1094" s="39">
        <v>1.9</v>
      </c>
      <c r="G1094" s="11">
        <v>305014.0</v>
      </c>
      <c r="H1094" s="34" t="str">
        <f>IFERROR(__xludf.DUMMYFUNCTION("LOWER(REGEXREPLACE(B1094&amp;"" ""&amp;C1094,""[^а-яa-z0-9 ]"","" ""))"),"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f>
        <v>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v>
      </c>
    </row>
    <row r="1095">
      <c r="A1095" s="35" t="s">
        <v>2476</v>
      </c>
      <c r="B1095" s="31" t="s">
        <v>2477</v>
      </c>
      <c r="C1095" s="31" t="s">
        <v>2478</v>
      </c>
      <c r="D1095" s="37" t="s">
        <v>1507</v>
      </c>
      <c r="E1095" s="38">
        <v>2.0</v>
      </c>
      <c r="F1095" s="39">
        <v>6.5</v>
      </c>
      <c r="G1095" s="11">
        <v>1288997.0</v>
      </c>
      <c r="H1095" s="34" t="str">
        <f>IFERROR(__xludf.DUMMYFUNCTION("LOWER(REGEXREPLACE(B1095&amp;"" ""&amp;C1095,""[^а-яa-z0-9 ]"","" ""))"),"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турбин"&amp;"ы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компоне"&amp;"нты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оторез"&amp;"исторы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"&amp;"с разъемами для подключения компонентов и проводов ")</f>
        <v>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v>
      </c>
    </row>
    <row r="1096">
      <c r="A1096" s="35" t="s">
        <v>2479</v>
      </c>
      <c r="B1096" s="31" t="s">
        <v>2480</v>
      </c>
      <c r="C1096" s="31" t="s">
        <v>2481</v>
      </c>
      <c r="D1096" s="37" t="s">
        <v>1507</v>
      </c>
      <c r="E1096" s="38">
        <v>2.0</v>
      </c>
      <c r="F1096" s="39">
        <v>7.5</v>
      </c>
      <c r="G1096" s="11">
        <v>1319175.0</v>
      </c>
      <c r="H1096" s="34" t="str">
        <f>IFERROR(__xludf.DUMMYFUNCTION("LOWER(REGEXREPLACE(B1096&amp;"" ""&amp;C1096,""[^а-яa-z0-9 ]"","" ""))"),"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вертикальной"&amp;"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солнеч"&amp;"ной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вклю"&amp;"чая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характерис"&amp;"тиками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предост"&amp;"авляет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исследователям"&amp;" исследовать принципы генерации энергии и проводить практические эксперименты ")</f>
        <v>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 </v>
      </c>
    </row>
    <row r="1097">
      <c r="A1097" s="35" t="s">
        <v>2482</v>
      </c>
      <c r="B1097" s="31" t="s">
        <v>2483</v>
      </c>
      <c r="C1097" s="31" t="s">
        <v>2484</v>
      </c>
      <c r="D1097" s="37" t="s">
        <v>1507</v>
      </c>
      <c r="E1097" s="38">
        <v>2.0</v>
      </c>
      <c r="F1097" s="39">
        <v>6.5</v>
      </c>
      <c r="G1097" s="11">
        <v>1005621.0</v>
      </c>
      <c r="H1097" s="34" t="str">
        <f>IFERROR(__xludf.DUMMYFUNCTION("LOWER(REGEXREPLACE(B1097&amp;"" ""&amp;C1097,""[^а-яa-z0-9 ]"","" ""))"),"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ветр"&amp;"яной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магнитных"&amp;"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для"&amp;"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мультиметры"&amp;"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про"&amp;"ведения различных экспериментов и настройки систем ")</f>
        <v>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 </v>
      </c>
    </row>
    <row r="1098">
      <c r="A1098" s="35" t="s">
        <v>2485</v>
      </c>
      <c r="B1098" s="31" t="s">
        <v>2486</v>
      </c>
      <c r="C1098" s="31" t="s">
        <v>2487</v>
      </c>
      <c r="D1098" s="37" t="s">
        <v>1507</v>
      </c>
      <c r="E1098" s="38">
        <v>2.0</v>
      </c>
      <c r="F1098" s="40">
        <v>7.22</v>
      </c>
      <c r="G1098" s="11">
        <v>951494.0</v>
      </c>
      <c r="H1098" s="34" t="str">
        <f>IFERROR(__xludf.DUMMYFUNCTION("LOWER(REGEXREPLACE(B1098&amp;"" ""&amp;C1098,""[^а-яa-z0-9 ]"","" ""))"),"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эн"&amp;"ергию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систе"&amp;"ме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солнечной"&amp;"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f>
        <v>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v>
      </c>
    </row>
    <row r="1099">
      <c r="A1099" s="35" t="s">
        <v>2488</v>
      </c>
      <c r="B1099" s="31" t="s">
        <v>2489</v>
      </c>
      <c r="C1099" s="31" t="s">
        <v>2490</v>
      </c>
      <c r="D1099" s="37" t="s">
        <v>1507</v>
      </c>
      <c r="E1099" s="38">
        <v>2.0</v>
      </c>
      <c r="F1099" s="40">
        <v>4.93</v>
      </c>
      <c r="G1099" s="11">
        <v>347382.0</v>
      </c>
      <c r="H1099" s="34" t="str">
        <f>IFERROR(__xludf.DUMMYFUNCTION("LOWER(REGEXREPLACE(B1099&amp;"" ""&amp;C1099,""[^а-яa-z0-9 ]"","" ""))"),"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упр"&amp;"авления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ком"&amp;"поненты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f>
        <v>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v>
      </c>
    </row>
    <row r="1100">
      <c r="A1100" s="35" t="s">
        <v>2491</v>
      </c>
      <c r="B1100" s="31" t="s">
        <v>2492</v>
      </c>
      <c r="C1100" s="31" t="s">
        <v>2493</v>
      </c>
      <c r="D1100" s="37" t="s">
        <v>1507</v>
      </c>
      <c r="E1100" s="38">
        <v>2.0</v>
      </c>
      <c r="F1100" s="40">
        <v>4.93</v>
      </c>
      <c r="G1100" s="11">
        <v>3649583.0</v>
      </c>
      <c r="H1100" s="34" t="str">
        <f>IFERROR(__xludf.DUMMYFUNCTION("LOWER(REGEXREPLACE(B1100&amp;"" ""&amp;C1100,""[^а-яa-z0-9 ]"","" ""))"),"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функци"&amp;"ональный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дискр"&amp;"етизации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ц"&amp;"ифровых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f>
        <v>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v>
      </c>
    </row>
    <row r="1101">
      <c r="A1101" s="35" t="s">
        <v>2494</v>
      </c>
      <c r="B1101" s="31" t="s">
        <v>2495</v>
      </c>
      <c r="C1101" s="31" t="s">
        <v>2496</v>
      </c>
      <c r="D1101" s="37" t="s">
        <v>1507</v>
      </c>
      <c r="E1101" s="38">
        <v>2.0</v>
      </c>
      <c r="F1101" s="40">
        <v>4.93</v>
      </c>
      <c r="G1101" s="11">
        <v>2593120.0</v>
      </c>
      <c r="H1101" s="34" t="str">
        <f>IFERROR(__xludf.DUMMYFUNCTION("LOWER(REGEXREPLACE(B1101&amp;"" ""&amp;C1101,""[^а-яa-z0-9 ]"","" ""))"),"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апр"&amp;"яжение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f>
        <v>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v>
      </c>
    </row>
    <row r="1102">
      <c r="A1102" s="35" t="s">
        <v>2497</v>
      </c>
      <c r="B1102" s="31" t="s">
        <v>2498</v>
      </c>
      <c r="C1102" s="31"/>
      <c r="D1102" s="37" t="s">
        <v>68</v>
      </c>
      <c r="E1102" s="10"/>
      <c r="F1102" s="36"/>
      <c r="G1102" s="11"/>
      <c r="H1102" s="34" t="str">
        <f>IFERROR(__xludf.DUMMYFUNCTION("LOWER(REGEXREPLACE(B1102&amp;"" ""&amp;C1102,""[^а-яa-z0-9 ]"","" ""))")," омплект учебный   олебания и волны  ")</f>
        <v> омплект учебный   олебания и волны  </v>
      </c>
    </row>
    <row r="1103">
      <c r="A1103" s="35" t="s">
        <v>2499</v>
      </c>
      <c r="B1103" s="9" t="s">
        <v>2500</v>
      </c>
      <c r="C1103" s="31" t="s">
        <v>2501</v>
      </c>
      <c r="D1103" s="37" t="s">
        <v>68</v>
      </c>
      <c r="E1103" s="38">
        <v>2.0</v>
      </c>
      <c r="F1103" s="40">
        <v>0.64</v>
      </c>
      <c r="G1103" s="11">
        <v>211717.0</v>
      </c>
      <c r="H1103" s="34" t="str">
        <f>IFERROR(__xludf.DUMMYFUNCTION("LOWER(REGEXREPLACE(B1103&amp;"" ""&amp;C1103,""[^а-яa-z0-9 ]"","" ""))"),"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нео"&amp;"новая лампа на подставке   поглощающие тела ")</f>
        <v>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неоновая лампа на подставке   поглощающие тела </v>
      </c>
    </row>
    <row r="1104">
      <c r="A1104" s="35" t="s">
        <v>2502</v>
      </c>
      <c r="B1104" s="9" t="s">
        <v>2503</v>
      </c>
      <c r="C1104" s="31" t="s">
        <v>2504</v>
      </c>
      <c r="D1104" s="37" t="s">
        <v>68</v>
      </c>
      <c r="E1104" s="38">
        <v>2.0</v>
      </c>
      <c r="F1104" s="38">
        <v>5.0</v>
      </c>
      <c r="G1104" s="11">
        <v>112018.0</v>
      </c>
      <c r="H1104" s="34" t="str">
        <f>IFERROR(__xludf.DUMMYFUNCTION("LOWER(REGEXREPLACE(B1104&amp;"" ""&amp;C1104,""[^а-яa-z0-9 ]"","" ""))"),"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доп"&amp;"олнительного оборудования ")</f>
        <v>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дополнительного оборудования </v>
      </c>
    </row>
    <row r="1105">
      <c r="A1105" s="35" t="s">
        <v>2505</v>
      </c>
      <c r="B1105" s="31" t="s">
        <v>2506</v>
      </c>
      <c r="C1105" s="31" t="s">
        <v>2507</v>
      </c>
      <c r="D1105" s="37" t="s">
        <v>1507</v>
      </c>
      <c r="E1105" s="38">
        <v>2.0</v>
      </c>
      <c r="F1105" s="40">
        <v>1.35</v>
      </c>
      <c r="G1105" s="11">
        <v>19213.0</v>
      </c>
      <c r="H1105" s="34" t="str">
        <f>IFERROR(__xludf.DUMMYFUNCTION("LOWER(REGEXREPLACE(B1105&amp;"" ""&amp;C1105,""[^а-яa-z0-9 ]"","" ""))"),"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за"&amp;"жим крокодил на резьбовом соединении ")</f>
        <v>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зажим крокодил на резьбовом соединении </v>
      </c>
    </row>
    <row r="1106">
      <c r="A1106" s="35" t="s">
        <v>2508</v>
      </c>
      <c r="B1106" s="9" t="s">
        <v>2509</v>
      </c>
      <c r="C1106" s="31"/>
      <c r="D1106" s="36"/>
      <c r="E1106" s="10"/>
      <c r="F1106" s="36"/>
      <c r="G1106" s="11"/>
      <c r="H1106" s="34" t="str">
        <f>IFERROR(__xludf.DUMMYFUNCTION("LOWER(REGEXREPLACE(B1106&amp;"" ""&amp;C1106,""[^а-яa-z0-9 ]"","" ""))")," риборы и принадлежности для кабинета географии ")</f>
        <v> риборы и принадлежности для кабинета географии </v>
      </c>
    </row>
    <row r="1107">
      <c r="A1107" s="35" t="s">
        <v>2510</v>
      </c>
      <c r="B1107" s="31" t="s">
        <v>2511</v>
      </c>
      <c r="C1107" s="31"/>
      <c r="D1107" s="37" t="s">
        <v>14</v>
      </c>
      <c r="E1107" s="10"/>
      <c r="F1107" s="36"/>
      <c r="G1107" s="11"/>
      <c r="H1107" s="34" t="str">
        <f>IFERROR(__xludf.DUMMYFUNCTION("LOWER(REGEXREPLACE(B1107&amp;"" ""&amp;C1107,""[^а-яa-z0-9 ]"","" ""))")," немометр ")</f>
        <v> немометр </v>
      </c>
    </row>
    <row r="1108">
      <c r="A1108" s="35" t="s">
        <v>2512</v>
      </c>
      <c r="B1108" s="31" t="s">
        <v>2513</v>
      </c>
      <c r="C1108" s="31"/>
      <c r="D1108" s="37" t="s">
        <v>14</v>
      </c>
      <c r="E1108" s="38">
        <v>2.0</v>
      </c>
      <c r="F1108" s="39">
        <v>0.2</v>
      </c>
      <c r="G1108" s="11">
        <v>34983.0</v>
      </c>
      <c r="H1108" s="34" t="str">
        <f>IFERROR(__xludf.DUMMYFUNCTION("LOWER(REGEXREPLACE(B1108&amp;"" ""&amp;C1108,""[^а-яa-z0-9 ]"","" ""))"),"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f>
        <v>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v>
      </c>
    </row>
    <row r="1109">
      <c r="A1109" s="35" t="s">
        <v>2514</v>
      </c>
      <c r="B1109" s="31" t="s">
        <v>2515</v>
      </c>
      <c r="C1109" s="31"/>
      <c r="D1109" s="37" t="s">
        <v>14</v>
      </c>
      <c r="E1109" s="38">
        <v>2.0</v>
      </c>
      <c r="F1109" s="39">
        <v>0.2</v>
      </c>
      <c r="G1109" s="11">
        <v>35891.0</v>
      </c>
      <c r="H1109" s="34" t="str">
        <f>IFERROR(__xludf.DUMMYFUNCTION("LOWER(REGEXREPLACE(B1109&amp;"" ""&amp;C1109,""[^а-яa-z0-9 ]"","" ""))")," немометр типа  nvicta 084059 42443 ")</f>
        <v> немометр типа  nvicta 084059 42443 </v>
      </c>
    </row>
    <row r="1110">
      <c r="A1110" s="35" t="s">
        <v>2516</v>
      </c>
      <c r="B1110" s="31" t="s">
        <v>2517</v>
      </c>
      <c r="C1110" s="31"/>
      <c r="D1110" s="37" t="s">
        <v>14</v>
      </c>
      <c r="E1110" s="10"/>
      <c r="F1110" s="36"/>
      <c r="G1110" s="11"/>
      <c r="H1110" s="34" t="str">
        <f>IFERROR(__xludf.DUMMYFUNCTION("LOWER(REGEXREPLACE(B1110&amp;"" ""&amp;C1110,""[^а-яa-z0-9 ]"","" ""))")," ождемер ")</f>
        <v> ождемер </v>
      </c>
    </row>
    <row r="1111">
      <c r="A1111" s="35" t="s">
        <v>2518</v>
      </c>
      <c r="B1111" s="31" t="s">
        <v>2519</v>
      </c>
      <c r="C1111" s="31" t="s">
        <v>2520</v>
      </c>
      <c r="D1111" s="37" t="s">
        <v>14</v>
      </c>
      <c r="E1111" s="38">
        <v>2.0</v>
      </c>
      <c r="F1111" s="40">
        <v>0.15</v>
      </c>
      <c r="G1111" s="11">
        <v>12404.0</v>
      </c>
      <c r="H1111" s="34" t="str">
        <f>IFERROR(__xludf.DUMMYFUNCTION("LOWER(REGEXREPLACE(B1111&amp;"" ""&amp;C1111,""[^а-яa-z0-9 ]"","" ""))")," ождемер типа  nvicta 084059 42443   комплекте  колба объемом 50 мл  со шкалой  цена деления которой 1мл  пластиковый штырь для установки в землю и пластиковая крышка ")</f>
        <v> ождемер типа  nvicta 084059 42443   комплекте  колба объемом 50 мл  со шкалой  цена деления которой 1мл  пластиковый штырь для установки в землю и пластиковая крышка </v>
      </c>
    </row>
    <row r="1112">
      <c r="A1112" s="35" t="s">
        <v>2521</v>
      </c>
      <c r="B1112" s="31" t="s">
        <v>2522</v>
      </c>
      <c r="C1112" s="31" t="s">
        <v>2523</v>
      </c>
      <c r="D1112" s="37" t="s">
        <v>14</v>
      </c>
      <c r="E1112" s="38">
        <v>2.0</v>
      </c>
      <c r="F1112" s="40">
        <v>0.13</v>
      </c>
      <c r="G1112" s="11">
        <v>27411.0</v>
      </c>
      <c r="H1112" s="34" t="str">
        <f>IFERROR(__xludf.DUMMYFUNCTION("LOWER(REGEXREPLACE(B1112&amp;"" ""&amp;C1112,""[^а-яa-z0-9 ]"","" ""))")," альномер электронный  альномер электронный лазерный   исплей с подсветкой для считывания информации   альность измерения не менее 20 метров ")</f>
        <v> альномер электронный  альномер электронный лазерный   исплей с подсветкой для считывания информации   альность измерения не менее 20 метров </v>
      </c>
    </row>
    <row r="1113">
      <c r="A1113" s="35" t="s">
        <v>2524</v>
      </c>
      <c r="B1113" s="31" t="s">
        <v>2525</v>
      </c>
      <c r="C1113" s="31"/>
      <c r="D1113" s="37" t="s">
        <v>14</v>
      </c>
      <c r="E1113" s="10"/>
      <c r="F1113" s="36"/>
      <c r="G1113" s="11"/>
      <c r="H1113" s="34" t="str">
        <f>IFERROR(__xludf.DUMMYFUNCTION("LOWER(REGEXREPLACE(B1113&amp;"" ""&amp;C1113,""[^а-яa-z0-9 ]"","" ""))")," урвиметр ")</f>
        <v> урвиметр </v>
      </c>
    </row>
    <row r="1114">
      <c r="A1114" s="35" t="s">
        <v>2526</v>
      </c>
      <c r="B1114" s="31" t="s">
        <v>2525</v>
      </c>
      <c r="C1114" s="31" t="s">
        <v>2527</v>
      </c>
      <c r="D1114" s="37" t="s">
        <v>14</v>
      </c>
      <c r="E1114" s="38">
        <v>2.0</v>
      </c>
      <c r="F1114" s="39">
        <v>0.7</v>
      </c>
      <c r="G1114" s="11">
        <v>1873.0</v>
      </c>
      <c r="H1114" s="34" t="str">
        <f>IFERROR(__xludf.DUMMYFUNCTION("LOWER(REGEXREPLACE(B1114&amp;"" ""&amp;C1114,""[^а-яa-z0-9 ]"","" ""))"),"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f>
        <v>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v>
      </c>
    </row>
    <row r="1115">
      <c r="A1115" s="35" t="s">
        <v>2528</v>
      </c>
      <c r="B1115" s="31" t="s">
        <v>2529</v>
      </c>
      <c r="C1115" s="31"/>
      <c r="D1115" s="37" t="s">
        <v>14</v>
      </c>
      <c r="E1115" s="38">
        <v>2.0</v>
      </c>
      <c r="F1115" s="40">
        <v>0.75</v>
      </c>
      <c r="G1115" s="11">
        <v>36164.0</v>
      </c>
      <c r="H1115" s="34" t="str">
        <f>IFERROR(__xludf.DUMMYFUNCTION("LOWER(REGEXREPLACE(B1115&amp;"" ""&amp;C1115,""[^а-яa-z0-9 ]"","" ""))")," урвиметр типа  nvicta 050059 42411 ")</f>
        <v> урвиметр типа  nvicta 050059 42411 </v>
      </c>
    </row>
    <row r="1116">
      <c r="A1116" s="35" t="s">
        <v>2530</v>
      </c>
      <c r="B1116" s="31" t="s">
        <v>2531</v>
      </c>
      <c r="C1116" s="31"/>
      <c r="D1116" s="37" t="s">
        <v>14</v>
      </c>
      <c r="E1116" s="10"/>
      <c r="F1116" s="36"/>
      <c r="G1116" s="11"/>
      <c r="H1116" s="34" t="str">
        <f>IFERROR(__xludf.DUMMYFUNCTION("LOWER(REGEXREPLACE(B1116&amp;"" ""&amp;C1116,""[^а-яa-z0-9 ]"","" ""))")," люгер ")</f>
        <v> люгер </v>
      </c>
    </row>
    <row r="1117">
      <c r="A1117" s="35" t="s">
        <v>2532</v>
      </c>
      <c r="B1117" s="31" t="s">
        <v>2533</v>
      </c>
      <c r="C1117" s="31"/>
      <c r="D1117" s="37" t="s">
        <v>14</v>
      </c>
      <c r="E1117" s="38">
        <v>2.0</v>
      </c>
      <c r="F1117" s="40">
        <v>0.26</v>
      </c>
      <c r="G1117" s="11">
        <v>23506.0</v>
      </c>
      <c r="H1117" s="34" t="str">
        <f>IFERROR(__xludf.DUMMYFUNCTION("LOWER(REGEXREPLACE(B1117&amp;"" ""&amp;C1117,""[^а-яa-z0-9 ]"","" ""))")," люгер типа  nvicta 087559 42442 ")</f>
        <v> люгер типа  nvicta 087559 42442 </v>
      </c>
    </row>
    <row r="1118">
      <c r="A1118" s="35" t="s">
        <v>2534</v>
      </c>
      <c r="B1118" s="31" t="s">
        <v>2531</v>
      </c>
      <c r="C1118" s="31" t="s">
        <v>2535</v>
      </c>
      <c r="D1118" s="37" t="s">
        <v>14</v>
      </c>
      <c r="E1118" s="38">
        <v>2.0</v>
      </c>
      <c r="F1118" s="39">
        <v>0.4</v>
      </c>
      <c r="G1118" s="11">
        <v>10523.0</v>
      </c>
      <c r="H1118" s="34" t="str">
        <f>IFERROR(__xludf.DUMMYFUNCTION("LOWER(REGEXREPLACE(B1118&amp;"" ""&amp;C1118,""[^а-яa-z0-9 ]"","" ""))")," люгер  люгер  прибор д определения направления и скорости ветра ")</f>
        <v> люгер  люгер  прибор д определения направления и скорости ветра </v>
      </c>
    </row>
    <row r="1119">
      <c r="A1119" s="35" t="s">
        <v>2536</v>
      </c>
      <c r="B1119" s="31" t="s">
        <v>2537</v>
      </c>
      <c r="C1119" s="31"/>
      <c r="D1119" s="36"/>
      <c r="E1119" s="10"/>
      <c r="F1119" s="36"/>
      <c r="G1119" s="11"/>
      <c r="H1119" s="34" t="str">
        <f>IFERROR(__xludf.DUMMYFUNCTION("LOWER(REGEXREPLACE(B1119&amp;"" ""&amp;C1119,""[^а-яa-z0-9 ]"","" ""))")," одели объемные  приборы и реактивы для кабинета биологии ")</f>
        <v> одели объемные  приборы и реактивы для кабинета биологии </v>
      </c>
    </row>
    <row r="1120">
      <c r="A1120" s="35" t="s">
        <v>2538</v>
      </c>
      <c r="B1120" s="31" t="s">
        <v>2539</v>
      </c>
      <c r="C1120" s="31"/>
      <c r="D1120" s="37" t="s">
        <v>14</v>
      </c>
      <c r="E1120" s="10"/>
      <c r="F1120" s="36"/>
      <c r="G1120" s="11">
        <v>160089.0</v>
      </c>
      <c r="H1120" s="34" t="str">
        <f>IFERROR(__xludf.DUMMYFUNCTION("LOWER(REGEXREPLACE(B1120&amp;"" ""&amp;C1120,""[^а-яa-z0-9 ]"","" ""))")," келет человека 170 см на роликовой подставке ")</f>
        <v> келет человека 170 см на роликовой подставке </v>
      </c>
    </row>
    <row r="1121">
      <c r="A1121" s="35" t="s">
        <v>2540</v>
      </c>
      <c r="B1121" s="31" t="s">
        <v>2541</v>
      </c>
      <c r="C1121" s="31"/>
      <c r="D1121" s="37" t="s">
        <v>14</v>
      </c>
      <c r="E1121" s="10"/>
      <c r="F1121" s="36"/>
      <c r="G1121" s="11"/>
      <c r="H1121" s="34" t="str">
        <f>IFERROR(__xludf.DUMMYFUNCTION("LOWER(REGEXREPLACE(B1121&amp;"" ""&amp;C1121,""[^а-яa-z0-9 ]"","" ""))")," упа ручная ")</f>
        <v> упа ручная </v>
      </c>
    </row>
    <row r="1122">
      <c r="A1122" s="35" t="s">
        <v>2542</v>
      </c>
      <c r="B1122" s="31" t="s">
        <v>2543</v>
      </c>
      <c r="C1122" s="31" t="s">
        <v>2544</v>
      </c>
      <c r="D1122" s="37" t="s">
        <v>14</v>
      </c>
      <c r="E1122" s="10"/>
      <c r="F1122" s="36"/>
      <c r="G1122" s="11">
        <v>402.0</v>
      </c>
      <c r="H1122" s="34" t="str">
        <f>IFERROR(__xludf.DUMMYFUNCTION("LOWER(REGEXREPLACE(B1122&amp;"" ""&amp;C1122,""[^а-яa-z0-9 ]"","" ""))")," упа ручная d 60 мм  упа ручная  диаметр не менее 60 мм  увеличение не менее 5 крат ")</f>
        <v> упа ручная d 60 мм  упа ручная  диаметр не менее 60 мм  увеличение не менее 5 крат </v>
      </c>
    </row>
    <row r="1123">
      <c r="A1123" s="35" t="s">
        <v>2545</v>
      </c>
      <c r="B1123" s="31" t="s">
        <v>2546</v>
      </c>
      <c r="C1123" s="31" t="s">
        <v>2547</v>
      </c>
      <c r="D1123" s="37" t="s">
        <v>14</v>
      </c>
      <c r="E1123" s="10"/>
      <c r="F1123" s="42">
        <v>0.055</v>
      </c>
      <c r="G1123" s="11">
        <v>346.0</v>
      </c>
      <c r="H1123" s="34" t="str">
        <f>IFERROR(__xludf.DUMMYFUNCTION("LOWER(REGEXREPLACE(B1123&amp;"" ""&amp;C1123,""[^а-яa-z0-9 ]"","" ""))")," упа ручная d 50 мм  набжена эргономичной ручкой изогнутой формы   величение трехкратное   иаметр линзы 50 мм   атериал оправы   пластик   атериал линзы   стекло ")</f>
        <v> упа ручная d 50 мм  набжена эргономичной ручкой изогнутой формы   величение трехкратное   иаметр линзы 50 мм   атериал оправы   пластик   атериал линзы   стекло </v>
      </c>
    </row>
    <row r="1124">
      <c r="A1124" s="35" t="s">
        <v>2548</v>
      </c>
      <c r="B1124" s="31" t="s">
        <v>2549</v>
      </c>
      <c r="C1124" s="31"/>
      <c r="D1124" s="37" t="s">
        <v>14</v>
      </c>
      <c r="E1124" s="38">
        <v>2.0</v>
      </c>
      <c r="F1124" s="40">
        <v>0.05</v>
      </c>
      <c r="G1124" s="11">
        <v>540.0</v>
      </c>
      <c r="H1124" s="34" t="str">
        <f>IFERROR(__xludf.DUMMYFUNCTION("LOWER(REGEXREPLACE(B1124&amp;"" ""&amp;C1124,""[^а-яa-z0-9 ]"","" ""))")," упа ручная d 80 мм ")</f>
        <v> упа ручная d 80 мм </v>
      </c>
    </row>
    <row r="1125">
      <c r="A1125" s="35" t="s">
        <v>2550</v>
      </c>
      <c r="B1125" s="31" t="s">
        <v>2551</v>
      </c>
      <c r="C1125" s="31"/>
      <c r="D1125" s="37" t="s">
        <v>14</v>
      </c>
      <c r="E1125" s="10"/>
      <c r="F1125" s="36"/>
      <c r="G1125" s="11"/>
      <c r="H1125" s="34" t="str">
        <f>IFERROR(__xludf.DUMMYFUNCTION("LOWER(REGEXREPLACE(B1125&amp;"" ""&amp;C1125,""[^а-яa-z0-9 ]"","" ""))")," икроскоп преподавателя ")</f>
        <v> икроскоп преподавателя </v>
      </c>
    </row>
    <row r="1126">
      <c r="A1126" s="35" t="s">
        <v>2552</v>
      </c>
      <c r="B1126" s="31" t="s">
        <v>2553</v>
      </c>
      <c r="C1126" s="31"/>
      <c r="D1126" s="37" t="s">
        <v>14</v>
      </c>
      <c r="E1126" s="10"/>
      <c r="F1126" s="36"/>
      <c r="G1126" s="11">
        <v>76875.0</v>
      </c>
      <c r="H1126" s="34" t="str">
        <f>IFERROR(__xludf.DUMMYFUNCTION("LOWER(REGEXREPLACE(B1126&amp;"" ""&amp;C1126,""[^а-яa-z0-9 ]"","" ""))")," икроскоп преподавателя 1600х ")</f>
        <v> икроскоп преподавателя 1600х </v>
      </c>
    </row>
    <row r="1127">
      <c r="A1127" s="35" t="s">
        <v>2554</v>
      </c>
      <c r="B1127" s="31" t="s">
        <v>2555</v>
      </c>
      <c r="C1127" s="31"/>
      <c r="D1127" s="37" t="s">
        <v>14</v>
      </c>
      <c r="E1127" s="10"/>
      <c r="F1127" s="36"/>
      <c r="G1127" s="11"/>
      <c r="H1127" s="34" t="str">
        <f>IFERROR(__xludf.DUMMYFUNCTION("LOWER(REGEXREPLACE(B1127&amp;"" ""&amp;C1127,""[^а-яa-z0-9 ]"","" ""))")," икроскоп ученический ")</f>
        <v> икроскоп ученический </v>
      </c>
    </row>
    <row r="1128">
      <c r="A1128" s="35" t="s">
        <v>2556</v>
      </c>
      <c r="B1128" s="31" t="s">
        <v>2557</v>
      </c>
      <c r="C1128" s="31" t="s">
        <v>2558</v>
      </c>
      <c r="D1128" s="37" t="s">
        <v>14</v>
      </c>
      <c r="E1128" s="38">
        <v>2.0</v>
      </c>
      <c r="F1128" s="39">
        <v>2.5</v>
      </c>
      <c r="G1128" s="11">
        <v>31494.0</v>
      </c>
      <c r="H1128" s="34" t="str">
        <f>IFERROR(__xludf.DUMMYFUNCTION("LOWER(REGEXREPLACE(B1128&amp;"" ""&amp;C1128,""[^а-яa-z0-9 ]"","" ""))"),"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евольв"&amp;"ерное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f>
        <v>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v>
      </c>
    </row>
    <row r="1129">
      <c r="A1129" s="35" t="s">
        <v>2559</v>
      </c>
      <c r="B1129" s="31" t="s">
        <v>2560</v>
      </c>
      <c r="C1129" s="31" t="s">
        <v>2561</v>
      </c>
      <c r="D1129" s="37" t="s">
        <v>14</v>
      </c>
      <c r="E1129" s="38">
        <v>2.0</v>
      </c>
      <c r="F1129" s="39">
        <v>2.5</v>
      </c>
      <c r="G1129" s="11">
        <v>34992.0</v>
      </c>
      <c r="H1129" s="34" t="str">
        <f>IFERROR(__xludf.DUMMYFUNCTION("LOWER(REGEXREPLACE(B1129&amp;"" ""&amp;C1129,""[^а-яa-z0-9 ]"","" ""))"),"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f>
        <v>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v>
      </c>
    </row>
    <row r="1130">
      <c r="A1130" s="35" t="s">
        <v>2562</v>
      </c>
      <c r="B1130" s="31" t="s">
        <v>2563</v>
      </c>
      <c r="C1130" s="31" t="s">
        <v>2564</v>
      </c>
      <c r="D1130" s="37" t="s">
        <v>14</v>
      </c>
      <c r="E1130" s="38">
        <v>2.0</v>
      </c>
      <c r="F1130" s="40">
        <v>3.48</v>
      </c>
      <c r="G1130" s="11">
        <v>93314.0</v>
      </c>
      <c r="H1130" s="34" t="str">
        <f>IFERROR(__xludf.DUMMYFUNCTION("LOWER(REGEXREPLACE(B1130&amp;"" ""&amp;C1130,""[^а-яa-z0-9 ]"","" ""))"),"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п"&amp;"рямой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кр"&amp;"ат    омплектность  микроскоп   1 шт   окуляры сменные   10  и   16    2 шт   подсветка  нижняя и верхняя    2 шт   руководство по эксплуатации   1 шт ")</f>
        <v>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крат    омплектность  микроскоп   1 шт   окуляры сменные   10  и   16    2 шт   подсветка  нижняя и верхняя    2 шт   руководство по эксплуатации   1 шт </v>
      </c>
    </row>
    <row r="1131">
      <c r="A1131" s="35" t="s">
        <v>2565</v>
      </c>
      <c r="B1131" s="31" t="s">
        <v>2566</v>
      </c>
      <c r="C1131" s="31"/>
      <c r="D1131" s="37" t="s">
        <v>14</v>
      </c>
      <c r="E1131" s="38">
        <v>2.0</v>
      </c>
      <c r="F1131" s="40">
        <v>0.45</v>
      </c>
      <c r="G1131" s="11">
        <v>18987.0</v>
      </c>
      <c r="H1131" s="34" t="str">
        <f>IFERROR(__xludf.DUMMYFUNCTION("LOWER(REGEXREPLACE(B1131&amp;"" ""&amp;C1131,""[^а-яa-z0-9 ]"","" ""))")," икроскоп цифровой типа  arson   640 ")</f>
        <v> икроскоп цифровой типа  arson   640 </v>
      </c>
    </row>
    <row r="1132">
      <c r="A1132" s="35" t="s">
        <v>2567</v>
      </c>
      <c r="B1132" s="31" t="s">
        <v>2568</v>
      </c>
      <c r="C1132" s="31" t="s">
        <v>2569</v>
      </c>
      <c r="D1132" s="37" t="s">
        <v>68</v>
      </c>
      <c r="E1132" s="38">
        <v>2.0</v>
      </c>
      <c r="F1132" s="42">
        <v>0.065</v>
      </c>
      <c r="G1132" s="11">
        <v>12500.0</v>
      </c>
      <c r="H1132" s="34" t="str">
        <f>IFERROR(__xludf.DUMMYFUNCTION("LOWER(REGEXREPLACE(B1132&amp;"" ""&amp;C1132,""[^а-яa-z0-9 ]"","" ""))"),"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многораз"&amp;"овое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уководство"&amp;"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та"&amp;"мпон   1 наклейка с уникальным      1 фирменная наклейка   1 нейлоновая сумка")</f>
        <v>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тампон   1 наклейка с уникальным      1 фирменная наклейка   1 нейлоновая сумка</v>
      </c>
    </row>
    <row r="1133">
      <c r="A1133" s="35" t="s">
        <v>2570</v>
      </c>
      <c r="B1133" s="31" t="s">
        <v>2571</v>
      </c>
      <c r="C1133" s="31" t="s">
        <v>2572</v>
      </c>
      <c r="D1133" s="37" t="s">
        <v>68</v>
      </c>
      <c r="E1133" s="38">
        <v>2.0</v>
      </c>
      <c r="F1133" s="42">
        <v>0.113</v>
      </c>
      <c r="G1133" s="11">
        <v>11601.0</v>
      </c>
      <c r="H1133" s="34" t="str">
        <f>IFERROR(__xludf.DUMMYFUNCTION("LOWER(REGEXREPLACE(B1133&amp;"" ""&amp;C1133,""[^а-яa-z0-9 ]"","" ""))"),"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"&amp;"рвется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м"&amp;"икроскоп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аст"&amp;"ера 0 2мл   1 пробирка  ппендорф 1 5мл")</f>
        <v>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астера 0 2мл   1 пробирка  ппендорф 1 5мл</v>
      </c>
    </row>
    <row r="1134">
      <c r="A1134" s="35" t="s">
        <v>2573</v>
      </c>
      <c r="B1134" s="9" t="s">
        <v>2574</v>
      </c>
      <c r="C1134" s="31" t="s">
        <v>2575</v>
      </c>
      <c r="D1134" s="37" t="s">
        <v>68</v>
      </c>
      <c r="E1134" s="38">
        <v>2.0</v>
      </c>
      <c r="F1134" s="42">
        <v>0.272</v>
      </c>
      <c r="G1134" s="11">
        <v>28778.0</v>
      </c>
      <c r="H1134" s="34" t="str">
        <f>IFERROR(__xludf.DUMMYFUNCTION("LOWER(REGEXREPLACE(B1134&amp;"" ""&amp;C1134,""[^а-яa-z0-9 ]"","" ""))"),"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не"&amp;"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уководств"&amp;"о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светл"&amp;"ый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"&amp;"листа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f>
        <v>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v>
      </c>
    </row>
    <row r="1135">
      <c r="A1135" s="35" t="s">
        <v>2576</v>
      </c>
      <c r="B1135" s="31" t="s">
        <v>2577</v>
      </c>
      <c r="C1135" s="31"/>
      <c r="D1135" s="36"/>
      <c r="E1135" s="10"/>
      <c r="F1135" s="36"/>
      <c r="G1135" s="11"/>
      <c r="H1135" s="34" t="str">
        <f>IFERROR(__xludf.DUMMYFUNCTION("LOWER(REGEXREPLACE(B1135&amp;"" ""&amp;C1135,""[^а-яa-z0-9 ]"","" ""))")," абораторная посуда  принадлежности  приборы для опытов  пособия и стенды для кабинета биологии ")</f>
        <v> абораторная посуда  принадлежности  приборы для опытов  пособия и стенды для кабинета биологии </v>
      </c>
    </row>
    <row r="1136">
      <c r="A1136" s="35" t="s">
        <v>2578</v>
      </c>
      <c r="B1136" s="31" t="s">
        <v>2579</v>
      </c>
      <c r="C1136" s="31"/>
      <c r="D1136" s="37" t="s">
        <v>68</v>
      </c>
      <c r="E1136" s="10"/>
      <c r="F1136" s="36"/>
      <c r="G1136" s="11">
        <v>11250.0</v>
      </c>
      <c r="H1136" s="34" t="str">
        <f>IFERROR(__xludf.DUMMYFUNCTION("LOWER(REGEXREPLACE(B1136&amp;"" ""&amp;C1136,""[^а-яa-z0-9 ]"","" ""))")," абораторные принадлежности для опытов по биологии ")</f>
        <v> абораторные принадлежности для опытов по биологии </v>
      </c>
    </row>
    <row r="1137">
      <c r="A1137" s="35" t="s">
        <v>2580</v>
      </c>
      <c r="B1137" s="31" t="s">
        <v>2581</v>
      </c>
      <c r="C1137" s="31"/>
      <c r="D1137" s="37" t="s">
        <v>14</v>
      </c>
      <c r="E1137" s="10"/>
      <c r="F1137" s="36"/>
      <c r="G1137" s="11"/>
      <c r="H1137" s="34" t="str">
        <f>IFERROR(__xludf.DUMMYFUNCTION("LOWER(REGEXREPLACE(B1137&amp;"" ""&amp;C1137,""[^а-яa-z0-9 ]"","" ""))")," игрометр ")</f>
        <v> игрометр </v>
      </c>
    </row>
    <row r="1138">
      <c r="A1138" s="35" t="s">
        <v>2582</v>
      </c>
      <c r="B1138" s="31" t="s">
        <v>2583</v>
      </c>
      <c r="C1138" s="31"/>
      <c r="D1138" s="37" t="s">
        <v>14</v>
      </c>
      <c r="E1138" s="38">
        <v>2.0</v>
      </c>
      <c r="F1138" s="40">
        <v>0.09</v>
      </c>
      <c r="G1138" s="11">
        <v>8813.0</v>
      </c>
      <c r="H1138" s="34" t="str">
        <f>IFERROR(__xludf.DUMMYFUNCTION("LOWER(REGEXREPLACE(B1138&amp;"" ""&amp;C1138,""[^а-яa-z0-9 ]"","" ""))")," игрометр типа  cience ube      105   иапазон    5   25   ")</f>
        <v> игрометр типа  cience ube      105   иапазон    5   25   </v>
      </c>
    </row>
    <row r="1139">
      <c r="A1139" s="35" t="s">
        <v>2584</v>
      </c>
      <c r="B1139" s="31" t="s">
        <v>2585</v>
      </c>
      <c r="C1139" s="31" t="s">
        <v>2586</v>
      </c>
      <c r="D1139" s="37" t="s">
        <v>14</v>
      </c>
      <c r="E1139" s="38">
        <v>2.0</v>
      </c>
      <c r="F1139" s="40">
        <v>0.09</v>
      </c>
      <c r="G1139" s="11">
        <v>2313.0</v>
      </c>
      <c r="H1139" s="34" t="str">
        <f>IFERROR(__xludf.DUMMYFUNCTION("LOWER(REGEXREPLACE(B1139&amp;"" ""&amp;C1139,""[^а-яa-z0-9 ]"","" ""))"),"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тер"&amp;"мометра 1     корость аспирации от 0 5 до 1 0 м сек ")</f>
        <v>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термометра 1     корость аспирации от 0 5 до 1 0 м сек </v>
      </c>
    </row>
    <row r="1140">
      <c r="A1140" s="35" t="s">
        <v>2587</v>
      </c>
      <c r="B1140" s="31" t="s">
        <v>2588</v>
      </c>
      <c r="C1140" s="31"/>
      <c r="D1140" s="37" t="s">
        <v>68</v>
      </c>
      <c r="E1140" s="10"/>
      <c r="F1140" s="36"/>
      <c r="G1140" s="11">
        <v>278688.0</v>
      </c>
      <c r="H1140" s="34" t="str">
        <f>IFERROR(__xludf.DUMMYFUNCTION("LOWER(REGEXREPLACE(B1140&amp;"" ""&amp;C1140,""[^а-яa-z0-9 ]"","" ""))")," иологическая лаборатория в чемодане ")</f>
        <v> иологическая лаборатория в чемодане </v>
      </c>
    </row>
    <row r="1141">
      <c r="A1141" s="35" t="s">
        <v>2589</v>
      </c>
      <c r="B1141" s="31" t="s">
        <v>2590</v>
      </c>
      <c r="C1141" s="31"/>
      <c r="D1141" s="37" t="s">
        <v>68</v>
      </c>
      <c r="E1141" s="10"/>
      <c r="F1141" s="36"/>
      <c r="G1141" s="11"/>
      <c r="H1141" s="34" t="str">
        <f>IFERROR(__xludf.DUMMYFUNCTION("LOWER(REGEXREPLACE(B1141&amp;"" ""&amp;C1141,""[^а-яa-z0-9 ]"","" ""))")," ини лаборатория по гидропонике ")</f>
        <v> ини лаборатория по гидропонике </v>
      </c>
    </row>
    <row r="1142">
      <c r="A1142" s="35" t="s">
        <v>2591</v>
      </c>
      <c r="B1142" s="9" t="s">
        <v>2592</v>
      </c>
      <c r="C1142" s="31"/>
      <c r="D1142" s="37" t="s">
        <v>68</v>
      </c>
      <c r="E1142" s="38">
        <v>2.0</v>
      </c>
      <c r="F1142" s="39">
        <v>2.3</v>
      </c>
      <c r="G1142" s="11">
        <v>382695.0</v>
      </c>
      <c r="H1142" s="34" t="str">
        <f>IFERROR(__xludf.DUMMYFUNCTION("LOWER(REGEXREPLACE(B1142&amp;"" ""&amp;C1142,""[^а-яa-z0-9 ]"","" ""))")," ини лаборатория по гидропонике типа  ydro en ")</f>
        <v> ини лаборатория по гидропонике типа  ydro en </v>
      </c>
    </row>
    <row r="1143">
      <c r="A1143" s="35" t="s">
        <v>2593</v>
      </c>
      <c r="B1143" s="9" t="s">
        <v>2594</v>
      </c>
      <c r="C1143" s="31"/>
      <c r="D1143" s="37" t="s">
        <v>68</v>
      </c>
      <c r="E1143" s="38">
        <v>2.0</v>
      </c>
      <c r="F1143" s="39">
        <v>2.8</v>
      </c>
      <c r="G1143" s="11">
        <v>112332.0</v>
      </c>
      <c r="H1143" s="34" t="str">
        <f>IFERROR(__xludf.DUMMYFUNCTION("LOWER(REGEXREPLACE(B1143&amp;"" ""&amp;C1143,""[^а-яa-z0-9 ]"","" ""))")," ини лаборатория по гидропонике типа  cience ube      103 ")</f>
        <v> ини лаборатория по гидропонике типа  cience ube      103 </v>
      </c>
    </row>
    <row r="1144">
      <c r="A1144" s="35" t="s">
        <v>2595</v>
      </c>
      <c r="B1144" s="9" t="s">
        <v>2596</v>
      </c>
      <c r="C1144" s="31"/>
      <c r="D1144" s="37" t="s">
        <v>1507</v>
      </c>
      <c r="E1144" s="10"/>
      <c r="F1144" s="36"/>
      <c r="G1144" s="11"/>
      <c r="H1144" s="34" t="str">
        <f>IFERROR(__xludf.DUMMYFUNCTION("LOWER(REGEXREPLACE(B1144&amp;"" ""&amp;C1144,""[^а-яa-z0-9 ]"","" ""))")," абор для исследований по естественным наукам ")</f>
        <v> абор для исследований по естественным наукам </v>
      </c>
    </row>
    <row r="1145">
      <c r="A1145" s="35" t="s">
        <v>2597</v>
      </c>
      <c r="B1145" s="9" t="s">
        <v>2598</v>
      </c>
      <c r="C1145" s="31" t="s">
        <v>2599</v>
      </c>
      <c r="D1145" s="37" t="s">
        <v>1507</v>
      </c>
      <c r="E1145" s="38">
        <v>2.0</v>
      </c>
      <c r="F1145" s="40">
        <v>4.85</v>
      </c>
      <c r="G1145" s="11">
        <v>254338.0</v>
      </c>
      <c r="H1145" s="34" t="str">
        <f>IFERROR(__xludf.DUMMYFUNCTION("LOWER(REGEXREPLACE(B1145&amp;"" ""&amp;C1145,""[^а-яa-z0-9 ]"","" ""))"),"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принципов"&amp;" магнетизма  комплект магнитов для научных экспериментов  комплект для изучения диамагнетизма")</f>
        <v>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v>
      </c>
    </row>
    <row r="1146">
      <c r="A1146" s="35" t="s">
        <v>2600</v>
      </c>
      <c r="B1146" s="31" t="s">
        <v>2601</v>
      </c>
      <c r="C1146" s="31" t="s">
        <v>2602</v>
      </c>
      <c r="D1146" s="37" t="s">
        <v>1507</v>
      </c>
      <c r="E1146" s="38">
        <v>2.0</v>
      </c>
      <c r="F1146" s="39">
        <v>1.9</v>
      </c>
      <c r="G1146" s="11">
        <v>221142.0</v>
      </c>
      <c r="H1146" s="34" t="str">
        <f>IFERROR(__xludf.DUMMYFUNCTION("LOWER(REGEXREPLACE(B1146&amp;"" ""&amp;C1146,""[^а-яa-z0-9 ]"","" ""))"),"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кры"&amp;"шкой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изо"&amp;"ляцией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"&amp;"г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немо"&amp;"нтированный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f>
        <v>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v>
      </c>
    </row>
    <row r="1147">
      <c r="A1147" s="35" t="s">
        <v>2603</v>
      </c>
      <c r="B1147" s="31" t="s">
        <v>2604</v>
      </c>
      <c r="C1147" s="31" t="s">
        <v>2605</v>
      </c>
      <c r="D1147" s="37" t="s">
        <v>1507</v>
      </c>
      <c r="E1147" s="38">
        <v>2.0</v>
      </c>
      <c r="F1147" s="39">
        <v>1.5</v>
      </c>
      <c r="G1147" s="11">
        <v>26850.0</v>
      </c>
      <c r="H1147" s="34" t="str">
        <f>IFERROR(__xludf.DUMMYFUNCTION("LOWER(REGEXREPLACE(B1147&amp;"" ""&amp;C1147,""[^а-яa-z0-9 ]"","" ""))"),"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"&amp;"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резин"&amp;"овая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f>
        <v>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v>
      </c>
    </row>
    <row r="1148">
      <c r="A1148" s="35" t="s">
        <v>2606</v>
      </c>
      <c r="B1148" s="31" t="s">
        <v>2607</v>
      </c>
      <c r="C1148" s="31" t="s">
        <v>2608</v>
      </c>
      <c r="D1148" s="37" t="s">
        <v>1507</v>
      </c>
      <c r="E1148" s="38">
        <v>2.0</v>
      </c>
      <c r="F1148" s="38">
        <v>2.0</v>
      </c>
      <c r="G1148" s="11">
        <v>69659.0</v>
      </c>
      <c r="H1148" s="34" t="str">
        <f>IFERROR(__xludf.DUMMYFUNCTION("LOWER(REGEXREPLACE(B1148&amp;"" ""&amp;C1148,""[^а-яa-z0-9 ]"","" ""))"),"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"&amp;"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коничес"&amp;"кая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инструме"&amp;"нтов препаровальных   ромывалка   ипетка химическая лабораторная")</f>
        <v>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инструментов препаровальных   ромывалка   ипетка химическая лабораторная</v>
      </c>
    </row>
    <row r="1149">
      <c r="A1149" s="35" t="s">
        <v>2609</v>
      </c>
      <c r="B1149" s="31" t="s">
        <v>2610</v>
      </c>
      <c r="C1149" s="31"/>
      <c r="D1149" s="37" t="s">
        <v>1507</v>
      </c>
      <c r="E1149" s="10"/>
      <c r="F1149" s="36"/>
      <c r="G1149" s="11"/>
      <c r="H1149" s="34" t="str">
        <f>IFERROR(__xludf.DUMMYFUNCTION("LOWER(REGEXREPLACE(B1149&amp;"" ""&amp;C1149,""[^а-яa-z0-9 ]"","" ""))")," абор демонстрационный для изучения атмосферного давления ")</f>
        <v> абор демонстрационный для изучения атмосферного давления </v>
      </c>
    </row>
    <row r="1150">
      <c r="A1150" s="35" t="s">
        <v>2611</v>
      </c>
      <c r="B1150" s="31" t="s">
        <v>2612</v>
      </c>
      <c r="C1150" s="31" t="s">
        <v>2613</v>
      </c>
      <c r="D1150" s="37" t="s">
        <v>1507</v>
      </c>
      <c r="E1150" s="38">
        <v>2.0</v>
      </c>
      <c r="F1150" s="40">
        <v>1.49</v>
      </c>
      <c r="G1150" s="11">
        <v>149197.0</v>
      </c>
      <c r="H1150" s="34" t="str">
        <f>IFERROR(__xludf.DUMMYFUNCTION("LOWER(REGEXREPLACE(B1150&amp;"" ""&amp;C1150,""[^а-яa-z0-9 ]"","" ""))"),"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шт"&amp;"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объемо"&amp;"м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пластиково"&amp;"го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"&amp;"1000 мл с манометром")</f>
        <v>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1000 мл с манометром</v>
      </c>
    </row>
    <row r="1151">
      <c r="A1151" s="35" t="s">
        <v>2614</v>
      </c>
      <c r="B1151" s="31" t="s">
        <v>2615</v>
      </c>
      <c r="C1151" s="31" t="s">
        <v>2616</v>
      </c>
      <c r="D1151" s="37" t="s">
        <v>1507</v>
      </c>
      <c r="E1151" s="38">
        <v>2.0</v>
      </c>
      <c r="F1151" s="40">
        <v>6.69</v>
      </c>
      <c r="G1151" s="11">
        <v>623058.0</v>
      </c>
      <c r="H1151" s="34" t="str">
        <f>IFERROR(__xludf.DUMMYFUNCTION("LOWER(REGEXREPLACE(B1151&amp;"" ""&amp;C1151,""[^а-яa-z0-9 ]"","" ""))"),"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90"&amp;"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"&amp;"трехлинзовое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трапециевид"&amp;"ной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"&amp;"на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воздуш"&amp;"ных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шт"&amp;"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f>
        <v>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v>
      </c>
    </row>
    <row r="1152">
      <c r="A1152" s="35" t="s">
        <v>2617</v>
      </c>
      <c r="B1152" s="31" t="s">
        <v>2618</v>
      </c>
      <c r="C1152" s="31" t="s">
        <v>2619</v>
      </c>
      <c r="D1152" s="37" t="s">
        <v>14</v>
      </c>
      <c r="E1152" s="38">
        <v>2.0</v>
      </c>
      <c r="F1152" s="40">
        <v>1.25</v>
      </c>
      <c r="G1152" s="11">
        <v>12496.0</v>
      </c>
      <c r="H1152" s="34" t="str">
        <f>IFERROR(__xludf.DUMMYFUNCTION("LOWER(REGEXREPLACE(B1152&amp;"" ""&amp;C1152,""[^а-яa-z0-9 ]"","" ""))"),"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"&amp;"шланга к воздушному или вакуумному насосу ")</f>
        <v>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шланга к воздушному или вакуумному насосу </v>
      </c>
    </row>
    <row r="1153">
      <c r="A1153" s="35" t="s">
        <v>2620</v>
      </c>
      <c r="B1153" s="31" t="s">
        <v>2621</v>
      </c>
      <c r="C1153" s="31" t="s">
        <v>2622</v>
      </c>
      <c r="D1153" s="37" t="s">
        <v>68</v>
      </c>
      <c r="E1153" s="38">
        <v>2.0</v>
      </c>
      <c r="F1153" s="39">
        <v>4.5</v>
      </c>
      <c r="G1153" s="11">
        <v>61866.0</v>
      </c>
      <c r="H1153" s="34" t="str">
        <f>IFERROR(__xludf.DUMMYFUNCTION("LOWER(REGEXREPLACE(B1153&amp;"" ""&amp;C1153,""[^а-яa-z0-9 ]"","" ""))"),"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1"&amp;"шт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"&amp;"1шт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инцет"&amp;"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паково"&amp;"чная тара 1шт")</f>
        <v>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паковочная тара 1шт</v>
      </c>
    </row>
    <row r="1154">
      <c r="A1154" s="35" t="s">
        <v>2623</v>
      </c>
      <c r="B1154" s="31" t="s">
        <v>2624</v>
      </c>
      <c r="C1154" s="31" t="s">
        <v>2625</v>
      </c>
      <c r="D1154" s="37" t="s">
        <v>1507</v>
      </c>
      <c r="E1154" s="38">
        <v>2.0</v>
      </c>
      <c r="F1154" s="40">
        <v>0.62</v>
      </c>
      <c r="G1154" s="11">
        <v>10524.0</v>
      </c>
      <c r="H1154" s="34" t="str">
        <f>IFERROR(__xludf.DUMMYFUNCTION("LOWER(REGEXREPLACE(B1154&amp;"" ""&amp;C1154,""[^а-яa-z0-9 ]"","" ""))"),"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ка"&amp;"пельницей 2шт  10  ильтр бумажный  упак  100 шт   1шт  11  ашка  етри 1шт")</f>
        <v>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капельницей 2шт  10  ильтр бумажный  упак  100 шт   1шт  11  ашка  етри 1шт</v>
      </c>
    </row>
    <row r="1155">
      <c r="A1155" s="35" t="s">
        <v>2626</v>
      </c>
      <c r="B1155" s="31" t="s">
        <v>2627</v>
      </c>
      <c r="C1155" s="31"/>
      <c r="D1155" s="36"/>
      <c r="E1155" s="10"/>
      <c r="F1155" s="36"/>
      <c r="G1155" s="11"/>
      <c r="H1155" s="34" t="str">
        <f>IFERROR(__xludf.DUMMYFUNCTION("LOWER(REGEXREPLACE(B1155&amp;"" ""&amp;C1155,""[^а-яa-z0-9 ]"","" ""))")," ифровая интерактивная лаборатория для экспериментов по биологии и химии ")</f>
        <v> ифровая интерактивная лаборатория для экспериментов по биологии и химии </v>
      </c>
    </row>
    <row r="1156">
      <c r="A1156" s="35" t="s">
        <v>2628</v>
      </c>
      <c r="B1156" s="31" t="s">
        <v>2629</v>
      </c>
      <c r="C1156" s="31"/>
      <c r="D1156" s="37" t="s">
        <v>14</v>
      </c>
      <c r="E1156" s="10"/>
      <c r="F1156" s="36"/>
      <c r="G1156" s="11"/>
      <c r="H1156" s="34" t="str">
        <f>IFERROR(__xludf.DUMMYFUNCTION("LOWER(REGEXREPLACE(B1156&amp;"" ""&amp;C1156,""[^а-яa-z0-9 ]"","" ""))")," атчик газа  2 ")</f>
        <v> атчик газа  2 </v>
      </c>
    </row>
    <row r="1157">
      <c r="A1157" s="35" t="s">
        <v>2630</v>
      </c>
      <c r="B1157" s="31" t="s">
        <v>2631</v>
      </c>
      <c r="C1157" s="31"/>
      <c r="D1157" s="37" t="s">
        <v>14</v>
      </c>
      <c r="E1157" s="10"/>
      <c r="F1157" s="42">
        <v>0.115</v>
      </c>
      <c r="G1157" s="11">
        <v>333947.0</v>
      </c>
      <c r="H1157" s="34" t="str">
        <f>IFERROR(__xludf.DUMMYFUNCTION("LOWER(REGEXREPLACE(B1157&amp;"" ""&amp;C1157,""[^а-яa-z0-9 ]"","" ""))"),"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данных"&amp;"  asysense2 на трех языках  каз   рус   англ  языке  ")</f>
        <v>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  asysense2 на трех языках  каз   рус   англ  языке  </v>
      </c>
    </row>
    <row r="1158">
      <c r="A1158" s="35" t="s">
        <v>2632</v>
      </c>
      <c r="B1158" s="9" t="s">
        <v>2633</v>
      </c>
      <c r="C1158" s="31"/>
      <c r="D1158" s="37" t="s">
        <v>14</v>
      </c>
      <c r="E1158" s="38">
        <v>2.0</v>
      </c>
      <c r="F1158" s="40">
        <v>0.06</v>
      </c>
      <c r="G1158" s="11">
        <v>288176.0</v>
      </c>
      <c r="H1158" s="34" t="str">
        <f>IFERROR(__xludf.DUMMYFUNCTION("LOWER(REGEXREPLACE(B1158&amp;"" ""&amp;C1158,""[^а-яa-z0-9 ]"","" ""))")," instein  атчик кислорода       температурная компенсация       422    иапазон  от 0 до 14 мг л   очность   5   по всему диапазону  после калибровки    азрешение  12 бит   0 003 мг л ")</f>
        <v> instein  атчик кислорода       температурная компенсация       422    иапазон  от 0 до 14 мг л   очность   5   по всему диапазону  после калибровки    азрешение  12 бит   0 003 мг л </v>
      </c>
    </row>
    <row r="1159">
      <c r="A1159" s="35" t="s">
        <v>2634</v>
      </c>
      <c r="B1159" s="31" t="s">
        <v>2635</v>
      </c>
      <c r="C1159" s="31"/>
      <c r="D1159" s="37" t="s">
        <v>14</v>
      </c>
      <c r="E1159" s="38">
        <v>2.0</v>
      </c>
      <c r="F1159" s="40">
        <v>0.06</v>
      </c>
      <c r="G1159" s="11">
        <v>328402.0</v>
      </c>
      <c r="H1159" s="34" t="str">
        <f>IFERROR(__xludf.DUMMYFUNCTION("LOWER(REGEXREPLACE(B1159&amp;"" ""&amp;C1159,""[^а-яa-z0-9 ]"","" ""))")," instein  атчик кислорода     газ         222   иапазон  от 0 до 14 мг л   очность   5   по всему диапазону  после калибровки    азрешение  12 бит   0 003 мг л ")</f>
        <v> instein  атчик кислорода     газ         222   иапазон  от 0 до 14 мг л   очность   5   по всему диапазону  после калибровки    азрешение  12 бит   0 003 мг л </v>
      </c>
    </row>
    <row r="1160">
      <c r="A1160" s="35" t="s">
        <v>2636</v>
      </c>
      <c r="B1160" s="9" t="s">
        <v>2637</v>
      </c>
      <c r="C1160" s="31"/>
      <c r="D1160" s="37" t="s">
        <v>14</v>
      </c>
      <c r="E1160" s="38">
        <v>2.0</v>
      </c>
      <c r="F1160" s="40">
        <v>0.14</v>
      </c>
      <c r="G1160" s="11">
        <v>299508.0</v>
      </c>
      <c r="H1160" s="34" t="str">
        <f>IFERROR(__xludf.DUMMYFUNCTION("LOWER(REGEXREPLACE(B1160&amp;"" ""&amp;C1160,""[^а-яa-z0-9 ]"","" ""))")," атчик уровня кислорода беспроводной типа  hywe  obra      sense  xygen 12933 01   иапазон  0 20 мг л   азрешение  0 01 мг л   иапазон  0 100     азрешение  0 1     астота  10  ц ")</f>
        <v> атчик уровня кислорода беспроводной типа  hywe  obra      sense  xygen 12933 01   иапазон  0 20 мг л   азрешение  0 01 мг л   иапазон  0 100     азрешение  0 1     астота  10  ц </v>
      </c>
    </row>
    <row r="1161">
      <c r="A1161" s="35" t="s">
        <v>2638</v>
      </c>
      <c r="B1161" s="31" t="s">
        <v>2639</v>
      </c>
      <c r="C1161" s="31"/>
      <c r="D1161" s="37" t="s">
        <v>14</v>
      </c>
      <c r="E1161" s="38">
        <v>2.0</v>
      </c>
      <c r="F1161" s="39">
        <v>0.2</v>
      </c>
      <c r="G1161" s="11">
        <v>208329.0</v>
      </c>
      <c r="H1161" s="34" t="str">
        <f>IFERROR(__xludf.DUMMYFUNCTION("LOWER(REGEXREPLACE(B1161&amp;"" ""&amp;C1161,""[^а-яa-z0-9 ]"","" ""))")," атчик уровня кислорода беспроводной типа  cience ube    113 2  ireless  xygen  as   иапазон  0 25    азрешение  0 1 m    иапозон     5 м л ")</f>
        <v> атчик уровня кислорода беспроводной типа  cience ube    113 2  ireless  xygen  as   иапазон  0 25    азрешение  0 1 m    иапозон     5 м л </v>
      </c>
    </row>
    <row r="1162">
      <c r="A1162" s="35" t="s">
        <v>2640</v>
      </c>
      <c r="B1162" s="9" t="s">
        <v>2641</v>
      </c>
      <c r="C1162" s="31"/>
      <c r="D1162" s="37" t="s">
        <v>14</v>
      </c>
      <c r="E1162" s="38">
        <v>2.0</v>
      </c>
      <c r="F1162" s="40">
        <v>0.22</v>
      </c>
      <c r="G1162" s="11">
        <v>145685.0</v>
      </c>
      <c r="H1162" s="34" t="str">
        <f>IFERROR(__xludf.DUMMYFUNCTION("LOWER(REGEXREPLACE(B1162&amp;"" ""&amp;C1162,""[^а-яa-z0-9 ]"","" ""))")," атчик растворенного кислорода типа  ense disc  1005   иапазон  0 20 мг л  0 100    очность     0 5 мг л     2    азрешение  0 1 мг л     2  ")</f>
        <v> атчик растворенного кислорода типа  ense disc  1005   иапазон  0 20 мг л  0 100    очность     0 5 мг л     2    азрешение  0 1 мг л     2  </v>
      </c>
    </row>
    <row r="1163">
      <c r="A1163" s="35" t="s">
        <v>2642</v>
      </c>
      <c r="B1163" s="9" t="s">
        <v>2643</v>
      </c>
      <c r="C1163" s="31"/>
      <c r="D1163" s="37" t="s">
        <v>14</v>
      </c>
      <c r="E1163" s="38">
        <v>2.0</v>
      </c>
      <c r="F1163" s="39">
        <v>0.1</v>
      </c>
      <c r="G1163" s="11">
        <v>195145.0</v>
      </c>
      <c r="H1163" s="34" t="str">
        <f>IFERROR(__xludf.DUMMYFUNCTION("LOWER(REGEXREPLACE(B1163&amp;"" ""&amp;C1163,""[^а-яa-z0-9 ]"","" ""))")," атчик уровня кислорода типа  icro ab  lab o2   иапазон измерения 0 25    увствительность 0 05 0 15 м   в воздухе  ")</f>
        <v> атчик уровня кислорода типа  icro ab  lab o2   иапазон измерения 0 25    увствительность 0 05 0 15 м   в воздухе  </v>
      </c>
    </row>
    <row r="1164">
      <c r="A1164" s="35" t="s">
        <v>2644</v>
      </c>
      <c r="B1164" s="31" t="s">
        <v>2645</v>
      </c>
      <c r="C1164" s="31"/>
      <c r="D1164" s="37" t="s">
        <v>14</v>
      </c>
      <c r="E1164" s="38">
        <v>2.0</v>
      </c>
      <c r="F1164" s="39">
        <v>0.3</v>
      </c>
      <c r="G1164" s="11">
        <v>178352.0</v>
      </c>
      <c r="H1164" s="34" t="str">
        <f>IFERROR(__xludf.DUMMYFUNCTION("LOWER(REGEXREPLACE(B1164&amp;"" ""&amp;C1164,""[^а-яa-z0-9 ]"","" ""))")," атчик кислорода   иапазон измерения  от 0 до 12 5 мг л   2   очность     2  во всем диапазоне ")</f>
        <v> атчик кислорода   иапазон измерения  от 0 до 12 5 мг л   2   очность     2  во всем диапазоне </v>
      </c>
    </row>
    <row r="1165">
      <c r="A1165" s="35" t="s">
        <v>2646</v>
      </c>
      <c r="B1165" s="31" t="s">
        <v>2647</v>
      </c>
      <c r="C1165" s="31"/>
      <c r="D1165" s="37" t="s">
        <v>14</v>
      </c>
      <c r="E1165" s="38">
        <v>2.0</v>
      </c>
      <c r="F1165" s="39">
        <v>0.3</v>
      </c>
      <c r="G1165" s="11">
        <v>262281.0</v>
      </c>
      <c r="H1165" s="34" t="str">
        <f>IFERROR(__xludf.DUMMYFUNCTION("LOWER(REGEXREPLACE(B1165&amp;"" ""&amp;C1165,""[^а-яa-z0-9 ]"","" ""))")," атчик растворенного кислорода   иапазон измерения  0 20 мг л или 0 200  насыщенность  уровень защиты   68  диапазон рабочей температуры 0 50     точность температуры     0 2    ")</f>
        <v> атчик растворенного кислорода   иапазон измерения  0 20 мг л или 0 200  насыщенность  уровень защиты   68  диапазон рабочей температуры 0 50     точность температуры     0 2    </v>
      </c>
    </row>
    <row r="1166">
      <c r="A1166" s="35" t="s">
        <v>2648</v>
      </c>
      <c r="B1166" s="31" t="s">
        <v>2649</v>
      </c>
      <c r="C1166" s="31"/>
      <c r="D1166" s="37" t="s">
        <v>14</v>
      </c>
      <c r="E1166" s="10"/>
      <c r="F1166" s="36"/>
      <c r="G1166" s="11"/>
      <c r="H1166" s="34" t="str">
        <f>IFERROR(__xludf.DUMMYFUNCTION("LOWER(REGEXREPLACE(B1166&amp;"" ""&amp;C1166,""[^а-яa-z0-9 ]"","" ""))")," атчик газа   2 ")</f>
        <v> атчик газа   2 </v>
      </c>
    </row>
    <row r="1167">
      <c r="A1167" s="35" t="s">
        <v>2650</v>
      </c>
      <c r="B1167" s="9" t="s">
        <v>2651</v>
      </c>
      <c r="C1167" s="31"/>
      <c r="D1167" s="37" t="s">
        <v>14</v>
      </c>
      <c r="E1167" s="10"/>
      <c r="F1167" s="42">
        <v>0.122</v>
      </c>
      <c r="G1167" s="11">
        <v>333947.0</v>
      </c>
      <c r="H1167" s="34" t="str">
        <f>IFERROR(__xludf.DUMMYFUNCTION("LOWER(REGEXREPLACE(B1167&amp;"" ""&amp;C1167,""[^а-яa-z0-9 ]"","" ""))"),"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"&amp;" asysense2 на трех языках  каз   рус   англ  языке  ")</f>
        <v>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asysense2 на трех языках  каз   рус   англ  языке  </v>
      </c>
    </row>
    <row r="1168">
      <c r="A1168" s="35" t="s">
        <v>2652</v>
      </c>
      <c r="B1168" s="31" t="s">
        <v>2653</v>
      </c>
      <c r="C1168" s="31"/>
      <c r="D1168" s="37" t="s">
        <v>14</v>
      </c>
      <c r="E1168" s="38">
        <v>2.0</v>
      </c>
      <c r="F1168" s="40">
        <v>0.06</v>
      </c>
      <c r="G1168" s="11">
        <v>292268.0</v>
      </c>
      <c r="H1168" s="34" t="str">
        <f>IFERROR(__xludf.DUMMYFUNCTION("LOWER(REGEXREPLACE(B1168&amp;"" ""&amp;C1168,""[^а-яa-z0-9 ]"","" ""))")," instein   атчик углекислого газа     2 040    иапазон  от 350 до 10 000 частей на миллион   очность   50 частей на миллион     5  полной шкалы  ")</f>
        <v> instein   атчик углекислого газа     2 040    иапазон  от 350 до 10 000 частей на миллион   очность   50 частей на миллион     5  полной шкалы  </v>
      </c>
    </row>
    <row r="1169">
      <c r="A1169" s="35" t="s">
        <v>2654</v>
      </c>
      <c r="B1169" s="31" t="s">
        <v>2655</v>
      </c>
      <c r="C1169" s="31"/>
      <c r="D1169" s="37" t="s">
        <v>14</v>
      </c>
      <c r="E1169" s="38">
        <v>2.0</v>
      </c>
      <c r="F1169" s="39">
        <v>0.1</v>
      </c>
      <c r="G1169" s="11">
        <v>228244.0</v>
      </c>
      <c r="H1169" s="34" t="str">
        <f>IFERROR(__xludf.DUMMYFUNCTION("LOWER(REGEXREPLACE(B1169&amp;"" ""&amp;C1169,""[^а-яa-z0-9 ]"","" ""))")," нешний датчик углекислого газа  lobisense   иапазон от 0 до 5000 частей на миллион  коммуникация  50 частей на миллион ")</f>
        <v> нешний датчик углекислого газа  lobisense   иапазон от 0 до 5000 частей на миллион  коммуникация  50 частей на миллион </v>
      </c>
    </row>
    <row r="1170">
      <c r="A1170" s="35" t="s">
        <v>2656</v>
      </c>
      <c r="B1170" s="9" t="s">
        <v>2657</v>
      </c>
      <c r="C1170" s="31"/>
      <c r="D1170" s="37" t="s">
        <v>14</v>
      </c>
      <c r="E1170" s="38">
        <v>2.0</v>
      </c>
      <c r="F1170" s="40">
        <v>0.14</v>
      </c>
      <c r="G1170" s="11">
        <v>294467.0</v>
      </c>
      <c r="H1170" s="34" t="str">
        <f>IFERROR(__xludf.DUMMYFUNCTION("LOWER(REGEXREPLACE(B1170&amp;"" ""&amp;C1170,""[^а-яa-z0-9 ]"","" ""))")," атчик уровня углекислого газа беспроводной типа  hywe  obra      sense   2 12932 01   иапазон  0 100000 ppm   азрешение  2 ppm   астота  1  ц ")</f>
        <v> атчик уровня углекислого газа беспроводной типа  hywe  obra      sense   2 12932 01   иапазон  0 100000 ppm   азрешение  2 ppm   астота  1  ц </v>
      </c>
    </row>
    <row r="1171">
      <c r="A1171" s="35" t="s">
        <v>2658</v>
      </c>
      <c r="B1171" s="31" t="s">
        <v>2659</v>
      </c>
      <c r="C1171" s="31"/>
      <c r="D1171" s="37" t="s">
        <v>14</v>
      </c>
      <c r="E1171" s="38">
        <v>2.0</v>
      </c>
      <c r="F1171" s="39">
        <v>0.2</v>
      </c>
      <c r="G1171" s="11">
        <v>237709.0</v>
      </c>
      <c r="H1171" s="34" t="str">
        <f>IFERROR(__xludf.DUMMYFUNCTION("LOWER(REGEXREPLACE(B1171&amp;"" ""&amp;C1171,""[^а-яa-z0-9 ]"","" ""))")," атчик уровня углекислого газа беспроводной типа  cience ube    111  2  ireless   2  as   иапазон  0 5 000 ч млн   азрешение  1 ч млн   иапазон     5 м л ")</f>
        <v> атчик уровня углекислого газа беспроводной типа  cience ube    111  2  ireless   2  as   иапазон  0 5 000 ч млн   азрешение  1 ч млн   иапазон     5 м л </v>
      </c>
    </row>
    <row r="1172">
      <c r="A1172" s="35" t="s">
        <v>2660</v>
      </c>
      <c r="B1172" s="9" t="s">
        <v>2661</v>
      </c>
      <c r="C1172" s="31"/>
      <c r="D1172" s="37" t="s">
        <v>14</v>
      </c>
      <c r="E1172" s="38">
        <v>2.0</v>
      </c>
      <c r="F1172" s="40">
        <v>0.23</v>
      </c>
      <c r="G1172" s="11">
        <v>125047.0</v>
      </c>
      <c r="H1172" s="34" t="str">
        <f>IFERROR(__xludf.DUMMYFUNCTION("LOWER(REGEXREPLACE(B1172&amp;"" ""&amp;C1172,""[^а-яa-z0-9 ]"","" ""))")," атчик углекислого газа   2 типа  ense disc  1007   иапазон  0 100000 ppm   азрешение  2 ppm ")</f>
        <v> атчик углекислого газа   2 типа  ense disc  1007   иапазон  0 100000 ppm   азрешение  2 ppm </v>
      </c>
    </row>
    <row r="1173">
      <c r="A1173" s="35" t="s">
        <v>2662</v>
      </c>
      <c r="B1173" s="9" t="s">
        <v>2663</v>
      </c>
      <c r="C1173" s="31"/>
      <c r="D1173" s="37" t="s">
        <v>14</v>
      </c>
      <c r="E1173" s="38">
        <v>2.0</v>
      </c>
      <c r="F1173" s="39">
        <v>0.1</v>
      </c>
      <c r="G1173" s="11">
        <v>205397.0</v>
      </c>
      <c r="H1173" s="34" t="str">
        <f>IFERROR(__xludf.DUMMYFUNCTION("LOWER(REGEXREPLACE(B1173&amp;"" ""&amp;C1173,""[^а-яa-z0-9 ]"","" ""))")," атчик уровня углекислого газа типа  icro ab  lab co2   змерение диапазона 0 2000 частей на миллион         азрешение 1     0 2000 частей на миллион         очность 200 частей на миллион ")</f>
        <v> атчик уровня углекислого газа типа  icro ab  lab co2   змерение диапазона 0 2000 частей на миллион         азрешение 1     0 2000 частей на миллион         очность 200 частей на миллион </v>
      </c>
    </row>
    <row r="1174">
      <c r="A1174" s="35" t="s">
        <v>2664</v>
      </c>
      <c r="B1174" s="31" t="s">
        <v>2665</v>
      </c>
      <c r="C1174" s="31"/>
      <c r="D1174" s="37" t="s">
        <v>14</v>
      </c>
      <c r="E1174" s="38">
        <v>2.0</v>
      </c>
      <c r="F1174" s="39">
        <v>0.3</v>
      </c>
      <c r="G1174" s="11">
        <v>220317.0</v>
      </c>
      <c r="H1174" s="34" t="str">
        <f>IFERROR(__xludf.DUMMYFUNCTION("LOWER(REGEXREPLACE(B1174&amp;"" ""&amp;C1174,""[^а-яa-z0-9 ]"","" ""))")," атчик углекислого газа   иапазон измерения  от 350 до 5000 мд  ppm    очность     20   ")</f>
        <v> атчик углекислого газа   иапазон измерения  от 350 до 5000 мд  ppm    очность     20   </v>
      </c>
    </row>
    <row r="1175">
      <c r="A1175" s="35" t="s">
        <v>2666</v>
      </c>
      <c r="B1175" s="31" t="s">
        <v>2667</v>
      </c>
      <c r="C1175" s="31"/>
      <c r="D1175" s="37" t="s">
        <v>14</v>
      </c>
      <c r="E1175" s="10"/>
      <c r="F1175" s="36"/>
      <c r="G1175" s="11"/>
      <c r="H1175" s="34" t="str">
        <f>IFERROR(__xludf.DUMMYFUNCTION("LOWER(REGEXREPLACE(B1175&amp;"" ""&amp;C1175,""[^а-яa-z0-9 ]"","" ""))")," атчик давления ")</f>
        <v> атчик давления </v>
      </c>
    </row>
    <row r="1176">
      <c r="A1176" s="35" t="s">
        <v>2668</v>
      </c>
      <c r="B1176" s="31" t="s">
        <v>2669</v>
      </c>
      <c r="C1176" s="31"/>
      <c r="D1176" s="37" t="s">
        <v>14</v>
      </c>
      <c r="E1176" s="10"/>
      <c r="F1176" s="36"/>
      <c r="G1176" s="11">
        <v>98697.0</v>
      </c>
      <c r="H1176" s="34" t="str">
        <f>IFERROR(__xludf.DUMMYFUNCTION("LOWER(REGEXREPLACE(B1176&amp;"" ""&amp;C1176,""[^а-яa-z0-9 ]"","" ""))")," атчик давления газа беспроводной  o  irect          иапазон  от 0 до 400 к а   ена деления  0 03 к а   очность   3 к а   нутренний объем  0 8 мл ")</f>
        <v> атчик давления газа беспроводной  o  irect          иапазон  от 0 до 400 к а   ена деления  0 03 к а   очность   3 к а   нутренний объем  0 8 мл </v>
      </c>
    </row>
    <row r="1177">
      <c r="A1177" s="35" t="s">
        <v>2670</v>
      </c>
      <c r="B1177" s="31" t="s">
        <v>2671</v>
      </c>
      <c r="C1177" s="31"/>
      <c r="D1177" s="37" t="s">
        <v>14</v>
      </c>
      <c r="E1177" s="10"/>
      <c r="F1177" s="40">
        <v>0.08</v>
      </c>
      <c r="G1177" s="11">
        <v>145722.0</v>
      </c>
      <c r="H1177" s="34" t="str">
        <f>IFERROR(__xludf.DUMMYFUNCTION("LOWER(REGEXREPLACE(B1177&amp;"" ""&amp;C1177,""[^а-яa-z0-9 ]"","" ""))"),"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юэ"&amp;"ра     сбора и обработки данных  asysense2 на трех языках  каз   рус   англ  языке  ")</f>
        <v>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юэра     сбора и обработки данных  asysense2 на трех языках  каз   рус   англ  языке  </v>
      </c>
    </row>
    <row r="1178">
      <c r="A1178" s="35" t="s">
        <v>2672</v>
      </c>
      <c r="B1178" s="9" t="s">
        <v>2673</v>
      </c>
      <c r="C1178" s="31"/>
      <c r="D1178" s="37" t="s">
        <v>14</v>
      </c>
      <c r="E1178" s="10"/>
      <c r="F1178" s="40">
        <v>0.08</v>
      </c>
      <c r="G1178" s="11">
        <v>165379.0</v>
      </c>
      <c r="H1178" s="34" t="str">
        <f>IFERROR(__xludf.DUMMYFUNCTION("LOWER(REGEXREPLACE(B1178&amp;"" ""&amp;C1178,""[^а-яa-z0-9 ]"","" ""))"),"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"&amp;"обработки данных  asysense2 на трех языках  каз   рус   англ  языке  ")</f>
        <v>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обработки данных  asysense2 на трех языках  каз   рус   англ  языке  </v>
      </c>
    </row>
    <row r="1179">
      <c r="A1179" s="35" t="s">
        <v>2674</v>
      </c>
      <c r="B1179" s="31" t="s">
        <v>2675</v>
      </c>
      <c r="C1179" s="31"/>
      <c r="D1179" s="37" t="s">
        <v>14</v>
      </c>
      <c r="E1179" s="10"/>
      <c r="F1179" s="40">
        <v>0.08</v>
      </c>
      <c r="G1179" s="11">
        <v>127249.0</v>
      </c>
      <c r="H1179" s="34" t="str">
        <f>IFERROR(__xludf.DUMMYFUNCTION("LOWER(REGEXREPLACE(B1179&amp;"" ""&amp;C1179,""[^а-яa-z0-9 ]"","" ""))"),"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"&amp;"юэра     сбора и обработки данных  asysense2 на трех языках  каз   рус   англ  языке  ")</f>
        <v>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юэра     сбора и обработки данных  asysense2 на трех языках  каз   рус   англ  языке  </v>
      </c>
    </row>
    <row r="1180">
      <c r="A1180" s="35" t="s">
        <v>2676</v>
      </c>
      <c r="B1180" s="9" t="s">
        <v>2677</v>
      </c>
      <c r="C1180" s="31"/>
      <c r="D1180" s="37" t="s">
        <v>14</v>
      </c>
      <c r="E1180" s="38">
        <v>2.0</v>
      </c>
      <c r="F1180" s="40">
        <v>0.06</v>
      </c>
      <c r="G1180" s="11">
        <v>160994.0</v>
      </c>
      <c r="H1180" s="34" t="str">
        <f>IFERROR(__xludf.DUMMYFUNCTION("LOWER(REGEXREPLACE(B1180&amp;"" ""&amp;C1180,""[^а-яa-z0-9 ]"","" ""))")," instein   атчик давления газа  400 к а       015 4   иапазон  20 400 к а   очность   1 5   по всему диапазону   азрешение  12 бит   0 10 к а ")</f>
        <v> instein   атчик давления газа  400 к а       015 4   иапазон  20 400 к а   очность   1 5   по всему диапазону   азрешение  12 бит   0 10 к а </v>
      </c>
    </row>
    <row r="1181">
      <c r="A1181" s="35" t="s">
        <v>2678</v>
      </c>
      <c r="B1181" s="9" t="s">
        <v>2679</v>
      </c>
      <c r="C1181" s="31"/>
      <c r="D1181" s="37" t="s">
        <v>14</v>
      </c>
      <c r="E1181" s="10"/>
      <c r="F1181" s="40">
        <v>0.06</v>
      </c>
      <c r="G1181" s="11">
        <v>193435.0</v>
      </c>
      <c r="H1181" s="34" t="str">
        <f>IFERROR(__xludf.DUMMYFUNCTION("LOWER(REGEXREPLACE(B1181&amp;"" ""&amp;C1181,""[^а-яa-z0-9 ]"","" ""))")," instein   атчик давления  барометрическое давление       015   иапазон  от 150 до 1150 мбар   очность     1 5   по всему диапазону   азрешение  12 бит   0 27 мбар ")</f>
        <v> instein   атчик давления  барометрическое давление       015   иапазон  от 150 до 1150 мбар   очность     1 5   по всему диапазону   азрешение  12 бит   0 27 мбар </v>
      </c>
    </row>
    <row r="1182">
      <c r="A1182" s="35" t="s">
        <v>2680</v>
      </c>
      <c r="B1182" s="9" t="s">
        <v>2681</v>
      </c>
      <c r="C1182" s="31"/>
      <c r="D1182" s="37" t="s">
        <v>14</v>
      </c>
      <c r="E1182" s="38">
        <v>2.0</v>
      </c>
      <c r="F1182" s="40">
        <v>0.12</v>
      </c>
      <c r="G1182" s="11">
        <v>125361.0</v>
      </c>
      <c r="H1182" s="34" t="str">
        <f>IFERROR(__xludf.DUMMYFUNCTION("LOWER(REGEXREPLACE(B1182&amp;"" ""&amp;C1182,""[^а-яa-z0-9 ]"","" ""))")," атчик абсолютного давления беспроводной типа  hywe  obra      sense  bsolute  ressure 12905 01   иапазон  20 400 к а   азрешение  0 1 к а   астота измерений  500  ц ")</f>
        <v> атчик абсолютного давления беспроводной типа  hywe  obra      sense  bsolute  ressure 12905 01   иапазон  20 400 к а   азрешение  0 1 к а   астота измерений  500  ц </v>
      </c>
    </row>
    <row r="1183">
      <c r="A1183" s="35" t="s">
        <v>2682</v>
      </c>
      <c r="B1183" s="9" t="s">
        <v>2683</v>
      </c>
      <c r="C1183" s="31"/>
      <c r="D1183" s="37" t="s">
        <v>14</v>
      </c>
      <c r="E1183" s="38">
        <v>2.0</v>
      </c>
      <c r="F1183" s="40">
        <v>0.29</v>
      </c>
      <c r="G1183" s="11">
        <v>186156.0</v>
      </c>
      <c r="H1183" s="34" t="str">
        <f>IFERROR(__xludf.DUMMYFUNCTION("LOWER(REGEXREPLACE(B1183&amp;"" ""&amp;C1183,""[^а-яa-z0-9 ]"","" ""))")," атчик для измерения артериального давления беспроводной типа  hywe  obra      sense  lood  ressure 12944 00   иапазон  0     375 мм рт  ст   азрешение  0 05 мм рт  ст   астота  500  ц ")</f>
        <v> атчик для измерения артериального давления беспроводной типа  hywe  obra      sense  lood  ressure 12944 00   иапазон  0     375 мм рт  ст   азрешение  0 05 мм рт  ст   астота  500  ц </v>
      </c>
    </row>
    <row r="1184">
      <c r="A1184" s="35" t="s">
        <v>2684</v>
      </c>
      <c r="B1184" s="9" t="s">
        <v>2685</v>
      </c>
      <c r="C1184" s="31"/>
      <c r="D1184" s="37" t="s">
        <v>14</v>
      </c>
      <c r="E1184" s="38">
        <v>2.0</v>
      </c>
      <c r="F1184" s="40">
        <v>0.16</v>
      </c>
      <c r="G1184" s="11">
        <v>97123.0</v>
      </c>
      <c r="H1184" s="34" t="str">
        <f>IFERROR(__xludf.DUMMYFUNCTION("LOWER(REGEXREPLACE(B1184&amp;"" ""&amp;C1184,""[^а-яa-z0-9 ]"","" ""))")," атчик давления газа беспроводной типа  cience ube   103      иапазон   1000  3000 г а  очность     1    азрешение  0 244 г а ")</f>
        <v> атчик давления газа беспроводной типа  cience ube   103      иапазон   1000  3000 г а  очность     1    азрешение  0 244 г а </v>
      </c>
    </row>
    <row r="1185">
      <c r="A1185" s="35" t="s">
        <v>2686</v>
      </c>
      <c r="B1185" s="31" t="s">
        <v>2687</v>
      </c>
      <c r="C1185" s="31"/>
      <c r="D1185" s="37" t="s">
        <v>14</v>
      </c>
      <c r="E1185" s="38">
        <v>2.0</v>
      </c>
      <c r="F1185" s="40">
        <v>0.18</v>
      </c>
      <c r="G1185" s="11">
        <v>97124.0</v>
      </c>
      <c r="H1185" s="34" t="str">
        <f>IFERROR(__xludf.DUMMYFUNCTION("LOWER(REGEXREPLACE(B1185&amp;"" ""&amp;C1185,""[^а-яa-z0-9 ]"","" ""))")," атчик атмосферного давления беспроводной типа   116   cience ube   иапазон   650 650   а   азрешение  0 355   а ")</f>
        <v> атчик атмосферного давления беспроводной типа   116   cience ube   иапазон   650 650   а   азрешение  0 355   а </v>
      </c>
    </row>
    <row r="1186">
      <c r="A1186" s="35" t="s">
        <v>2688</v>
      </c>
      <c r="B1186" s="9" t="s">
        <v>2689</v>
      </c>
      <c r="C1186" s="31"/>
      <c r="D1186" s="37" t="s">
        <v>14</v>
      </c>
      <c r="E1186" s="38">
        <v>2.0</v>
      </c>
      <c r="F1186" s="40">
        <v>0.16</v>
      </c>
      <c r="G1186" s="11">
        <v>36422.0</v>
      </c>
      <c r="H1186" s="34" t="str">
        <f>IFERROR(__xludf.DUMMYFUNCTION("LOWER(REGEXREPLACE(B1186&amp;"" ""&amp;C1186,""[^а-яa-z0-9 ]"","" ""))")," атчик абсолютного давления типа  ense disc  0024   иапазон  0 400 к а   очность     6 к а   азрешение  0 1 к а ")</f>
        <v> атчик абсолютного давления типа  ense disc  0024   иапазон  0 400 к а   очность     6 к а   азрешение  0 1 к а </v>
      </c>
    </row>
    <row r="1187">
      <c r="A1187" s="35" t="s">
        <v>2690</v>
      </c>
      <c r="B1187" s="9" t="s">
        <v>2691</v>
      </c>
      <c r="C1187" s="31"/>
      <c r="D1187" s="37" t="s">
        <v>14</v>
      </c>
      <c r="E1187" s="38">
        <v>2.0</v>
      </c>
      <c r="F1187" s="39">
        <v>0.2</v>
      </c>
      <c r="G1187" s="11">
        <v>41278.0</v>
      </c>
      <c r="H1187" s="34" t="str">
        <f>IFERROR(__xludf.DUMMYFUNCTION("LOWER(REGEXREPLACE(B1187&amp;"" ""&amp;C1187,""[^а-яa-z0-9 ]"","" ""))")," атчик относительного давления типа  ense disc  0025   иапазон   20 к а 20 к а   очность  0 01 к а   азрешение     5  ")</f>
        <v> атчик относительного давления типа  ense disc  0025   иапазон   20 к а 20 к а   очность  0 01 к а   азрешение     5  </v>
      </c>
    </row>
    <row r="1188">
      <c r="A1188" s="35" t="s">
        <v>2692</v>
      </c>
      <c r="B1188" s="31" t="s">
        <v>2693</v>
      </c>
      <c r="C1188" s="31"/>
      <c r="D1188" s="37" t="s">
        <v>14</v>
      </c>
      <c r="E1188" s="38">
        <v>2.0</v>
      </c>
      <c r="F1188" s="39">
        <v>0.1</v>
      </c>
      <c r="G1188" s="11">
        <v>85522.0</v>
      </c>
      <c r="H1188" s="34" t="str">
        <f>IFERROR(__xludf.DUMMYFUNCTION("LOWER(REGEXREPLACE(B1188&amp;"" ""&amp;C1188,""[^а-яa-z0-9 ]"","" ""))")," атчик давления газа типа  icro ab  lab gaspressure   иапазон от 15 к а до 700 к а ")</f>
        <v> атчик давления газа типа  icro ab  lab gaspressure   иапазон от 15 к а до 700 к а </v>
      </c>
    </row>
    <row r="1189">
      <c r="A1189" s="35" t="s">
        <v>2694</v>
      </c>
      <c r="B1189" s="31" t="s">
        <v>2695</v>
      </c>
      <c r="C1189" s="31"/>
      <c r="D1189" s="37" t="s">
        <v>14</v>
      </c>
      <c r="E1189" s="38">
        <v>2.0</v>
      </c>
      <c r="F1189" s="39">
        <v>0.1</v>
      </c>
      <c r="G1189" s="11">
        <v>55037.0</v>
      </c>
      <c r="H1189" s="34" t="str">
        <f>IFERROR(__xludf.DUMMYFUNCTION("LOWER(REGEXREPLACE(B1189&amp;"" ""&amp;C1189,""[^а-яa-z0-9 ]"","" ""))")," атчик атмосферного давления типа  icro ab  lab pressure   иапазон измерения 300 1100 г а  1 г а   сто  а  с точностью    1 0 г а ")</f>
        <v> атчик атмосферного давления типа  icro ab  lab pressure   иапазон измерения 300 1100 г а  1 г а   сто  а  с точностью    1 0 г а </v>
      </c>
    </row>
    <row r="1190">
      <c r="A1190" s="35" t="s">
        <v>2696</v>
      </c>
      <c r="B1190" s="31" t="s">
        <v>2697</v>
      </c>
      <c r="C1190" s="31"/>
      <c r="D1190" s="37" t="s">
        <v>14</v>
      </c>
      <c r="E1190" s="38">
        <v>2.0</v>
      </c>
      <c r="F1190" s="40">
        <v>0.08</v>
      </c>
      <c r="G1190" s="11">
        <v>210703.0</v>
      </c>
      <c r="H1190" s="34" t="str">
        <f>IFERROR(__xludf.DUMMYFUNCTION("LOWER(REGEXREPLACE(B1190&amp;"" ""&amp;C1190,""[^а-яa-z0-9 ]"","" ""))"),"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f>
        <v>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v>
      </c>
    </row>
    <row r="1191">
      <c r="A1191" s="35" t="s">
        <v>2698</v>
      </c>
      <c r="B1191" s="31" t="s">
        <v>2699</v>
      </c>
      <c r="C1191" s="31"/>
      <c r="D1191" s="37" t="s">
        <v>14</v>
      </c>
      <c r="E1191" s="38">
        <v>2.0</v>
      </c>
      <c r="F1191" s="39">
        <v>0.3</v>
      </c>
      <c r="G1191" s="11">
        <v>89176.0</v>
      </c>
      <c r="H1191" s="34" t="str">
        <f>IFERROR(__xludf.DUMMYFUNCTION("LOWER(REGEXREPLACE(B1191&amp;"" ""&amp;C1191,""[^а-яa-z0-9 ]"","" ""))")," атчик атмосферного давления   иапазон измерения  0  2 068 г а   азрешение  0 6 г а ")</f>
        <v> атчик атмосферного давления   иапазон измерения  0  2 068 г а   азрешение  0 6 г а </v>
      </c>
    </row>
    <row r="1192">
      <c r="A1192" s="35" t="s">
        <v>2700</v>
      </c>
      <c r="B1192" s="31" t="s">
        <v>2701</v>
      </c>
      <c r="C1192" s="31"/>
      <c r="D1192" s="37" t="s">
        <v>14</v>
      </c>
      <c r="E1192" s="10"/>
      <c r="F1192" s="36"/>
      <c r="G1192" s="11"/>
      <c r="H1192" s="34" t="str">
        <f>IFERROR(__xludf.DUMMYFUNCTION("LOWER(REGEXREPLACE(B1192&amp;"" ""&amp;C1192,""[^а-яa-z0-9 ]"","" ""))")," атчик температуры ")</f>
        <v> атчик температуры </v>
      </c>
    </row>
    <row r="1193">
      <c r="A1193" s="35" t="s">
        <v>2702</v>
      </c>
      <c r="B1193" s="31" t="s">
        <v>2703</v>
      </c>
      <c r="C1193" s="31"/>
      <c r="D1193" s="37" t="s">
        <v>14</v>
      </c>
      <c r="E1193" s="10"/>
      <c r="F1193" s="36"/>
      <c r="G1193" s="11">
        <v>77761.0</v>
      </c>
      <c r="H1193" s="34" t="str">
        <f>IFERROR(__xludf.DUMMYFUNCTION("LOWER(REGEXREPLACE(B1193&amp;"" ""&amp;C1193,""[^а-яa-z0-9 ]"","" ""))")," атчик температуры беспроводной  o  irect           иапазон  от  40 до 125       орма для корпуса  10   45       ена деления  0 07       очность    0 3     ")</f>
        <v> атчик температуры беспроводной  o  irect           иапазон  от  40 до 125       орма для корпуса  10   45       ена деления  0 07       очность    0 3     </v>
      </c>
    </row>
    <row r="1194">
      <c r="A1194" s="35" t="s">
        <v>2704</v>
      </c>
      <c r="B1194" s="9" t="s">
        <v>2705</v>
      </c>
      <c r="C1194" s="31"/>
      <c r="D1194" s="37" t="s">
        <v>14</v>
      </c>
      <c r="E1194" s="10"/>
      <c r="F1194" s="42">
        <v>0.074</v>
      </c>
      <c r="G1194" s="11">
        <v>103220.0</v>
      </c>
      <c r="H1194" s="34" t="str">
        <f>IFERROR(__xludf.DUMMYFUNCTION("LOWER(REGEXREPLACE(B1194&amp;"" ""&amp;C1194,""[^а-яa-z0-9 ]"","" ""))"),"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f>
        <v>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v>
      </c>
    </row>
    <row r="1195">
      <c r="A1195" s="35" t="s">
        <v>2706</v>
      </c>
      <c r="B1195" s="9" t="s">
        <v>2707</v>
      </c>
      <c r="C1195" s="31"/>
      <c r="D1195" s="37" t="s">
        <v>14</v>
      </c>
      <c r="E1195" s="38">
        <v>2.0</v>
      </c>
      <c r="F1195" s="40">
        <v>0.06</v>
      </c>
      <c r="G1195" s="11">
        <v>212391.0</v>
      </c>
      <c r="H1195" s="34" t="str">
        <f>IFERROR(__xludf.DUMMYFUNCTION("LOWER(REGEXREPLACE(B1195&amp;"" ""&amp;C1195,""[^а-яa-z0-9 ]"","" ""))")," instein   атчик солености   температуры         иапазон  24   52 000 ppm   очность     8   по всему диапазону   азрешение  12 бит   12 стр  мин ")</f>
        <v> instein   атчик солености   температуры         иапазон  24   52 000 ppm   очность     8   по всему диапазону   азрешение  12 бит   12 стр  мин </v>
      </c>
    </row>
    <row r="1196">
      <c r="A1196" s="35" t="s">
        <v>2708</v>
      </c>
      <c r="B1196" s="9" t="s">
        <v>2709</v>
      </c>
      <c r="C1196" s="31"/>
      <c r="D1196" s="37" t="s">
        <v>14</v>
      </c>
      <c r="E1196" s="38">
        <v>2.0</v>
      </c>
      <c r="F1196" s="40">
        <v>0.06</v>
      </c>
      <c r="G1196" s="11">
        <v>81695.0</v>
      </c>
      <c r="H1196" s="34" t="str">
        <f>IFERROR(__xludf.DUMMYFUNCTION("LOWER(REGEXREPLACE(B1196&amp;"" ""&amp;C1196,""[^а-яa-z0-9 ]"","" ""))")," instein   атчик температуры поверхности   40 to 140          060   иапазон  от  40 до 140     иапазон  от  40 до 284     очность   2  по всему диапазону   азрешение  12 бит   0 03  ")</f>
        <v> instein   атчик температуры поверхности   40 to 140          060   иапазон  от  40 до 140     иапазон  от  40 до 284     очность   2  по всему диапазону   азрешение  12 бит   0 03  </v>
      </c>
    </row>
    <row r="1197">
      <c r="A1197" s="35" t="s">
        <v>2710</v>
      </c>
      <c r="B1197" s="9" t="s">
        <v>2711</v>
      </c>
      <c r="C1197" s="31"/>
      <c r="D1197" s="37" t="s">
        <v>14</v>
      </c>
      <c r="E1197" s="38">
        <v>2.0</v>
      </c>
      <c r="F1197" s="40">
        <v>0.06</v>
      </c>
      <c r="G1197" s="11">
        <v>128687.0</v>
      </c>
      <c r="H1197" s="34" t="str">
        <f>IFERROR(__xludf.DUMMYFUNCTION("LOWER(REGEXREPLACE(B1197&amp;"" ""&amp;C1197,""[^а-яa-z0-9 ]"","" ""))")," instein   атчик универсальный температуры   40 to 140          029   иапазон  от  40 до 140    от  40 до 284    от 233 15 до 413 15     очность   2  по всему диапазону   азрешение  12 бит   0 03    ")</f>
        <v> instein   атчик универсальный температуры   40 to 140          029   иапазон  от  40 до 140    от  40 до 284    от 233 15 до 413 15     очность   2  по всему диапазону   азрешение  12 бит   0 03    </v>
      </c>
    </row>
    <row r="1198">
      <c r="A1198" s="35" t="s">
        <v>2712</v>
      </c>
      <c r="B1198" s="9" t="s">
        <v>2713</v>
      </c>
      <c r="C1198" s="31"/>
      <c r="D1198" s="37" t="s">
        <v>14</v>
      </c>
      <c r="E1198" s="38">
        <v>2.0</v>
      </c>
      <c r="F1198" s="40">
        <v>0.06</v>
      </c>
      <c r="G1198" s="11">
        <v>67447.0</v>
      </c>
      <c r="H1198" s="34" t="str">
        <f>IFERROR(__xludf.DUMMYFUNCTION("LOWER(REGEXREPLACE(B1198&amp;"" ""&amp;C1198,""[^а-яa-z0-9 ]"","" ""))")," instein   атчик температуры    100   200 to 400          027   иапазон  от  200 до 400     от  328 до 752     73 15 до 673 15 тыс   очность   2  по всему диапазону   азрешение  12 бит   0 15    ")</f>
        <v> instein   атчик температуры    100   200 to 400          027   иапазон  от  200 до 400     от  328 до 752     73 15 до 673 15 тыс   очность   2  по всему диапазону   азрешение  12 бит   0 15    </v>
      </c>
    </row>
    <row r="1199">
      <c r="A1199" s="35" t="s">
        <v>2714</v>
      </c>
      <c r="B1199" s="9" t="s">
        <v>2715</v>
      </c>
      <c r="C1199" s="31"/>
      <c r="D1199" s="37" t="s">
        <v>14</v>
      </c>
      <c r="E1199" s="38">
        <v>2.0</v>
      </c>
      <c r="F1199" s="40">
        <v>0.06</v>
      </c>
      <c r="G1199" s="11">
        <v>134561.0</v>
      </c>
      <c r="H1199" s="34" t="str">
        <f>IFERROR(__xludf.DUMMYFUNCTION("LOWER(REGEXREPLACE(B1199&amp;"" ""&amp;C1199,""[^а-яa-z0-9 ]"","" ""))")," instein   атчик температуры термопара      025   иапазон  от  40 до 140     от  40 до 284     233 15 до 413 15 тыс   очность     2  по всему диапазону   азрешение  12 бит   0 03    ")</f>
        <v> instein   атчик температуры термопара      025   иапазон  от  40 до 140     от  40 до 284     233 15 до 413 15 тыс   очность     2  по всему диапазону   азрешение  12 бит   0 03    </v>
      </c>
    </row>
    <row r="1200">
      <c r="A1200" s="35" t="s">
        <v>2716</v>
      </c>
      <c r="B1200" s="9" t="s">
        <v>2717</v>
      </c>
      <c r="C1200" s="31"/>
      <c r="D1200" s="37" t="s">
        <v>14</v>
      </c>
      <c r="E1200" s="38">
        <v>2.0</v>
      </c>
      <c r="F1200" s="39">
        <v>0.1</v>
      </c>
      <c r="G1200" s="11">
        <v>67995.0</v>
      </c>
      <c r="H1200" s="34" t="str">
        <f>IFERROR(__xludf.DUMMYFUNCTION("LOWER(REGEXREPLACE(B1200&amp;"" ""&amp;C1200,""[^а-яa-z0-9 ]"","" ""))")," нешний датчик температуры из нержавеющей стали  lobisense   иапазон  от  25 до  125     очность    2    ")</f>
        <v> нешний датчик температуры из нержавеющей стали  lobisense   иапазон  от  25 до  125     очность    2    </v>
      </c>
    </row>
    <row r="1201">
      <c r="A1201" s="35" t="s">
        <v>2718</v>
      </c>
      <c r="B1201" s="9" t="s">
        <v>2719</v>
      </c>
      <c r="C1201" s="31"/>
      <c r="D1201" s="37" t="s">
        <v>14</v>
      </c>
      <c r="E1201" s="38">
        <v>2.0</v>
      </c>
      <c r="F1201" s="40">
        <v>0.13</v>
      </c>
      <c r="G1201" s="11">
        <v>89796.0</v>
      </c>
      <c r="H1201" s="34" t="str">
        <f>IFERROR(__xludf.DUMMYFUNCTION("LOWER(REGEXREPLACE(B1201&amp;"" ""&amp;C1201,""[^а-яa-z0-9 ]"","" ""))")," атчик температуры беспроводной типа  hywe  obra      sense  emperature 12903 00   иапазон   40 120      азрешение  0 01    астота измерений  10  ц ")</f>
        <v> атчик температуры беспроводной типа  hywe  obra      sense  emperature 12903 00   иапазон   40 120      азрешение  0 01    астота измерений  10  ц </v>
      </c>
    </row>
    <row r="1202">
      <c r="A1202" s="35" t="s">
        <v>2720</v>
      </c>
      <c r="B1202" s="9" t="s">
        <v>2721</v>
      </c>
      <c r="C1202" s="31"/>
      <c r="D1202" s="37" t="s">
        <v>14</v>
      </c>
      <c r="E1202" s="38">
        <v>2.0</v>
      </c>
      <c r="F1202" s="42">
        <v>0.105</v>
      </c>
      <c r="G1202" s="11">
        <v>137411.0</v>
      </c>
      <c r="H1202" s="34" t="str">
        <f>IFERROR(__xludf.DUMMYFUNCTION("LOWER(REGEXREPLACE(B1202&amp;"" ""&amp;C1202,""[^а-яa-z0-9 ]"","" ""))")," атчик для измерения температуры высокочувствительный беспроводной типа  hywe  obra      sense  hermocouple 12938 01   иапазон   200   1200     азрешение  0 4     астота  10  ц ")</f>
        <v> атчик для измерения температуры высокочувствительный беспроводной типа  hywe  obra      sense  hermocouple 12938 01   иапазон   200   1200     азрешение  0 4     астота  10  ц </v>
      </c>
    </row>
    <row r="1203">
      <c r="A1203" s="35" t="s">
        <v>2722</v>
      </c>
      <c r="B1203" s="9" t="s">
        <v>2723</v>
      </c>
      <c r="C1203" s="31"/>
      <c r="D1203" s="37" t="s">
        <v>14</v>
      </c>
      <c r="E1203" s="38">
        <v>2.0</v>
      </c>
      <c r="F1203" s="40">
        <v>0.14</v>
      </c>
      <c r="G1203" s="11">
        <v>68796.0</v>
      </c>
      <c r="H1203" s="34" t="str">
        <f>IFERROR(__xludf.DUMMYFUNCTION("LOWER(REGEXREPLACE(B1203&amp;"" ""&amp;C1203,""[^а-яa-z0-9 ]"","" ""))")," атчик температуры беспроводной типа  cience ube    100    иапазон  от  40   до  125     очность измерения     0 5     азрешение     0 625   ")</f>
        <v> атчик температуры беспроводной типа  cience ube    100    иапазон  от  40   до  125     очность измерения     0 5     азрешение     0 625   </v>
      </c>
    </row>
    <row r="1204">
      <c r="A1204" s="35" t="s">
        <v>2724</v>
      </c>
      <c r="B1204" s="31" t="s">
        <v>2725</v>
      </c>
      <c r="C1204" s="31"/>
      <c r="D1204" s="37" t="s">
        <v>14</v>
      </c>
      <c r="E1204" s="38">
        <v>2.0</v>
      </c>
      <c r="F1204" s="40">
        <v>0.15</v>
      </c>
      <c r="G1204" s="11">
        <v>46134.0</v>
      </c>
      <c r="H1204" s="34" t="str">
        <f>IFERROR(__xludf.DUMMYFUNCTION("LOWER(REGEXREPLACE(B1204&amp;"" ""&amp;C1204,""[^а-яa-z0-9 ]"","" ""))")," атчик инфракрасного термометра типа  ense disc  0010   иапазон   70  380    азрешение  0 1  ")</f>
        <v> атчик инфракрасного термометра типа  ense disc  0010   иапазон   70  380    азрешение  0 1  </v>
      </c>
    </row>
    <row r="1205">
      <c r="A1205" s="35" t="s">
        <v>2726</v>
      </c>
      <c r="B1205" s="9" t="s">
        <v>2727</v>
      </c>
      <c r="C1205" s="31"/>
      <c r="D1205" s="37" t="s">
        <v>14</v>
      </c>
      <c r="E1205" s="38">
        <v>2.0</v>
      </c>
      <c r="F1205" s="40">
        <v>0.18</v>
      </c>
      <c r="G1205" s="11">
        <v>23067.0</v>
      </c>
      <c r="H1205" s="34" t="str">
        <f>IFERROR(__xludf.DUMMYFUNCTION("LOWER(REGEXREPLACE(B1205&amp;"" ""&amp;C1205,""[^а-яa-z0-9 ]"","" ""))")," атчик температуры окружающей среды типа  ense disc  0012   иапазон   30  150    очность     0 8   0 100     азрешение  0 1  ")</f>
        <v> атчик температуры окружающей среды типа  ense disc  0012   иапазон   30  150    очность     0 8   0 100     азрешение  0 1  </v>
      </c>
    </row>
    <row r="1206">
      <c r="A1206" s="35" t="s">
        <v>2728</v>
      </c>
      <c r="B1206" s="31" t="s">
        <v>2729</v>
      </c>
      <c r="C1206" s="31"/>
      <c r="D1206" s="37" t="s">
        <v>14</v>
      </c>
      <c r="E1206" s="38">
        <v>2.0</v>
      </c>
      <c r="F1206" s="39">
        <v>0.1</v>
      </c>
      <c r="G1206" s="11">
        <v>40064.0</v>
      </c>
      <c r="H1206" s="34" t="str">
        <f>IFERROR(__xludf.DUMMYFUNCTION("LOWER(REGEXREPLACE(B1206&amp;"" ""&amp;C1206,""[^а-яa-z0-9 ]"","" ""))")," атчик  термопара типа  ense disc  0013   иапазон   200  1200    очность     6    азрешение  0 25  ")</f>
        <v> атчик  термопара типа  ense disc  0013   иапазон   200  1200    очность     6    азрешение  0 25  </v>
      </c>
    </row>
    <row r="1207">
      <c r="A1207" s="35" t="s">
        <v>2730</v>
      </c>
      <c r="B1207" s="31" t="s">
        <v>2731</v>
      </c>
      <c r="C1207" s="31"/>
      <c r="D1207" s="37" t="s">
        <v>14</v>
      </c>
      <c r="E1207" s="38">
        <v>2.0</v>
      </c>
      <c r="F1207" s="39">
        <v>0.1</v>
      </c>
      <c r="G1207" s="11">
        <v>55037.0</v>
      </c>
      <c r="H1207" s="34" t="str">
        <f>IFERROR(__xludf.DUMMYFUNCTION("LOWER(REGEXREPLACE(B1207&amp;"" ""&amp;C1207,""[^а-яa-z0-9 ]"","" ""))")," атчик температуры типа  icro ab  lab temp   иапазон измерения   50 600   ")</f>
        <v> атчик температуры типа  icro ab  lab temp   иапазон измерения   50 600   </v>
      </c>
    </row>
    <row r="1208">
      <c r="A1208" s="35" t="s">
        <v>2732</v>
      </c>
      <c r="B1208" s="9" t="s">
        <v>2733</v>
      </c>
      <c r="C1208" s="31"/>
      <c r="D1208" s="37" t="s">
        <v>14</v>
      </c>
      <c r="E1208" s="38">
        <v>2.0</v>
      </c>
      <c r="F1208" s="40">
        <v>0.08</v>
      </c>
      <c r="G1208" s="11">
        <v>227070.0</v>
      </c>
      <c r="H1208" s="34" t="str">
        <f>IFERROR(__xludf.DUMMYFUNCTION("LOWER(REGEXREPLACE(B1208&amp;"" ""&amp;C1208,""[^а-яa-z0-9 ]"","" ""))"),"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f>
        <v>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v>
      </c>
    </row>
    <row r="1209">
      <c r="A1209" s="35" t="s">
        <v>2734</v>
      </c>
      <c r="B1209" s="31" t="s">
        <v>2735</v>
      </c>
      <c r="C1209" s="31"/>
      <c r="D1209" s="37" t="s">
        <v>14</v>
      </c>
      <c r="E1209" s="38">
        <v>2.0</v>
      </c>
      <c r="F1209" s="39">
        <v>0.3</v>
      </c>
      <c r="G1209" s="11">
        <v>31475.0</v>
      </c>
      <c r="H1209" s="34" t="str">
        <f>IFERROR(__xludf.DUMMYFUNCTION("LOWER(REGEXREPLACE(B1209&amp;"" ""&amp;C1209,""[^а-яa-z0-9 ]"","" ""))")," атчик термоэлектрический  термопара    иапазон измерения  от 0   до  1200     азрешение  0 3   ")</f>
        <v> атчик термоэлектрический  термопара    иапазон измерения  от 0   до  1200     азрешение  0 3   </v>
      </c>
    </row>
    <row r="1210">
      <c r="A1210" s="35" t="s">
        <v>2736</v>
      </c>
      <c r="B1210" s="31" t="s">
        <v>2737</v>
      </c>
      <c r="C1210" s="31"/>
      <c r="D1210" s="37" t="s">
        <v>14</v>
      </c>
      <c r="E1210" s="10"/>
      <c r="F1210" s="36"/>
      <c r="G1210" s="11"/>
      <c r="H1210" s="34" t="str">
        <f>IFERROR(__xludf.DUMMYFUNCTION("LOWER(REGEXREPLACE(B1210&amp;"" ""&amp;C1210,""[^а-яa-z0-9 ]"","" ""))")," атчик частоты сердечных сокращений ")</f>
        <v> атчик частоты сердечных сокращений </v>
      </c>
    </row>
    <row r="1211">
      <c r="A1211" s="35" t="s">
        <v>2738</v>
      </c>
      <c r="B1211" s="31" t="s">
        <v>2739</v>
      </c>
      <c r="C1211" s="31"/>
      <c r="D1211" s="37" t="s">
        <v>14</v>
      </c>
      <c r="E1211" s="38">
        <v>2.0</v>
      </c>
      <c r="F1211" s="40">
        <v>0.06</v>
      </c>
      <c r="G1211" s="11">
        <v>193301.0</v>
      </c>
      <c r="H1211" s="34" t="str">
        <f>IFERROR(__xludf.DUMMYFUNCTION("LOWER(REGEXREPLACE(B1211&amp;"" ""&amp;C1211,""[^а-яa-z0-9 ]"","" ""))")," instein   атчик частоты сердечных сокращений  при физических нагрузках        298   иапазон импульса  0   250 уд мин  ударов в минуту  ")</f>
        <v> instein   атчик частоты сердечных сокращений  при физических нагрузках        298   иапазон импульса  0   250 уд мин  ударов в минуту  </v>
      </c>
    </row>
    <row r="1212">
      <c r="A1212" s="35" t="s">
        <v>2740</v>
      </c>
      <c r="B1212" s="31" t="s">
        <v>2741</v>
      </c>
      <c r="C1212" s="31"/>
      <c r="D1212" s="37" t="s">
        <v>14</v>
      </c>
      <c r="E1212" s="38">
        <v>2.0</v>
      </c>
      <c r="F1212" s="40">
        <v>0.18</v>
      </c>
      <c r="G1212" s="11">
        <v>149804.0</v>
      </c>
      <c r="H1212" s="34" t="str">
        <f>IFERROR(__xludf.DUMMYFUNCTION("LOWER(REGEXREPLACE(B1212&amp;"" ""&amp;C1212,""[^а-яa-z0-9 ]"","" ""))")," атчик беспроводной для измерения частоты сердечных сокращений беспроводной типа  hywe  obra      sense  eart  ate 12935 01   иапазон  30 200 ударов в минуту ")</f>
        <v> атчик беспроводной для измерения частоты сердечных сокращений беспроводной типа  hywe  obra      sense  eart  ate 12935 01   иапазон  30 200 ударов в минуту </v>
      </c>
    </row>
    <row r="1213">
      <c r="A1213" s="35" t="s">
        <v>2742</v>
      </c>
      <c r="B1213" s="9" t="s">
        <v>2743</v>
      </c>
      <c r="C1213" s="31"/>
      <c r="D1213" s="37" t="s">
        <v>14</v>
      </c>
      <c r="E1213" s="38">
        <v>2.0</v>
      </c>
      <c r="F1213" s="39">
        <v>0.3</v>
      </c>
      <c r="G1213" s="11">
        <v>69444.0</v>
      </c>
      <c r="H1213" s="34" t="str">
        <f>IFERROR(__xludf.DUMMYFUNCTION("LOWER(REGEXREPLACE(B1213&amp;"" ""&amp;C1213,""[^а-яa-z0-9 ]"","" ""))"),"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f>
        <v>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v>
      </c>
    </row>
    <row r="1214">
      <c r="A1214" s="35" t="s">
        <v>2744</v>
      </c>
      <c r="B1214" s="31" t="s">
        <v>2745</v>
      </c>
      <c r="C1214" s="31"/>
      <c r="D1214" s="37" t="s">
        <v>14</v>
      </c>
      <c r="E1214" s="10"/>
      <c r="F1214" s="36"/>
      <c r="G1214" s="11"/>
      <c r="H1214" s="34" t="str">
        <f>IFERROR(__xludf.DUMMYFUNCTION("LOWER(REGEXREPLACE(B1214&amp;"" ""&amp;C1214,""[^а-яa-z0-9 ]"","" ""))")," атчик электрокардиограммы ")</f>
        <v> атчик электрокардиограммы </v>
      </c>
    </row>
    <row r="1215">
      <c r="A1215" s="35" t="s">
        <v>2746</v>
      </c>
      <c r="B1215" s="31" t="s">
        <v>2747</v>
      </c>
      <c r="C1215" s="31"/>
      <c r="D1215" s="37" t="s">
        <v>14</v>
      </c>
      <c r="E1215" s="10"/>
      <c r="F1215" s="36"/>
      <c r="G1215" s="11">
        <v>168472.0</v>
      </c>
      <c r="H1215" s="34" t="str">
        <f>IFERROR(__xludf.DUMMYFUNCTION("LOWER(REGEXREPLACE(B1215&amp;"" ""&amp;C1215,""[^а-яa-z0-9 ]"","" ""))")," атчик электрокардиограммы беспроводной  o  irect           иапазон    200 м    очность  24 мк    аксимальная частота дискретизации  400 запросов с   астройка канала     ")</f>
        <v> атчик электрокардиограммы беспроводной  o  irect           иапазон    200 м    очность  24 мк    аксимальная частота дискретизации  400 запросов с   астройка канала     </v>
      </c>
    </row>
    <row r="1216">
      <c r="A1216" s="35" t="s">
        <v>2748</v>
      </c>
      <c r="B1216" s="31" t="s">
        <v>2749</v>
      </c>
      <c r="C1216" s="31"/>
      <c r="D1216" s="37" t="s">
        <v>14</v>
      </c>
      <c r="E1216" s="10"/>
      <c r="F1216" s="40">
        <v>0.13</v>
      </c>
      <c r="G1216" s="11">
        <v>253799.0</v>
      </c>
      <c r="H1216" s="34" t="str">
        <f>IFERROR(__xludf.DUMMYFUNCTION("LOWER(REGEXREPLACE(B1216&amp;"" ""&amp;C1216,""[^а-яa-z0-9 ]"","" ""))"),"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языке"&amp;"  ")</f>
        <v>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  </v>
      </c>
    </row>
    <row r="1217">
      <c r="A1217" s="35" t="s">
        <v>2750</v>
      </c>
      <c r="B1217" s="31" t="s">
        <v>2751</v>
      </c>
      <c r="C1217" s="31"/>
      <c r="D1217" s="37" t="s">
        <v>14</v>
      </c>
      <c r="E1217" s="38">
        <v>2.0</v>
      </c>
      <c r="F1217" s="40">
        <v>0.06</v>
      </c>
      <c r="G1217" s="11">
        <v>241761.0</v>
      </c>
      <c r="H1217" s="34" t="str">
        <f>IFERROR(__xludf.DUMMYFUNCTION("LOWER(REGEXREPLACE(B1217&amp;"" ""&amp;C1217,""[^а-яa-z0-9 ]"","" ""))")," instein датчик          189   иапазон  от 0 до 3     азрешение  12 бит   732 мк  ")</f>
        <v> instein датчик          189   иапазон  от 0 до 3     азрешение  12 бит   732 мк  </v>
      </c>
    </row>
    <row r="1218">
      <c r="A1218" s="35" t="s">
        <v>2752</v>
      </c>
      <c r="B1218" s="9" t="s">
        <v>2753</v>
      </c>
      <c r="C1218" s="31"/>
      <c r="D1218" s="37" t="s">
        <v>14</v>
      </c>
      <c r="E1218" s="38">
        <v>2.0</v>
      </c>
      <c r="F1218" s="40">
        <v>0.19</v>
      </c>
      <c r="G1218" s="11">
        <v>224328.0</v>
      </c>
      <c r="H1218" s="34" t="str">
        <f>IFERROR(__xludf.DUMMYFUNCTION("LOWER(REGEXREPLACE(B1218&amp;"" ""&amp;C1218,""[^а-яa-z0-9 ]"","" ""))")," атчик электрокардиограммы беспроводной типа  hywe  obra      sense     12934 01   иапазон  0 4 5 м    азрешение  4 5 мк    астота измерений  1000  ц ")</f>
        <v> атчик электрокардиограммы беспроводной типа  hywe  obra      sense     12934 01   иапазон  0 4 5 м    азрешение  4 5 мк    астота измерений  1000  ц </v>
      </c>
    </row>
    <row r="1219">
      <c r="A1219" s="35" t="s">
        <v>2754</v>
      </c>
      <c r="B1219" s="31" t="s">
        <v>2755</v>
      </c>
      <c r="C1219" s="31"/>
      <c r="D1219" s="37" t="s">
        <v>14</v>
      </c>
      <c r="E1219" s="38">
        <v>2.0</v>
      </c>
      <c r="F1219" s="39">
        <v>0.2</v>
      </c>
      <c r="G1219" s="11">
        <v>187853.0</v>
      </c>
      <c r="H1219" s="34" t="str">
        <f>IFERROR(__xludf.DUMMYFUNCTION("LOWER(REGEXREPLACE(B1219&amp;"" ""&amp;C1219,""[^а-яa-z0-9 ]"","" ""))")," атчик электрокардиограммы беспроводной типа  cience ube    121      ireless             иапазон  0 5 м    азрешение  5u  ")</f>
        <v> атчик электрокардиограммы беспроводной типа  cience ube    121      ireless             иапазон  0 5 м    азрешение  5u  </v>
      </c>
    </row>
    <row r="1220">
      <c r="A1220" s="35" t="s">
        <v>2756</v>
      </c>
      <c r="B1220" s="31" t="s">
        <v>2757</v>
      </c>
      <c r="C1220" s="31"/>
      <c r="D1220" s="37" t="s">
        <v>14</v>
      </c>
      <c r="E1220" s="38">
        <v>2.0</v>
      </c>
      <c r="F1220" s="40">
        <v>0.18</v>
      </c>
      <c r="G1220" s="11">
        <v>35208.0</v>
      </c>
      <c r="H1220" s="34" t="str">
        <f>IFERROR(__xludf.DUMMYFUNCTION("LOWER(REGEXREPLACE(B1220&amp;"" ""&amp;C1220,""[^а-яa-z0-9 ]"","" ""))")," атчик     типа  ense disc  1011   иапазон   1 м  5 м  ")</f>
        <v> атчик     типа  ense disc  1011   иапазон   1 м  5 м  </v>
      </c>
    </row>
    <row r="1221">
      <c r="A1221" s="35" t="s">
        <v>2758</v>
      </c>
      <c r="B1221" s="31" t="s">
        <v>2759</v>
      </c>
      <c r="C1221" s="31"/>
      <c r="D1221" s="37" t="s">
        <v>14</v>
      </c>
      <c r="E1221" s="38">
        <v>2.0</v>
      </c>
      <c r="F1221" s="39">
        <v>0.1</v>
      </c>
      <c r="G1221" s="11">
        <v>147088.0</v>
      </c>
      <c r="H1221" s="34" t="str">
        <f>IFERROR(__xludf.DUMMYFUNCTION("LOWER(REGEXREPLACE(B1221&amp;"" ""&amp;C1221,""[^а-яa-z0-9 ]"","" ""))")," атчик электрокардиограммы типа  icro ab  lab ecg   иапазаон измерений 1 5    3 3     комплекте одноразовые кожные электроды ")</f>
        <v> атчик электрокардиограммы типа  icro ab  lab ecg   иапазаон измерений 1 5    3 3     комплекте одноразовые кожные электроды </v>
      </c>
    </row>
    <row r="1222">
      <c r="A1222" s="35" t="s">
        <v>2760</v>
      </c>
      <c r="B1222" s="31" t="s">
        <v>2761</v>
      </c>
      <c r="C1222" s="31"/>
      <c r="D1222" s="37" t="s">
        <v>14</v>
      </c>
      <c r="E1222" s="10"/>
      <c r="F1222" s="36"/>
      <c r="G1222" s="11"/>
      <c r="H1222" s="34" t="str">
        <f>IFERROR(__xludf.DUMMYFUNCTION("LOWER(REGEXREPLACE(B1222&amp;"" ""&amp;C1222,""[^а-яa-z0-9 ]"","" ""))")," атчик электропроводности ")</f>
        <v> атчик электропроводности </v>
      </c>
    </row>
    <row r="1223">
      <c r="A1223" s="35" t="s">
        <v>2762</v>
      </c>
      <c r="B1223" s="31" t="s">
        <v>2763</v>
      </c>
      <c r="C1223" s="31"/>
      <c r="D1223" s="37" t="s">
        <v>14</v>
      </c>
      <c r="E1223" s="10"/>
      <c r="F1223" s="36"/>
      <c r="G1223" s="11">
        <v>118625.0</v>
      </c>
      <c r="H1223" s="34" t="str">
        <f>IFERROR(__xludf.DUMMYFUNCTION("LOWER(REGEXREPLACE(B1223&amp;"" ""&amp;C1223,""[^а-яa-z0-9 ]"","" ""))"),"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"&amp;"ячейки  1 0 см 1 ")</f>
        <v>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ячейки  1 0 см 1 </v>
      </c>
    </row>
    <row r="1224">
      <c r="A1224" s="35" t="s">
        <v>2764</v>
      </c>
      <c r="B1224" s="9" t="s">
        <v>2765</v>
      </c>
      <c r="C1224" s="31"/>
      <c r="D1224" s="37" t="s">
        <v>14</v>
      </c>
      <c r="E1224" s="10"/>
      <c r="F1224" s="42">
        <v>0.085</v>
      </c>
      <c r="G1224" s="11">
        <v>180938.0</v>
      </c>
      <c r="H1224" s="34" t="str">
        <f>IFERROR(__xludf.DUMMYFUNCTION("LOWER(REGEXREPLACE(B1224&amp;"" ""&amp;C1224,""[^а-яa-z0-9 ]"","" ""))"),"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сое"&amp;"динительный провод     сбора и обработки данных  asysense2 на трех языках  каз   рус   англ  языке  ")</f>
        <v>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соединительный провод     сбора и обработки данных  asysense2 на трех языках  каз   рус   англ  языке  </v>
      </c>
    </row>
    <row r="1225">
      <c r="A1225" s="35" t="s">
        <v>2766</v>
      </c>
      <c r="B1225" s="31" t="s">
        <v>2767</v>
      </c>
      <c r="C1225" s="31"/>
      <c r="D1225" s="37" t="s">
        <v>14</v>
      </c>
      <c r="E1225" s="38">
        <v>2.0</v>
      </c>
      <c r="F1225" s="40">
        <v>0.06</v>
      </c>
      <c r="G1225" s="11">
        <v>144336.0</v>
      </c>
      <c r="H1225" s="34" t="str">
        <f>IFERROR(__xludf.DUMMYFUNCTION("LOWER(REGEXREPLACE(B1225&amp;"" ""&amp;C1225,""[^а-яa-z0-9 ]"","" ""))")," instein   атчик проводимости температуры      435    иапазон  0 05 80 мс   очность   8   по всему диапазону   азрешение  12 бит   5 мкс ")</f>
        <v> instein   атчик проводимости температуры      435    иапазон  0 05 80 мс   очность   8   по всему диапазону   азрешение  12 бит   5 мкс </v>
      </c>
    </row>
    <row r="1226">
      <c r="A1226" s="35" t="s">
        <v>2768</v>
      </c>
      <c r="B1226" s="9" t="s">
        <v>2769</v>
      </c>
      <c r="C1226" s="31"/>
      <c r="D1226" s="37" t="s">
        <v>14</v>
      </c>
      <c r="E1226" s="38">
        <v>2.0</v>
      </c>
      <c r="F1226" s="40">
        <v>0.19</v>
      </c>
      <c r="G1226" s="11">
        <v>160276.0</v>
      </c>
      <c r="H1226" s="34" t="str">
        <f>IFERROR(__xludf.DUMMYFUNCTION("LOWER(REGEXREPLACE(B1226&amp;"" ""&amp;C1226,""[^а-яa-z0-9 ]"","" ""))")," атчик электропроводности беспроводной типа  hywe  obra      sense    onductivity 12922 01   иапазон  0     20 000 мк м см   азрешение  0 1 мк м см   иапазон  0     60      азрешение  0 1      корость  10  ц ")</f>
        <v> атчик электропроводности беспроводной типа  hywe  obra      sense    onductivity 12922 01   иапазон  0     20 000 мк м см   азрешение  0 1 мк м см   иапазон  0     60      азрешение  0 1      корость  10  ц </v>
      </c>
    </row>
    <row r="1227">
      <c r="A1227" s="35" t="s">
        <v>2770</v>
      </c>
      <c r="B1227" s="31" t="s">
        <v>2771</v>
      </c>
      <c r="C1227" s="31"/>
      <c r="D1227" s="37" t="s">
        <v>14</v>
      </c>
      <c r="E1227" s="38">
        <v>2.0</v>
      </c>
      <c r="F1227" s="40">
        <v>0.18</v>
      </c>
      <c r="G1227" s="11">
        <v>114848.0</v>
      </c>
      <c r="H1227" s="34" t="str">
        <f>IFERROR(__xludf.DUMMYFUNCTION("LOWER(REGEXREPLACE(B1227&amp;"" ""&amp;C1227,""[^а-яa-z0-9 ]"","" ""))")," атчик проводимости беспроводной типа  cience ube    107     иапазон  0 20000 мк м   азрешение 0 3 мк м см ")</f>
        <v> атчик проводимости беспроводной типа  cience ube    107     иапазон  0 20000 мк м   азрешение 0 3 мк м см </v>
      </c>
    </row>
    <row r="1228">
      <c r="A1228" s="35" t="s">
        <v>2772</v>
      </c>
      <c r="B1228" s="31" t="s">
        <v>2773</v>
      </c>
      <c r="C1228" s="31"/>
      <c r="D1228" s="37" t="s">
        <v>14</v>
      </c>
      <c r="E1228" s="38">
        <v>2.0</v>
      </c>
      <c r="F1228" s="40">
        <v>0.17</v>
      </c>
      <c r="G1228" s="11">
        <v>46134.0</v>
      </c>
      <c r="H1228" s="34" t="str">
        <f>IFERROR(__xludf.DUMMYFUNCTION("LOWER(REGEXREPLACE(B1228&amp;"" ""&amp;C1228,""[^а-яa-z0-9 ]"","" ""))")," атчик проводимости типа  ense disc  1003   очность     4    иапазон  0 20000 мк м см   азрешение  6 мк м см ")</f>
        <v> атчик проводимости типа  ense disc  1003   очность     4    иапазон  0 20000 мк м см   азрешение  6 мк м см </v>
      </c>
    </row>
    <row r="1229">
      <c r="A1229" s="35" t="s">
        <v>2774</v>
      </c>
      <c r="B1229" s="9" t="s">
        <v>2775</v>
      </c>
      <c r="C1229" s="31"/>
      <c r="D1229" s="37" t="s">
        <v>14</v>
      </c>
      <c r="E1229" s="38">
        <v>2.0</v>
      </c>
      <c r="F1229" s="39">
        <v>0.1</v>
      </c>
      <c r="G1229" s="11">
        <v>98023.0</v>
      </c>
      <c r="H1229" s="34" t="str">
        <f>IFERROR(__xludf.DUMMYFUNCTION("LOWER(REGEXREPLACE(B1229&amp;"" ""&amp;C1229,""[^а-яa-z0-9 ]"","" ""))")," атчик проводимости типа  icro ab  lab conductivity   абочее напряжение 3 3  5    иапазон 0 2000 мкс см   азрешение    5          абочая температура 5 80  ")</f>
        <v> атчик проводимости типа  icro ab  lab conductivity   абочее напряжение 3 3  5    иапазон 0 2000 мкс см   азрешение    5          абочая температура 5 80  </v>
      </c>
    </row>
    <row r="1230">
      <c r="A1230" s="35" t="s">
        <v>2776</v>
      </c>
      <c r="B1230" s="31" t="s">
        <v>2777</v>
      </c>
      <c r="C1230" s="31"/>
      <c r="D1230" s="37" t="s">
        <v>14</v>
      </c>
      <c r="E1230" s="38">
        <v>2.0</v>
      </c>
      <c r="F1230" s="39">
        <v>0.3</v>
      </c>
      <c r="G1230" s="11">
        <v>57703.0</v>
      </c>
      <c r="H1230" s="34" t="str">
        <f>IFERROR(__xludf.DUMMYFUNCTION("LOWER(REGEXREPLACE(B1230&amp;"" ""&amp;C1230,""[^а-яa-z0-9 ]"","" ""))"),"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диап"&amp;"азона  10м  см ")</f>
        <v>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диапазона  10м  см </v>
      </c>
    </row>
    <row r="1231">
      <c r="A1231" s="35" t="s">
        <v>2778</v>
      </c>
      <c r="B1231" s="31" t="s">
        <v>2779</v>
      </c>
      <c r="C1231" s="31"/>
      <c r="D1231" s="37" t="s">
        <v>14</v>
      </c>
      <c r="E1231" s="10"/>
      <c r="F1231" s="36"/>
      <c r="G1231" s="11"/>
      <c r="H1231" s="34" t="str">
        <f>IFERROR(__xludf.DUMMYFUNCTION("LOWER(REGEXREPLACE(B1231&amp;"" ""&amp;C1231,""[^а-яa-z0-9 ]"","" ""))")," олориметр ")</f>
        <v> олориметр </v>
      </c>
    </row>
    <row r="1232">
      <c r="A1232" s="35" t="s">
        <v>2780</v>
      </c>
      <c r="B1232" s="9" t="s">
        <v>2781</v>
      </c>
      <c r="C1232" s="31"/>
      <c r="D1232" s="37" t="s">
        <v>14</v>
      </c>
      <c r="E1232" s="10"/>
      <c r="F1232" s="36"/>
      <c r="G1232" s="11">
        <v>128598.0</v>
      </c>
      <c r="H1232" s="34" t="str">
        <f>IFERROR(__xludf.DUMMYFUNCTION("LOWER(REGEXREPLACE(B1232&amp;"" ""&amp;C1232,""[^а-яa-z0-9 ]"","" ""))")," олориметр беспроводной  o  irect           иапазон  0   3  абсорбция    олезный диапазон  0 05 1 0   оэффициент пропускания от 90  до 10          лины волн  430 нм  470 нм  565 нм  635 нм ")</f>
        <v> олориметр беспроводной  o  irect           иапазон  0   3  абсорбция    олезный диапазон  0 05 1 0   оэффициент пропускания от 90  до 10          лины волн  430 нм  470 нм  565 нм  635 нм </v>
      </c>
    </row>
    <row r="1233">
      <c r="A1233" s="35" t="s">
        <v>2782</v>
      </c>
      <c r="B1233" s="9" t="s">
        <v>2783</v>
      </c>
      <c r="C1233" s="31"/>
      <c r="D1233" s="37" t="s">
        <v>14</v>
      </c>
      <c r="E1233" s="10"/>
      <c r="F1233" s="42">
        <v>0.085</v>
      </c>
      <c r="G1233" s="11">
        <v>227691.0</v>
      </c>
      <c r="H1233" s="34" t="str">
        <f>IFERROR(__xludf.DUMMYFUNCTION("LOWER(REGEXREPLACE(B1233&amp;"" ""&amp;C1233,""[^а-яa-z0-9 ]"","" ""))"),"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f>
        <v>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v>
      </c>
    </row>
    <row r="1234">
      <c r="A1234" s="35" t="s">
        <v>2784</v>
      </c>
      <c r="B1234" s="31" t="s">
        <v>2785</v>
      </c>
      <c r="C1234" s="31"/>
      <c r="D1234" s="37" t="s">
        <v>14</v>
      </c>
      <c r="E1234" s="38">
        <v>2.0</v>
      </c>
      <c r="F1234" s="40">
        <v>0.13</v>
      </c>
      <c r="G1234" s="11">
        <v>204318.0</v>
      </c>
      <c r="H1234" s="34" t="str">
        <f>IFERROR(__xludf.DUMMYFUNCTION("LOWER(REGEXREPLACE(B1234&amp;"" ""&amp;C1234,""[^а-яa-z0-9 ]"","" ""))")," атчик колориметр беспроводной типа  hywe  obra      sense  olorimeter 12924 01   иапазон измерения  0     400       азрешение  0 1     ")</f>
        <v> атчик колориметр беспроводной типа  hywe  obra      sense  olorimeter 12924 01   иапазон измерения  0     400       азрешение  0 1     </v>
      </c>
    </row>
    <row r="1235">
      <c r="A1235" s="35" t="s">
        <v>2786</v>
      </c>
      <c r="B1235" s="9" t="s">
        <v>2787</v>
      </c>
      <c r="C1235" s="31"/>
      <c r="D1235" s="37" t="s">
        <v>14</v>
      </c>
      <c r="E1235" s="38">
        <v>2.0</v>
      </c>
      <c r="F1235" s="40">
        <v>0.25</v>
      </c>
      <c r="G1235" s="11">
        <v>111288.0</v>
      </c>
      <c r="H1235" s="34" t="str">
        <f>IFERROR(__xludf.DUMMYFUNCTION("LOWER(REGEXREPLACE(B1235&amp;"" ""&amp;C1235,""[^а-яa-z0-9 ]"","" ""))"),"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f>
        <v>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v>
      </c>
    </row>
    <row r="1236">
      <c r="A1236" s="35" t="s">
        <v>2788</v>
      </c>
      <c r="B1236" s="31" t="s">
        <v>2789</v>
      </c>
      <c r="C1236" s="31"/>
      <c r="D1236" s="37" t="s">
        <v>14</v>
      </c>
      <c r="E1236" s="38">
        <v>2.0</v>
      </c>
      <c r="F1236" s="39">
        <v>0.1</v>
      </c>
      <c r="G1236" s="11">
        <v>112272.0</v>
      </c>
      <c r="H1236" s="34" t="str">
        <f>IFERROR(__xludf.DUMMYFUNCTION("LOWER(REGEXREPLACE(B1236&amp;"" ""&amp;C1236,""[^а-яa-z0-9 ]"","" ""))")," атчик колориметр типа  icro ab  lab colorimeter   оэффициент пропускания  20 90     очность    10     азрешение  12 бит   0 03   ")</f>
        <v> атчик колориметр типа  icro ab  lab colorimeter   оэффициент пропускания  20 90     очность    10     азрешение  12 бит   0 03   </v>
      </c>
    </row>
    <row r="1237">
      <c r="A1237" s="35" t="s">
        <v>2790</v>
      </c>
      <c r="B1237" s="9" t="s">
        <v>2791</v>
      </c>
      <c r="C1237" s="31"/>
      <c r="D1237" s="37" t="s">
        <v>14</v>
      </c>
      <c r="E1237" s="38">
        <v>2.0</v>
      </c>
      <c r="F1237" s="40">
        <v>0.06</v>
      </c>
      <c r="G1237" s="11">
        <v>214030.0</v>
      </c>
      <c r="H1237" s="34" t="str">
        <f>IFERROR(__xludf.DUMMYFUNCTION("LOWER(REGEXREPLACE(B1237&amp;"" ""&amp;C1237,""[^а-яa-z0-9 ]"","" ""))")," атчик колориметр типа  instein        185   оэффициент пропускания  20 90    очность    10   азрешение  12 бит   0 03    бъем ячейки  3 5 куб см   ирина ячейки  1 см ")</f>
        <v> атчик колориметр типа  instein        185   оэффициент пропускания  20 90    очность    10   азрешение  12 бит   0 03    бъем ячейки  3 5 куб см   ирина ячейки  1 см </v>
      </c>
    </row>
    <row r="1238">
      <c r="A1238" s="35" t="s">
        <v>2792</v>
      </c>
      <c r="B1238" s="31" t="s">
        <v>2793</v>
      </c>
      <c r="C1238" s="31" t="s">
        <v>2793</v>
      </c>
      <c r="D1238" s="37" t="s">
        <v>14</v>
      </c>
      <c r="E1238" s="10"/>
      <c r="F1238" s="36"/>
      <c r="G1238" s="11">
        <v>56786.0</v>
      </c>
      <c r="H1238" s="34" t="str">
        <f>IFERROR(__xludf.DUMMYFUNCTION("LOWER(REGEXREPLACE(B1238&amp;"" ""&amp;C1238,""[^а-яa-z0-9 ]"","" ""))")," икроскоп цифровой портативный      икроскоп цифровой портативный    ")</f>
        <v> икроскоп цифровой портативный      икроскоп цифровой портативный    </v>
      </c>
    </row>
    <row r="1239">
      <c r="A1239" s="35" t="s">
        <v>2794</v>
      </c>
      <c r="B1239" s="31" t="s">
        <v>2795</v>
      </c>
      <c r="C1239" s="31"/>
      <c r="D1239" s="37" t="s">
        <v>14</v>
      </c>
      <c r="E1239" s="10"/>
      <c r="F1239" s="36"/>
      <c r="G1239" s="11"/>
      <c r="H1239" s="34" t="str">
        <f>IFERROR(__xludf.DUMMYFUNCTION("LOWER(REGEXREPLACE(B1239&amp;"" ""&amp;C1239,""[^а-яa-z0-9 ]"","" ""))")," пирометр ")</f>
        <v> пирометр </v>
      </c>
    </row>
    <row r="1240">
      <c r="A1240" s="35" t="s">
        <v>2796</v>
      </c>
      <c r="B1240" s="31" t="s">
        <v>2797</v>
      </c>
      <c r="C1240" s="31"/>
      <c r="D1240" s="37" t="s">
        <v>14</v>
      </c>
      <c r="E1240" s="38">
        <v>2.0</v>
      </c>
      <c r="F1240" s="39">
        <v>0.1</v>
      </c>
      <c r="G1240" s="11">
        <v>138027.0</v>
      </c>
      <c r="H1240" s="34" t="str">
        <f>IFERROR(__xludf.DUMMYFUNCTION("LOWER(REGEXREPLACE(B1240&amp;"" ""&amp;C1240,""[^а-яa-z0-9 ]"","" ""))")," нешний датчик дыхания  lobisense   иапазон    200 л мин ")</f>
        <v> нешний датчик дыхания  lobisense   иапазон    200 л мин </v>
      </c>
    </row>
    <row r="1241">
      <c r="A1241" s="35" t="s">
        <v>2798</v>
      </c>
      <c r="B1241" s="9" t="s">
        <v>2799</v>
      </c>
      <c r="C1241" s="31"/>
      <c r="D1241" s="37" t="s">
        <v>14</v>
      </c>
      <c r="E1241" s="38">
        <v>2.0</v>
      </c>
      <c r="F1241" s="40">
        <v>0.22</v>
      </c>
      <c r="G1241" s="11">
        <v>271990.0</v>
      </c>
      <c r="H1241" s="34" t="str">
        <f>IFERROR(__xludf.DUMMYFUNCTION("LOWER(REGEXREPLACE(B1241&amp;"" ""&amp;C1241,""[^а-яa-z0-9 ]"","" ""))"),"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f>
        <v>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v>
      </c>
    </row>
    <row r="1242">
      <c r="A1242" s="35" t="s">
        <v>2800</v>
      </c>
      <c r="B1242" s="31" t="s">
        <v>2801</v>
      </c>
      <c r="C1242" s="31"/>
      <c r="D1242" s="37" t="s">
        <v>14</v>
      </c>
      <c r="E1242" s="38">
        <v>2.0</v>
      </c>
      <c r="F1242" s="39">
        <v>0.2</v>
      </c>
      <c r="G1242" s="11">
        <v>70415.0</v>
      </c>
      <c r="H1242" s="34" t="str">
        <f>IFERROR(__xludf.DUMMYFUNCTION("LOWER(REGEXREPLACE(B1242&amp;"" ""&amp;C1242,""[^а-яa-z0-9 ]"","" ""))")," атчик спирометр типа  ense disc  1012   иапазон   10 л с 10 л с   очность     3    азрешение  0 01 л с ")</f>
        <v> атчик спирометр типа  ense disc  1012   иапазон   10 л с 10 л с   очность     3    азрешение  0 01 л с </v>
      </c>
    </row>
    <row r="1243">
      <c r="A1243" s="35" t="s">
        <v>2802</v>
      </c>
      <c r="B1243" s="31" t="s">
        <v>2803</v>
      </c>
      <c r="C1243" s="31"/>
      <c r="D1243" s="37" t="s">
        <v>14</v>
      </c>
      <c r="E1243" s="10"/>
      <c r="F1243" s="36"/>
      <c r="G1243" s="11"/>
      <c r="H1243" s="34" t="str">
        <f>IFERROR(__xludf.DUMMYFUNCTION("LOWER(REGEXREPLACE(B1243&amp;"" ""&amp;C1243,""[^а-яa-z0-9 ]"","" ""))")," атчик р  ")</f>
        <v> атчик р  </v>
      </c>
    </row>
    <row r="1244">
      <c r="A1244" s="35" t="s">
        <v>2804</v>
      </c>
      <c r="B1244" s="9" t="s">
        <v>2805</v>
      </c>
      <c r="C1244" s="31"/>
      <c r="D1244" s="37" t="s">
        <v>14</v>
      </c>
      <c r="E1244" s="10"/>
      <c r="F1244" s="42">
        <v>0.085</v>
      </c>
      <c r="G1244" s="11">
        <v>139650.0</v>
      </c>
      <c r="H1244" s="34" t="str">
        <f>IFERROR(__xludf.DUMMYFUNCTION("LOWER(REGEXREPLACE(B1244&amp;"" ""&amp;C1244,""[^а-яa-z0-9 ]"","" ""))"),"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к"&amp;"абель     сбора и обработки данных  asysense2 на трех языках  каз   рус   англ  языке  ")</f>
        <v>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кабель     сбора и обработки данных  asysense2 на трех языках  каз   рус   англ  языке  </v>
      </c>
    </row>
    <row r="1245">
      <c r="A1245" s="35" t="s">
        <v>2806</v>
      </c>
      <c r="B1245" s="31" t="s">
        <v>2807</v>
      </c>
      <c r="C1245" s="31"/>
      <c r="D1245" s="37" t="s">
        <v>14</v>
      </c>
      <c r="E1245" s="38">
        <v>2.0</v>
      </c>
      <c r="F1245" s="40">
        <v>0.06</v>
      </c>
      <c r="G1245" s="11">
        <v>137498.0</v>
      </c>
      <c r="H1245" s="34" t="str">
        <f>IFERROR(__xludf.DUMMYFUNCTION("LOWER(REGEXREPLACE(B1245&amp;"" ""&amp;C1245,""[^а-яa-z0-9 ]"","" ""))")," instein   атчик    с обычным электродом       016   иапазон  от 0 до 14 p    очность   2   по всему диапазону после температурной компенсации   азрешение  12 бит   0 004 p  ")</f>
        <v> instein   атчик    с обычным электродом       016   иапазон  от 0 до 14 p    очность   2   по всему диапазону после температурной компенсации   азрешение  12 бит   0 004 p  </v>
      </c>
    </row>
    <row r="1246">
      <c r="A1246" s="35" t="s">
        <v>2808</v>
      </c>
      <c r="B1246" s="9" t="s">
        <v>2809</v>
      </c>
      <c r="C1246" s="31"/>
      <c r="D1246" s="37" t="s">
        <v>14</v>
      </c>
      <c r="E1246" s="38">
        <v>2.0</v>
      </c>
      <c r="F1246" s="40">
        <v>0.18</v>
      </c>
      <c r="G1246" s="11">
        <v>119885.0</v>
      </c>
      <c r="H1246" s="34" t="str">
        <f>IFERROR(__xludf.DUMMYFUNCTION("LOWER(REGEXREPLACE(B1246&amp;"" ""&amp;C1246,""[^а-яa-z0-9 ]"","" ""))")," атчик измерений качества воды беспроводной p  типа  hywe  obra      sense p  12921 00   иапазон  0 14   азрешение  0 01   астота измерений  100  ц ")</f>
        <v> атчик измерений качества воды беспроводной p  типа  hywe  obra      sense p  12921 00   иапазон  0 14   азрешение  0 01   астота измерений  100  ц </v>
      </c>
    </row>
    <row r="1247">
      <c r="A1247" s="35" t="s">
        <v>2810</v>
      </c>
      <c r="B1247" s="9" t="s">
        <v>2811</v>
      </c>
      <c r="C1247" s="31"/>
      <c r="D1247" s="37" t="s">
        <v>14</v>
      </c>
      <c r="E1247" s="38">
        <v>2.0</v>
      </c>
      <c r="F1247" s="40">
        <v>0.22</v>
      </c>
      <c r="G1247" s="11">
        <v>102385.0</v>
      </c>
      <c r="H1247" s="34" t="str">
        <f>IFERROR(__xludf.DUMMYFUNCTION("LOWER(REGEXREPLACE(B1247&amp;"" ""&amp;C1247,""[^а-яa-z0-9 ]"","" ""))")," атчик измерений качества воды беспроводной  p   типа  cience ube    104     иапазон  от 0 до 14   очность     0 1 p    азрешение  0 01 p  ")</f>
        <v> атчик измерений качества воды беспроводной  p   типа  cience ube    104     иапазон  от 0 до 14   очность     0 1 p    азрешение  0 01 p  </v>
      </c>
    </row>
    <row r="1248">
      <c r="A1248" s="35" t="s">
        <v>2812</v>
      </c>
      <c r="B1248" s="9" t="s">
        <v>2813</v>
      </c>
      <c r="C1248" s="31"/>
      <c r="D1248" s="37" t="s">
        <v>14</v>
      </c>
      <c r="E1248" s="38">
        <v>2.0</v>
      </c>
      <c r="F1248" s="40">
        <v>0.21</v>
      </c>
      <c r="G1248" s="11">
        <v>31566.0</v>
      </c>
      <c r="H1248" s="34" t="str">
        <f>IFERROR(__xludf.DUMMYFUNCTION("LOWER(REGEXREPLACE(B1248&amp;"" ""&amp;C1248,""[^а-яa-z0-9 ]"","" ""))")," атчик p  типа  ense disc  1002   иапазон  0 14   очность     0 2p    азрешение  0 01 ")</f>
        <v> атчик p  типа  ense disc  1002   иапазон  0 14   очность     0 2p    азрешение  0 01 </v>
      </c>
    </row>
    <row r="1249">
      <c r="A1249" s="35" t="s">
        <v>2814</v>
      </c>
      <c r="B1249" s="9" t="s">
        <v>2815</v>
      </c>
      <c r="C1249" s="31"/>
      <c r="D1249" s="37" t="s">
        <v>14</v>
      </c>
      <c r="E1249" s="38">
        <v>2.0</v>
      </c>
      <c r="F1249" s="39">
        <v>0.1</v>
      </c>
      <c r="G1249" s="11">
        <v>81584.0</v>
      </c>
      <c r="H1249" s="34" t="str">
        <f>IFERROR(__xludf.DUMMYFUNCTION("LOWER(REGEXREPLACE(B1249&amp;"" ""&amp;C1249,""[^а-яa-z0-9 ]"","" ""))")," атчик измерений качества воды  p   типа  icro ab  lab ph   абочее напряжение 3 3   5     иапазон 0 14     азрешение    0 15         ")</f>
        <v> атчик измерений качества воды  p   типа  icro ab  lab ph   абочее напряжение 3 3   5     иапазон 0 14     азрешение    0 15         </v>
      </c>
    </row>
    <row r="1250">
      <c r="A1250" s="35" t="s">
        <v>2816</v>
      </c>
      <c r="B1250" s="31" t="s">
        <v>2817</v>
      </c>
      <c r="C1250" s="31"/>
      <c r="D1250" s="37" t="s">
        <v>14</v>
      </c>
      <c r="E1250" s="38">
        <v>2.0</v>
      </c>
      <c r="F1250" s="39">
        <v>0.3</v>
      </c>
      <c r="G1250" s="11">
        <v>57703.0</v>
      </c>
      <c r="H1250" s="34" t="str">
        <f>IFERROR(__xludf.DUMMYFUNCTION("LOWER(REGEXREPLACE(B1250&amp;"" ""&amp;C1250,""[^а-яa-z0-9 ]"","" ""))")," атчик р    иапазон измерения  от 0 до 14 р    очность      2    азрешение  0 004 р  ")</f>
        <v> атчик р    иапазон измерения  от 0 до 14 р    очность      2    азрешение  0 004 р  </v>
      </c>
    </row>
    <row r="1251">
      <c r="A1251" s="35" t="s">
        <v>2818</v>
      </c>
      <c r="B1251" s="31" t="s">
        <v>2819</v>
      </c>
      <c r="C1251" s="31"/>
      <c r="D1251" s="37" t="s">
        <v>14</v>
      </c>
      <c r="E1251" s="10"/>
      <c r="F1251" s="36"/>
      <c r="G1251" s="11"/>
      <c r="H1251" s="34" t="str">
        <f>IFERROR(__xludf.DUMMYFUNCTION("LOWER(REGEXREPLACE(B1251&amp;"" ""&amp;C1251,""[^а-яa-z0-9 ]"","" ""))")," атчик пульса ")</f>
        <v> атчик пульса </v>
      </c>
    </row>
    <row r="1252">
      <c r="A1252" s="35" t="s">
        <v>2820</v>
      </c>
      <c r="B1252" s="31" t="s">
        <v>2821</v>
      </c>
      <c r="C1252" s="31"/>
      <c r="D1252" s="37" t="s">
        <v>14</v>
      </c>
      <c r="E1252" s="10"/>
      <c r="F1252" s="42">
        <v>0.068</v>
      </c>
      <c r="G1252" s="11">
        <v>144508.0</v>
      </c>
      <c r="H1252" s="34" t="str">
        <f>IFERROR(__xludf.DUMMYFUNCTION("LOWER(REGEXREPLACE(B1252&amp;"" ""&amp;C1252,""[^а-яa-z0-9 ]"","" ""))"),"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f>
        <v>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v>
      </c>
    </row>
    <row r="1253">
      <c r="A1253" s="35" t="s">
        <v>2822</v>
      </c>
      <c r="B1253" s="9" t="s">
        <v>2823</v>
      </c>
      <c r="C1253" s="31"/>
      <c r="D1253" s="37" t="s">
        <v>14</v>
      </c>
      <c r="E1253" s="38">
        <v>2.0</v>
      </c>
      <c r="F1253" s="42">
        <v>0.145</v>
      </c>
      <c r="G1253" s="11">
        <v>187497.0</v>
      </c>
      <c r="H1253" s="34" t="str">
        <f>IFERROR(__xludf.DUMMYFUNCTION("LOWER(REGEXREPLACE(B1253&amp;"" ""&amp;C1253,""[^а-яa-z0-9 ]"","" ""))")," атчик пульса беспроводной типа  hywe  obra      sense  eart  ate 12935 01   иапазон  30 200 ударов в минуту   азрешение  1  ударов в минуту   астота измерений  10  ц ")</f>
        <v> атчик пульса беспроводной типа  hywe  obra      sense  eart  ate 12935 01   иапазон  30 200 ударов в минуту   азрешение  1  ударов в минуту   астота измерений  10  ц </v>
      </c>
    </row>
    <row r="1254">
      <c r="A1254" s="35" t="s">
        <v>2824</v>
      </c>
      <c r="B1254" s="31" t="s">
        <v>2825</v>
      </c>
      <c r="C1254" s="31"/>
      <c r="D1254" s="37" t="s">
        <v>14</v>
      </c>
      <c r="E1254" s="38">
        <v>2.0</v>
      </c>
      <c r="F1254" s="40">
        <v>0.16</v>
      </c>
      <c r="G1254" s="11">
        <v>27923.0</v>
      </c>
      <c r="H1254" s="34" t="str">
        <f>IFERROR(__xludf.DUMMYFUNCTION("LOWER(REGEXREPLACE(B1254&amp;"" ""&amp;C1254,""[^а-яa-z0-9 ]"","" ""))")," атчик пульса типа  ense disc  1024   иапазон  0 200 уд мин   очность     2 уд мин   азрешение  1 уд мин ")</f>
        <v> атчик пульса типа  ense disc  1024   иапазон  0 200 уд мин   очность     2 уд мин   азрешение  1 уд мин </v>
      </c>
    </row>
    <row r="1255">
      <c r="A1255" s="35" t="s">
        <v>2826</v>
      </c>
      <c r="B1255" s="31" t="s">
        <v>2827</v>
      </c>
      <c r="C1255" s="31"/>
      <c r="D1255" s="37" t="s">
        <v>14</v>
      </c>
      <c r="E1255" s="38">
        <v>2.0</v>
      </c>
      <c r="F1255" s="39">
        <v>0.1</v>
      </c>
      <c r="G1255" s="11">
        <v>55037.0</v>
      </c>
      <c r="H1255" s="34" t="str">
        <f>IFERROR(__xludf.DUMMYFUNCTION("LOWER(REGEXREPLACE(B1255&amp;"" ""&amp;C1255,""[^а-яa-z0-9 ]"","" ""))")," атчик пульса типа  icro ab  lab pulse   абочая температура   20 60     ходящая частота 6 8  ц   астота измерений  fps  до 3000   иапазон измерений 30 210 ударов в минуту ")</f>
        <v> атчик пульса типа  icro ab  lab pulse   абочая температура   20 60     ходящая частота 6 8  ц   астота измерений  fps  до 3000   иапазон измерений 30 210 ударов в минуту </v>
      </c>
    </row>
    <row r="1256">
      <c r="A1256" s="35" t="s">
        <v>2828</v>
      </c>
      <c r="B1256" s="31" t="s">
        <v>2829</v>
      </c>
      <c r="C1256" s="31"/>
      <c r="D1256" s="37" t="s">
        <v>14</v>
      </c>
      <c r="E1256" s="38">
        <v>2.0</v>
      </c>
      <c r="F1256" s="39">
        <v>0.3</v>
      </c>
      <c r="G1256" s="11">
        <v>89988.0</v>
      </c>
      <c r="H1256" s="34" t="str">
        <f>IFERROR(__xludf.DUMMYFUNCTION("LOWER(REGEXREPLACE(B1256&amp;"" ""&amp;C1256,""[^а-яa-z0-9 ]"","" ""))")," атчик пульса   иапазон измерения частоты пульса от 40 до 200 ударов мин   иапазон рабочих температур от 10 до 35 градусов ")</f>
        <v> атчик пульса   иапазон измерения частоты пульса от 40 до 200 ударов мин   иапазон рабочих температур от 10 до 35 градусов </v>
      </c>
    </row>
    <row r="1257">
      <c r="A1257" s="35" t="s">
        <v>2830</v>
      </c>
      <c r="B1257" s="31" t="s">
        <v>2831</v>
      </c>
      <c r="C1257" s="31"/>
      <c r="D1257" s="37" t="s">
        <v>14</v>
      </c>
      <c r="E1257" s="10"/>
      <c r="F1257" s="36"/>
      <c r="G1257" s="11"/>
      <c r="H1257" s="34" t="str">
        <f>IFERROR(__xludf.DUMMYFUNCTION("LOWER(REGEXREPLACE(B1257&amp;"" ""&amp;C1257,""[^а-яa-z0-9 ]"","" ""))")," атчик влажности ")</f>
        <v> атчик влажности </v>
      </c>
    </row>
    <row r="1258">
      <c r="A1258" s="35" t="s">
        <v>2832</v>
      </c>
      <c r="B1258" s="9" t="s">
        <v>2833</v>
      </c>
      <c r="C1258" s="31"/>
      <c r="D1258" s="37" t="s">
        <v>14</v>
      </c>
      <c r="E1258" s="10"/>
      <c r="F1258" s="42">
        <v>0.077</v>
      </c>
      <c r="G1258" s="11">
        <v>139929.0</v>
      </c>
      <c r="H1258" s="34" t="str">
        <f>IFERROR(__xludf.DUMMYFUNCTION("LOWER(REGEXREPLACE(B1258&amp;"" ""&amp;C1258,""[^а-яa-z0-9 ]"","" ""))"),"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f>
        <v>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v>
      </c>
    </row>
    <row r="1259">
      <c r="A1259" s="35" t="s">
        <v>2834</v>
      </c>
      <c r="B1259" s="31" t="s">
        <v>2835</v>
      </c>
      <c r="C1259" s="31"/>
      <c r="D1259" s="37" t="s">
        <v>14</v>
      </c>
      <c r="E1259" s="38">
        <v>2.0</v>
      </c>
      <c r="F1259" s="40">
        <v>0.06</v>
      </c>
      <c r="G1259" s="11">
        <v>121344.0</v>
      </c>
      <c r="H1259" s="34" t="str">
        <f>IFERROR(__xludf.DUMMYFUNCTION("LOWER(REGEXREPLACE(B1259&amp;"" ""&amp;C1259,""[^а-яa-z0-9 ]"","" ""))")," instein   атчик влажности      014   иапазон  от 0 до 100   относительной влажности   очность   3    от 10 до 90   относительной влажности ")</f>
        <v> instein   атчик влажности      014   иапазон  от 0 до 100   относительной влажности   очность   3    от 10 до 90   относительной влажности </v>
      </c>
    </row>
    <row r="1260">
      <c r="A1260" s="35" t="s">
        <v>2836</v>
      </c>
      <c r="B1260" s="31" t="s">
        <v>2837</v>
      </c>
      <c r="C1260" s="31"/>
      <c r="D1260" s="37" t="s">
        <v>14</v>
      </c>
      <c r="E1260" s="38">
        <v>2.0</v>
      </c>
      <c r="F1260" s="40">
        <v>0.06</v>
      </c>
      <c r="G1260" s="11">
        <v>169805.0</v>
      </c>
      <c r="H1260" s="34" t="str">
        <f>IFERROR(__xludf.DUMMYFUNCTION("LOWER(REGEXREPLACE(B1260&amp;"" ""&amp;C1260,""[^а-яa-z0-9 ]"","" ""))")," instein   атчик влажности   температуры      041   иапазон  от 0 до 100   относительной влажности   очность   3    от 10 до 90   относительной влажности ")</f>
        <v> instein   атчик влажности   температуры      041   иапазон  от 0 до 100   относительной влажности   очность   3    от 10 до 90   относительной влажности </v>
      </c>
    </row>
    <row r="1261">
      <c r="A1261" s="35" t="s">
        <v>2838</v>
      </c>
      <c r="B1261" s="9" t="s">
        <v>2839</v>
      </c>
      <c r="C1261" s="31"/>
      <c r="D1261" s="37" t="s">
        <v>14</v>
      </c>
      <c r="E1261" s="38">
        <v>2.0</v>
      </c>
      <c r="F1261" s="40">
        <v>0.06</v>
      </c>
      <c r="G1261" s="11">
        <v>121404.0</v>
      </c>
      <c r="H1261" s="34" t="str">
        <f>IFERROR(__xludf.DUMMYFUNCTION("LOWER(REGEXREPLACE(B1261&amp;"" ""&amp;C1261,""[^а-яa-z0-9 ]"","" ""))")," instein   атчик влажности почвы        171   иапазон  от 0 до 200 кбар  от 0 до 200 к а   очность     2   по всему диапазону   азрешение  12 бит   0 05 cbar ")</f>
        <v> instein   атчик влажности почвы        171   иапазон  от 0 до 200 кбар  от 0 до 200 к а   очность     2   по всему диапазону   азрешение  12 бит   0 05 cbar </v>
      </c>
    </row>
    <row r="1262">
      <c r="A1262" s="35" t="s">
        <v>2840</v>
      </c>
      <c r="B1262" s="9" t="s">
        <v>2841</v>
      </c>
      <c r="C1262" s="31"/>
      <c r="D1262" s="37" t="s">
        <v>14</v>
      </c>
      <c r="E1262" s="38">
        <v>2.0</v>
      </c>
      <c r="F1262" s="42">
        <v>0.125</v>
      </c>
      <c r="G1262" s="11">
        <v>121705.0</v>
      </c>
      <c r="H1262" s="34" t="str">
        <f>IFERROR(__xludf.DUMMYFUNCTION("LOWER(REGEXREPLACE(B1262&amp;"" ""&amp;C1262,""[^а-яa-z0-9 ]"","" ""))")," атчик влажности почвы беспроводной типа  hywe  obra      sense  elative  umidity 12931 01  0 100     азрешение  0 1     астота измерений  10 ")</f>
        <v> атчик влажности почвы беспроводной типа  hywe  obra      sense  elative  umidity 12931 01  0 100     азрешение  0 1     астота измерений  10 </v>
      </c>
    </row>
    <row r="1263">
      <c r="A1263" s="35" t="s">
        <v>2842</v>
      </c>
      <c r="B1263" s="9" t="s">
        <v>2843</v>
      </c>
      <c r="C1263" s="31"/>
      <c r="D1263" s="37" t="s">
        <v>14</v>
      </c>
      <c r="E1263" s="38">
        <v>2.0</v>
      </c>
      <c r="F1263" s="39">
        <v>0.2</v>
      </c>
      <c r="G1263" s="11">
        <v>97124.0</v>
      </c>
      <c r="H1263" s="34" t="str">
        <f>IFERROR(__xludf.DUMMYFUNCTION("LOWER(REGEXREPLACE(B1263&amp;"" ""&amp;C1263,""[^а-яa-z0-9 ]"","" ""))")," атчик влажности почвы беспроводной типа  cience ube    117    иапазон  от 0  до 100  относительной влажности   азрешение  2  ")</f>
        <v> атчик влажности почвы беспроводной типа  cience ube    117    иапазон  от 0  до 100  относительной влажности   азрешение  2  </v>
      </c>
    </row>
    <row r="1264">
      <c r="A1264" s="35" t="s">
        <v>2844</v>
      </c>
      <c r="B1264" s="9" t="s">
        <v>2845</v>
      </c>
      <c r="C1264" s="31"/>
      <c r="D1264" s="37" t="s">
        <v>14</v>
      </c>
      <c r="E1264" s="38">
        <v>2.0</v>
      </c>
      <c r="F1264" s="40">
        <v>0.21</v>
      </c>
      <c r="G1264" s="11">
        <v>26710.0</v>
      </c>
      <c r="H1264" s="34" t="str">
        <f>IFERROR(__xludf.DUMMYFUNCTION("LOWER(REGEXREPLACE(B1264&amp;"" ""&amp;C1264,""[^а-яa-z0-9 ]"","" ""))")," атчик влажности типа  ense disc  1008   иапазон  0 100    очность     4    азрешение  0 1  ")</f>
        <v> атчик влажности типа  ense disc  1008   иапазон  0 100    очность     4    азрешение  0 1  </v>
      </c>
    </row>
    <row r="1265">
      <c r="A1265" s="35" t="s">
        <v>2846</v>
      </c>
      <c r="B1265" s="31" t="s">
        <v>2847</v>
      </c>
      <c r="C1265" s="31"/>
      <c r="D1265" s="37" t="s">
        <v>14</v>
      </c>
      <c r="E1265" s="38">
        <v>2.0</v>
      </c>
      <c r="F1265" s="39">
        <v>0.1</v>
      </c>
      <c r="G1265" s="11">
        <v>55037.0</v>
      </c>
      <c r="H1265" s="34" t="str">
        <f>IFERROR(__xludf.DUMMYFUNCTION("LOWER(REGEXREPLACE(B1265&amp;"" ""&amp;C1265,""[^а-яa-z0-9 ]"","" ""))")," атчик влажности почвы типа  icro ab  lab moisture   очность     2   по всему диапазону   азрешение  12 бит   0 05 сбар   астота дискретизации по умолчанию  10 выборок в секунду ")</f>
        <v> атчик влажности почвы типа  icro ab  lab moisture   очность     2   по всему диапазону   азрешение  12 бит   0 05 сбар   астота дискретизации по умолчанию  10 выборок в секунду </v>
      </c>
    </row>
    <row r="1266">
      <c r="A1266" s="35" t="s">
        <v>2848</v>
      </c>
      <c r="B1266" s="31" t="s">
        <v>2849</v>
      </c>
      <c r="C1266" s="31"/>
      <c r="D1266" s="37" t="s">
        <v>14</v>
      </c>
      <c r="E1266" s="38">
        <v>2.0</v>
      </c>
      <c r="F1266" s="39">
        <v>0.1</v>
      </c>
      <c r="G1266" s="11">
        <v>267898.0</v>
      </c>
      <c r="H1266" s="34" t="str">
        <f>IFERROR(__xludf.DUMMYFUNCTION("LOWER(REGEXREPLACE(B1266&amp;"" ""&amp;C1266,""[^а-яa-z0-9 ]"","" ""))"),"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f>
        <v>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v>
      </c>
    </row>
    <row r="1267">
      <c r="A1267" s="35" t="s">
        <v>2850</v>
      </c>
      <c r="B1267" s="31" t="s">
        <v>2851</v>
      </c>
      <c r="C1267" s="31"/>
      <c r="D1267" s="37" t="s">
        <v>68</v>
      </c>
      <c r="E1267" s="10"/>
      <c r="F1267" s="36"/>
      <c r="G1267" s="11"/>
      <c r="H1267" s="34" t="str">
        <f>IFERROR(__xludf.DUMMYFUNCTION("LOWER(REGEXREPLACE(B1267&amp;"" ""&amp;C1267,""[^а-яa-z0-9 ]"","" ""))")," ифровая лаборатория по естественным наукам ")</f>
        <v> ифровая лаборатория по естественным наукам </v>
      </c>
    </row>
    <row r="1268">
      <c r="A1268" s="35" t="s">
        <v>2852</v>
      </c>
      <c r="B1268" s="31" t="s">
        <v>2853</v>
      </c>
      <c r="C1268" s="31" t="s">
        <v>2854</v>
      </c>
      <c r="D1268" s="37" t="s">
        <v>68</v>
      </c>
      <c r="E1268" s="38">
        <v>2.0</v>
      </c>
      <c r="F1268" s="40">
        <v>0.72</v>
      </c>
      <c r="G1268" s="11">
        <v>1066203.0</v>
      </c>
      <c r="H1268" s="34" t="str">
        <f>IFERROR(__xludf.DUMMYFUNCTION("LOWER(REGEXREPLACE(B1268&amp;"" ""&amp;C1268,""[^а-яa-z0-9 ]"","" ""))"),"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"&amp;"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си"&amp;"лы и ускорения   1120  6 х     соединительный провод   рограммное обеспечение сбора и обработки данных  asysense2 на трех языках  каз   рус   англ  языке   етодические пособия ")</f>
        <v>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силы и ускорения   1120  6 х     соединительный провод   рограммное обеспечение сбора и обработки данных  asysense2 на трех языках  каз   рус   англ  языке   етодические пособия </v>
      </c>
    </row>
    <row r="1269">
      <c r="A1269" s="35" t="s">
        <v>2855</v>
      </c>
      <c r="B1269" s="31" t="s">
        <v>2856</v>
      </c>
      <c r="C1269" s="31" t="s">
        <v>2857</v>
      </c>
      <c r="D1269" s="37" t="s">
        <v>68</v>
      </c>
      <c r="E1269" s="38">
        <v>2.0</v>
      </c>
      <c r="F1269" s="40">
        <v>1.77</v>
      </c>
      <c r="G1269" s="11">
        <v>821699.0</v>
      </c>
      <c r="H1269" s="34" t="str">
        <f>IFERROR(__xludf.DUMMYFUNCTION("LOWER(REGEXREPLACE(B1269&amp;"" ""&amp;C1269,""[^а-яa-z0-9 ]"","" ""))"),"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ти"&amp;"па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есп"&amp;"роводной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"&amp;"      даптер  luetooth 4 1  раткое руководство по эксплуатации цифровой лаборатории  рограммное обеспечение  етодические пособие")</f>
        <v>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даптер  luetooth 4 1  раткое руководство по эксплуатации цифровой лаборатории  рограммное обеспечение  етодические пособие</v>
      </c>
    </row>
    <row r="1270">
      <c r="A1270" s="35" t="s">
        <v>2858</v>
      </c>
      <c r="B1270" s="31" t="s">
        <v>2859</v>
      </c>
      <c r="C1270" s="31" t="s">
        <v>2860</v>
      </c>
      <c r="D1270" s="37" t="s">
        <v>68</v>
      </c>
      <c r="E1270" s="38">
        <v>2.0</v>
      </c>
      <c r="F1270" s="40">
        <v>2.35</v>
      </c>
      <c r="G1270" s="11">
        <v>759906.0</v>
      </c>
      <c r="H1270" s="34" t="str">
        <f>IFERROR(__xludf.DUMMYFUNCTION("LOWER(REGEXREPLACE(B1270&amp;"" ""&amp;C1270,""[^а-яa-z0-9 ]"","" ""))"),"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103"&amp;"4   1 шт  атчик влажности     1008   1 шт  атчик мутности     1017   1 шт  атчик света     1033   1 шт  атчик кислорода   1 шт  атчик р      1005   1 шт  атчик электропроводности     1038   1 шт")</f>
        <v>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1034   1 шт  атчик влажности     1008   1 шт  атчик мутности     1017   1 шт  атчик света     1033   1 шт  атчик кислорода   1 шт  атчик р      1005   1 шт  атчик электропроводности     1038   1 шт</v>
      </c>
    </row>
    <row r="1271">
      <c r="A1271" s="35" t="s">
        <v>2861</v>
      </c>
      <c r="B1271" s="31" t="s">
        <v>2511</v>
      </c>
      <c r="C1271" s="31"/>
      <c r="D1271" s="36"/>
      <c r="E1271" s="10"/>
      <c r="F1271" s="36"/>
      <c r="G1271" s="11"/>
      <c r="H1271" s="34" t="str">
        <f>IFERROR(__xludf.DUMMYFUNCTION("LOWER(REGEXREPLACE(B1271&amp;"" ""&amp;C1271,""[^а-яa-z0-9 ]"","" ""))")," немометр ")</f>
        <v> немометр </v>
      </c>
    </row>
    <row r="1272">
      <c r="A1272" s="35" t="s">
        <v>2862</v>
      </c>
      <c r="B1272" s="31" t="s">
        <v>2863</v>
      </c>
      <c r="C1272" s="31"/>
      <c r="D1272" s="37" t="s">
        <v>14</v>
      </c>
      <c r="E1272" s="38">
        <v>2.0</v>
      </c>
      <c r="F1272" s="40">
        <v>0.06</v>
      </c>
      <c r="G1272" s="11">
        <v>372336.0</v>
      </c>
      <c r="H1272" s="34" t="str">
        <f>IFERROR(__xludf.DUMMYFUNCTION("LOWER(REGEXREPLACE(B1272&amp;"" ""&amp;C1272,""[^а-яa-z0-9 ]"","" ""))")," instein   немометр      012    корость ветра   апас хода  от 1 до 322 км ч  от 1 до 174 миль в час   азрешение  0 1 км ч   очность    5  ")</f>
        <v> instein   немометр      012    корость ветра   апас хода  от 1 до 322 км ч  от 1 до 174 миль в час   азрешение  0 1 км ч   очность    5  </v>
      </c>
    </row>
    <row r="1273">
      <c r="A1273" s="35" t="s">
        <v>2864</v>
      </c>
      <c r="B1273" s="31" t="s">
        <v>2865</v>
      </c>
      <c r="C1273" s="31"/>
      <c r="D1273" s="36"/>
      <c r="E1273" s="10"/>
      <c r="F1273" s="36"/>
      <c r="G1273" s="11"/>
      <c r="H1273" s="34" t="str">
        <f>IFERROR(__xludf.DUMMYFUNCTION("LOWER(REGEXREPLACE(B1273&amp;"" ""&amp;C1273,""[^а-яa-z0-9 ]"","" ""))")," атчик сердечного ритма ")</f>
        <v> атчик сердечного ритма </v>
      </c>
    </row>
    <row r="1274">
      <c r="A1274" s="35" t="s">
        <v>2866</v>
      </c>
      <c r="B1274" s="31" t="s">
        <v>2867</v>
      </c>
      <c r="C1274" s="31"/>
      <c r="D1274" s="37" t="s">
        <v>14</v>
      </c>
      <c r="E1274" s="38">
        <v>2.0</v>
      </c>
      <c r="F1274" s="40">
        <v>0.06</v>
      </c>
      <c r="G1274" s="11">
        <v>138966.0</v>
      </c>
      <c r="H1274" s="34" t="str">
        <f>IFERROR(__xludf.DUMMYFUNCTION("LOWER(REGEXREPLACE(B1274&amp;"" ""&amp;C1274,""[^а-яa-z0-9 ]"","" ""))")," instein   атчик сердечного ритма  пульс         155   мпульс диапазона  0   250 ударов в минуту    орма сигнала диапазона  0   3   ")</f>
        <v> instein   атчик сердечного ритма  пульс         155   мпульс диапазона  0   250 ударов в минуту    орма сигнала диапазона  0   3   </v>
      </c>
    </row>
    <row r="1275">
      <c r="A1275" s="35" t="s">
        <v>2868</v>
      </c>
      <c r="B1275" s="31" t="s">
        <v>2869</v>
      </c>
      <c r="C1275" s="31"/>
      <c r="D1275" s="37" t="s">
        <v>14</v>
      </c>
      <c r="E1275" s="38">
        <v>2.0</v>
      </c>
      <c r="F1275" s="39">
        <v>0.1</v>
      </c>
      <c r="G1275" s="11">
        <v>73931.0</v>
      </c>
      <c r="H1275" s="34" t="str">
        <f>IFERROR(__xludf.DUMMYFUNCTION("LOWER(REGEXREPLACE(B1275&amp;"" ""&amp;C1275,""[^а-яa-z0-9 ]"","" ""))")," нешний датчик сердечного ритма  lobisense   иапазон  от 0 до 5    очность    2   ")</f>
        <v> нешний датчик сердечного ритма  lobisense   иапазон  от 0 до 5    очность    2   </v>
      </c>
    </row>
    <row r="1276">
      <c r="A1276" s="35" t="s">
        <v>2870</v>
      </c>
      <c r="B1276" s="9" t="s">
        <v>2871</v>
      </c>
      <c r="C1276" s="31"/>
      <c r="D1276" s="37" t="s">
        <v>14</v>
      </c>
      <c r="E1276" s="38">
        <v>2.0</v>
      </c>
      <c r="F1276" s="40">
        <v>0.18</v>
      </c>
      <c r="G1276" s="11">
        <v>111062.0</v>
      </c>
      <c r="H1276" s="34" t="str">
        <f>IFERROR(__xludf.DUMMYFUNCTION("LOWER(REGEXREPLACE(B1276&amp;"" ""&amp;C1276,""[^а-яa-z0-9 ]"","" ""))")," атчик сердечного ритма типа  cience ube      1070  eart  ate  onitor   иапазон  0 250 уд мин   азрешение  1 уд мин ")</f>
        <v> атчик сердечного ритма типа  cience ube      1070  eart  ate  onitor   иапазон  0 250 уд мин   азрешение  1 уд мин </v>
      </c>
    </row>
    <row r="1277">
      <c r="A1277" s="35" t="s">
        <v>2872</v>
      </c>
      <c r="B1277" s="31" t="s">
        <v>2873</v>
      </c>
      <c r="C1277" s="31"/>
      <c r="D1277" s="36"/>
      <c r="E1277" s="10"/>
      <c r="F1277" s="36"/>
      <c r="G1277" s="11"/>
      <c r="H1277" s="34" t="str">
        <f>IFERROR(__xludf.DUMMYFUNCTION("LOWER(REGEXREPLACE(B1277&amp;"" ""&amp;C1277,""[^а-яa-z0-9 ]"","" ""))")," атчик мутности ")</f>
        <v> атчик мутности </v>
      </c>
    </row>
    <row r="1278">
      <c r="A1278" s="35" t="s">
        <v>2874</v>
      </c>
      <c r="B1278" s="31" t="s">
        <v>2875</v>
      </c>
      <c r="C1278" s="31"/>
      <c r="D1278" s="37" t="s">
        <v>14</v>
      </c>
      <c r="E1278" s="38">
        <v>2.0</v>
      </c>
      <c r="F1278" s="40">
        <v>0.06</v>
      </c>
      <c r="G1278" s="11">
        <v>193927.0</v>
      </c>
      <c r="H1278" s="34" t="str">
        <f>IFERROR(__xludf.DUMMYFUNCTION("LOWER(REGEXREPLACE(B1278&amp;"" ""&amp;C1278,""[^а-яa-z0-9 ]"","" ""))")," instein   атчик мутности        095   иапазон  от 0 до 200       очность  20  по всему диапазону   азрешение  12 бит   0 25     ")</f>
        <v> instein   атчик мутности        095   иапазон  от 0 до 200       очность  20  по всему диапазону   азрешение  12 бит   0 25     </v>
      </c>
    </row>
    <row r="1279">
      <c r="A1279" s="35" t="s">
        <v>2876</v>
      </c>
      <c r="B1279" s="31" t="s">
        <v>2877</v>
      </c>
      <c r="C1279" s="31"/>
      <c r="D1279" s="37" t="s">
        <v>14</v>
      </c>
      <c r="E1279" s="38">
        <v>2.0</v>
      </c>
      <c r="F1279" s="40">
        <v>0.22</v>
      </c>
      <c r="G1279" s="11">
        <v>83814.0</v>
      </c>
      <c r="H1279" s="34" t="str">
        <f>IFERROR(__xludf.DUMMYFUNCTION("LOWER(REGEXREPLACE(B1279&amp;"" ""&amp;C1279,""[^а-яa-z0-9 ]"","" ""))")," атчик мутности растворов типа  cience ube    128    urbidity  ensor   иапазон  0 до 200       азрешение  0 25       очность     2     ")</f>
        <v> атчик мутности растворов типа  cience ube    128    urbidity  ensor   иапазон  0 до 200       азрешение  0 25       очность     2     </v>
      </c>
    </row>
    <row r="1280">
      <c r="A1280" s="35" t="s">
        <v>2878</v>
      </c>
      <c r="B1280" s="31" t="s">
        <v>2879</v>
      </c>
      <c r="C1280" s="31"/>
      <c r="D1280" s="37" t="s">
        <v>14</v>
      </c>
      <c r="E1280" s="38">
        <v>2.0</v>
      </c>
      <c r="F1280" s="39">
        <v>0.1</v>
      </c>
      <c r="G1280" s="11">
        <v>78058.0</v>
      </c>
      <c r="H1280" s="34" t="str">
        <f>IFERROR(__xludf.DUMMYFUNCTION("LOWER(REGEXREPLACE(B1280&amp;"" ""&amp;C1280,""[^а-яa-z0-9 ]"","" ""))")," атчик мутности растворов типа  icro ab  lab turbidity   иапазон измерений 0 4500     ")</f>
        <v> атчик мутности растворов типа  icro ab  lab turbidity   иапазон измерений 0 4500     </v>
      </c>
    </row>
    <row r="1281">
      <c r="A1281" s="35" t="s">
        <v>2880</v>
      </c>
      <c r="B1281" s="31" t="s">
        <v>2881</v>
      </c>
      <c r="C1281" s="31"/>
      <c r="D1281" s="37" t="s">
        <v>14</v>
      </c>
      <c r="E1281" s="38">
        <v>2.0</v>
      </c>
      <c r="F1281" s="40">
        <v>0.72</v>
      </c>
      <c r="G1281" s="11">
        <v>494097.0</v>
      </c>
      <c r="H1281" s="34" t="str">
        <f>IFERROR(__xludf.DUMMYFUNCTION("LOWER(REGEXREPLACE(B1281&amp;"" ""&amp;C1281,""[^а-яa-z0-9 ]"","" ""))")," ифровая лаборатория по естествознанию  lobisense  abdisc            12 general science со встроенными датчиками ")</f>
        <v> ифровая лаборатория по естествознанию  lobisense  abdisc            12 general science со встроенными датчиками </v>
      </c>
    </row>
    <row r="1282">
      <c r="A1282" s="35" t="s">
        <v>2882</v>
      </c>
      <c r="B1282" s="31" t="s">
        <v>2883</v>
      </c>
      <c r="C1282" s="31"/>
      <c r="D1282" s="37" t="s">
        <v>14</v>
      </c>
      <c r="E1282" s="38">
        <v>2.0</v>
      </c>
      <c r="F1282" s="40">
        <v>0.68</v>
      </c>
      <c r="G1282" s="11">
        <v>482227.0</v>
      </c>
      <c r="H1282" s="34" t="str">
        <f>IFERROR(__xludf.DUMMYFUNCTION("LOWER(REGEXREPLACE(B1282&amp;"" ""&amp;C1282,""[^а-яa-z0-9 ]"","" ""))")," ифровая лаборатория по биологии химии  lobisense   abdisc              9 12  hemistry со встроенными датчиками ")</f>
        <v> ифровая лаборатория по биологии химии  lobisense   abdisc              9 12  hemistry со встроенными датчиками </v>
      </c>
    </row>
    <row r="1283">
      <c r="A1283" s="35" t="s">
        <v>2884</v>
      </c>
      <c r="B1283" s="31" t="s">
        <v>2885</v>
      </c>
      <c r="C1283" s="31"/>
      <c r="D1283" s="37" t="s">
        <v>14</v>
      </c>
      <c r="E1283" s="10"/>
      <c r="F1283" s="36"/>
      <c r="G1283" s="11"/>
      <c r="H1283" s="34" t="str">
        <f>IFERROR(__xludf.DUMMYFUNCTION("LOWER(REGEXREPLACE(B1283&amp;"" ""&amp;C1283,""[^а-яa-z0-9 ]"","" ""))")," аборатория цифровая по экологии ")</f>
        <v> аборатория цифровая по экологии </v>
      </c>
    </row>
    <row r="1284">
      <c r="A1284" s="35" t="s">
        <v>2886</v>
      </c>
      <c r="B1284" s="31" t="s">
        <v>2887</v>
      </c>
      <c r="C1284" s="31"/>
      <c r="D1284" s="37" t="s">
        <v>14</v>
      </c>
      <c r="E1284" s="38">
        <v>2.0</v>
      </c>
      <c r="F1284" s="39">
        <v>0.7</v>
      </c>
      <c r="G1284" s="11">
        <v>494097.0</v>
      </c>
      <c r="H1284" s="34" t="str">
        <f>IFERROR(__xludf.DUMMYFUNCTION("LOWER(REGEXREPLACE(B1284&amp;"" ""&amp;C1284,""[^а-яa-z0-9 ]"","" ""))")," аборатория цифровая по науке об окружающей среде типа  lobisense  abdisc            12  nvironmental science со встроенными датчиками ")</f>
        <v> аборатория цифровая по науке об окружающей среде типа  lobisense  abdisc            12  nvironmental science со встроенными датчиками </v>
      </c>
    </row>
    <row r="1285">
      <c r="A1285" s="35" t="s">
        <v>2888</v>
      </c>
      <c r="B1285" s="31" t="s">
        <v>2889</v>
      </c>
      <c r="C1285" s="31"/>
      <c r="D1285" s="37" t="s">
        <v>14</v>
      </c>
      <c r="E1285" s="38">
        <v>2.0</v>
      </c>
      <c r="F1285" s="39">
        <v>0.5</v>
      </c>
      <c r="G1285" s="11">
        <v>103420.0</v>
      </c>
      <c r="H1285" s="34" t="str">
        <f>IFERROR(__xludf.DUMMYFUNCTION("LOWER(REGEXREPLACE(B1285&amp;"" ""&amp;C1285,""[^а-яa-z0-9 ]"","" ""))"),"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f>
        <v>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v>
      </c>
    </row>
    <row r="1286">
      <c r="A1286" s="35" t="s">
        <v>2890</v>
      </c>
      <c r="B1286" s="31" t="s">
        <v>2891</v>
      </c>
      <c r="C1286" s="31"/>
      <c r="D1286" s="36"/>
      <c r="E1286" s="10"/>
      <c r="F1286" s="36"/>
      <c r="G1286" s="11"/>
      <c r="H1286" s="34" t="str">
        <f>IFERROR(__xludf.DUMMYFUNCTION("LOWER(REGEXREPLACE(B1286&amp;"" ""&amp;C1286,""[^а-яa-z0-9 ]"","" ""))")," огодная станция ")</f>
        <v> огодная станция </v>
      </c>
    </row>
    <row r="1287">
      <c r="A1287" s="35" t="s">
        <v>2892</v>
      </c>
      <c r="B1287" s="31" t="s">
        <v>2893</v>
      </c>
      <c r="C1287" s="31"/>
      <c r="D1287" s="37" t="s">
        <v>14</v>
      </c>
      <c r="E1287" s="38">
        <v>2.0</v>
      </c>
      <c r="F1287" s="40">
        <v>0.24</v>
      </c>
      <c r="G1287" s="11">
        <v>520689.0</v>
      </c>
      <c r="H1287" s="34" t="str">
        <f>IFERROR(__xludf.DUMMYFUNCTION("LOWER(REGEXREPLACE(B1287&amp;"" ""&amp;C1287,""[^а-яa-z0-9 ]"","" ""))")," огодная станция беспроводная типа  hywe  obra      sense  eatherstation 12946 00 ")</f>
        <v> огодная станция беспроводная типа  hywe  obra      sense  eatherstation 12946 00 </v>
      </c>
    </row>
    <row r="1288">
      <c r="A1288" s="35" t="s">
        <v>2894</v>
      </c>
      <c r="B1288" s="9" t="s">
        <v>2895</v>
      </c>
      <c r="C1288" s="31"/>
      <c r="D1288" s="37" t="s">
        <v>14</v>
      </c>
      <c r="E1288" s="38">
        <v>2.0</v>
      </c>
      <c r="F1288" s="39">
        <v>0.1</v>
      </c>
      <c r="G1288" s="11">
        <v>72950.0</v>
      </c>
      <c r="H1288" s="34" t="str">
        <f>IFERROR(__xludf.DUMMYFUNCTION("LOWER(REGEXREPLACE(B1288&amp;"" ""&amp;C1288,""[^а-яa-z0-9 ]"","" ""))"),"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"&amp;"  3  ")</f>
        <v>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3  </v>
      </c>
    </row>
    <row r="1289">
      <c r="A1289" s="35" t="s">
        <v>2896</v>
      </c>
      <c r="B1289" s="31" t="s">
        <v>2897</v>
      </c>
      <c r="C1289" s="31"/>
      <c r="D1289" s="36"/>
      <c r="E1289" s="10"/>
      <c r="F1289" s="36"/>
      <c r="G1289" s="11"/>
      <c r="H1289" s="34" t="str">
        <f>IFERROR(__xludf.DUMMYFUNCTION("LOWER(REGEXREPLACE(B1289&amp;"" ""&amp;C1289,""[^а-яa-z0-9 ]"","" ""))")," аборатория цифровая по химии ")</f>
        <v> аборатория цифровая по химии </v>
      </c>
    </row>
    <row r="1290">
      <c r="A1290" s="35" t="s">
        <v>2898</v>
      </c>
      <c r="B1290" s="31" t="s">
        <v>2899</v>
      </c>
      <c r="C1290" s="31"/>
      <c r="D1290" s="37" t="s">
        <v>14</v>
      </c>
      <c r="E1290" s="38">
        <v>2.0</v>
      </c>
      <c r="F1290" s="39">
        <v>0.4</v>
      </c>
      <c r="G1290" s="11">
        <v>562055.0</v>
      </c>
      <c r="H1290" s="34" t="str">
        <f>IFERROR(__xludf.DUMMYFUNCTION("LOWER(REGEXREPLACE(B1290&amp;"" ""&amp;C1290,""[^а-яa-z0-9 ]"","" ""))"),"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f>
        <v>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v>
      </c>
    </row>
    <row r="1291">
      <c r="A1291" s="35" t="s">
        <v>2900</v>
      </c>
      <c r="B1291" s="31" t="s">
        <v>2901</v>
      </c>
      <c r="C1291" s="31"/>
      <c r="D1291" s="36"/>
      <c r="E1291" s="10"/>
      <c r="F1291" s="36"/>
      <c r="G1291" s="11"/>
      <c r="H1291" s="34" t="str">
        <f>IFERROR(__xludf.DUMMYFUNCTION("LOWER(REGEXREPLACE(B1291&amp;"" ""&amp;C1291,""[^а-яa-z0-9 ]"","" ""))")," аборатория цифровая по биологии ")</f>
        <v> аборатория цифровая по биологии </v>
      </c>
    </row>
    <row r="1292">
      <c r="A1292" s="35" t="s">
        <v>2902</v>
      </c>
      <c r="B1292" s="31" t="s">
        <v>2903</v>
      </c>
      <c r="C1292" s="31"/>
      <c r="D1292" s="37" t="s">
        <v>14</v>
      </c>
      <c r="E1292" s="38">
        <v>2.0</v>
      </c>
      <c r="F1292" s="39">
        <v>0.5</v>
      </c>
      <c r="G1292" s="11">
        <v>562056.0</v>
      </c>
      <c r="H1292" s="34" t="str">
        <f>IFERROR(__xludf.DUMMYFUNCTION("LOWER(REGEXREPLACE(B1292&amp;"" ""&amp;C1292,""[^а-яa-z0-9 ]"","" ""))")," аборатория цифровая по биологии с 6 встроенными датчиками  влажность  освещение  р   акселерометр  температура окружающей среды  температура типа  рхимед ")</f>
        <v> аборатория цифровая по биологии с 6 встроенными датчиками  влажность  освещение  р   акселерометр  температура окружающей среды  температура типа  рхимед </v>
      </c>
    </row>
    <row r="1293">
      <c r="A1293" s="35" t="s">
        <v>2904</v>
      </c>
      <c r="B1293" s="31" t="s">
        <v>2905</v>
      </c>
      <c r="C1293" s="31"/>
      <c r="D1293" s="37" t="s">
        <v>14</v>
      </c>
      <c r="E1293" s="38">
        <v>2.0</v>
      </c>
      <c r="F1293" s="39">
        <v>0.5</v>
      </c>
      <c r="G1293" s="11">
        <v>854323.0</v>
      </c>
      <c r="H1293" s="34" t="str">
        <f>IFERROR(__xludf.DUMMYFUNCTION("LOWER(REGEXREPLACE(B1293&amp;"" ""&amp;C1293,""[^а-яa-z0-9 ]"","" ""))"),"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f>
        <v>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v>
      </c>
    </row>
    <row r="1294">
      <c r="A1294" s="35" t="s">
        <v>2906</v>
      </c>
      <c r="B1294" s="31" t="s">
        <v>2907</v>
      </c>
      <c r="C1294" s="31"/>
      <c r="D1294" s="37" t="s">
        <v>14</v>
      </c>
      <c r="E1294" s="10"/>
      <c r="F1294" s="36"/>
      <c r="G1294" s="11"/>
      <c r="H1294" s="34" t="str">
        <f>IFERROR(__xludf.DUMMYFUNCTION("LOWER(REGEXREPLACE(B1294&amp;"" ""&amp;C1294,""[^а-яa-z0-9 ]"","" ""))")," атчик счетчика капель ")</f>
        <v> атчик счетчика капель </v>
      </c>
    </row>
    <row r="1295">
      <c r="A1295" s="35" t="s">
        <v>2908</v>
      </c>
      <c r="B1295" s="31" t="s">
        <v>2909</v>
      </c>
      <c r="C1295" s="31"/>
      <c r="D1295" s="37" t="s">
        <v>14</v>
      </c>
      <c r="E1295" s="38">
        <v>2.0</v>
      </c>
      <c r="F1295" s="40">
        <v>0.15</v>
      </c>
      <c r="G1295" s="11">
        <v>253150.0</v>
      </c>
      <c r="H1295" s="34" t="str">
        <f>IFERROR(__xludf.DUMMYFUNCTION("LOWER(REGEXREPLACE(B1295&amp;"" ""&amp;C1295,""[^а-яa-z0-9 ]"","" ""))"),"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f>
        <v>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v>
      </c>
    </row>
    <row r="1296">
      <c r="A1296" s="35" t="s">
        <v>2910</v>
      </c>
      <c r="B1296" s="31" t="s">
        <v>2911</v>
      </c>
      <c r="C1296" s="31"/>
      <c r="D1296" s="36"/>
      <c r="E1296" s="10"/>
      <c r="F1296" s="36"/>
      <c r="G1296" s="11"/>
      <c r="H1296" s="34" t="str">
        <f>IFERROR(__xludf.DUMMYFUNCTION("LOWER(REGEXREPLACE(B1296&amp;"" ""&amp;C1296,""[^а-яa-z0-9 ]"","" ""))")," абинет химии и лаборантская ")</f>
        <v> абинет химии и лаборантская </v>
      </c>
    </row>
    <row r="1297">
      <c r="A1297" s="35" t="s">
        <v>2912</v>
      </c>
      <c r="B1297" s="31" t="s">
        <v>2913</v>
      </c>
      <c r="C1297" s="31"/>
      <c r="D1297" s="37" t="s">
        <v>14</v>
      </c>
      <c r="E1297" s="10"/>
      <c r="F1297" s="36"/>
      <c r="G1297" s="11"/>
      <c r="H1297" s="34" t="str">
        <f>IFERROR(__xludf.DUMMYFUNCTION("LOWER(REGEXREPLACE(B1297&amp;"" ""&amp;C1297,""[^а-яa-z0-9 ]"","" ""))")," каф вытяжной демонстрационный ")</f>
        <v> каф вытяжной демонстрационный </v>
      </c>
    </row>
    <row r="1298">
      <c r="A1298" s="35" t="s">
        <v>2914</v>
      </c>
      <c r="B1298" s="31" t="s">
        <v>2915</v>
      </c>
      <c r="C1298" s="31" t="s">
        <v>2916</v>
      </c>
      <c r="D1298" s="37" t="s">
        <v>14</v>
      </c>
      <c r="E1298" s="10"/>
      <c r="F1298" s="36"/>
      <c r="G1298" s="11">
        <v>386083.0</v>
      </c>
      <c r="H1298" s="34" t="str">
        <f>IFERROR(__xludf.DUMMYFUNCTION("LOWER(REGEXREPLACE(B1298&amp;"" ""&amp;C1298,""[^а-яa-z0-9 ]"","" ""))"),"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по"&amp;"крытием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горизонт"&amp;"у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врезно"&amp;"й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f>
        <v>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v>
      </c>
    </row>
    <row r="1299">
      <c r="A1299" s="35" t="s">
        <v>2917</v>
      </c>
      <c r="B1299" s="31" t="s">
        <v>2918</v>
      </c>
      <c r="C1299" s="31" t="s">
        <v>2919</v>
      </c>
      <c r="D1299" s="37" t="s">
        <v>14</v>
      </c>
      <c r="E1299" s="38">
        <v>2.0</v>
      </c>
      <c r="F1299" s="38">
        <v>25.0</v>
      </c>
      <c r="G1299" s="11">
        <v>928891.0</v>
      </c>
      <c r="H1299" s="34" t="str">
        <f>IFERROR(__xludf.DUMMYFUNCTION("LOWER(REGEXREPLACE(B1299&amp;"" ""&amp;C1299,""[^а-яa-z0-9 ]"","" ""))"),"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"&amp;"мм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летуч"&amp;"ими веществами   меется 2 розетки и раковина 300 150мм")</f>
        <v>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летучими веществами   меется 2 розетки и раковина 300 150мм</v>
      </c>
    </row>
    <row r="1300">
      <c r="A1300" s="35" t="s">
        <v>2920</v>
      </c>
      <c r="B1300" s="31" t="s">
        <v>2921</v>
      </c>
      <c r="C1300" s="31" t="s">
        <v>2922</v>
      </c>
      <c r="D1300" s="37" t="s">
        <v>14</v>
      </c>
      <c r="E1300" s="10"/>
      <c r="F1300" s="38">
        <v>130.0</v>
      </c>
      <c r="G1300" s="11">
        <v>1558036.0</v>
      </c>
      <c r="H1300" s="34" t="str">
        <f>IFERROR(__xludf.DUMMYFUNCTION("LOWER(REGEXREPLACE(B1300&amp;"" ""&amp;C1300,""[^а-яa-z0-9 ]"","" ""))"),"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трипл"&amp;"екса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внутренняя"&amp;"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"&amp;"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мене"&amp;"е 120 100мм")</f>
        <v>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менее 120 100мм</v>
      </c>
    </row>
    <row r="1301">
      <c r="A1301" s="35" t="s">
        <v>2923</v>
      </c>
      <c r="B1301" s="31" t="s">
        <v>2924</v>
      </c>
      <c r="C1301" s="31" t="s">
        <v>2925</v>
      </c>
      <c r="D1301" s="37" t="s">
        <v>14</v>
      </c>
      <c r="E1301" s="38">
        <v>2.0</v>
      </c>
      <c r="F1301" s="38">
        <v>140.0</v>
      </c>
      <c r="G1301" s="11">
        <v>423208.0</v>
      </c>
      <c r="H1301" s="34" t="str">
        <f>IFERROR(__xludf.DUMMYFUNCTION("LOWER(REGEXREPLACE(B1301&amp;"" ""&amp;C1301,""[^а-яa-z0-9 ]"","" ""))"),"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верти"&amp;"кально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б"&amp;"елый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"&amp;" полипропиленовая раковина лабораторная   1 шт  сифон канализационный бытовой   1 шт  вентилятор вытяжной электрический   1 шт  розетка    56 с защитной шторкой   2шт")</f>
        <v>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полипропиленовая раковина лабораторная   1 шт  сифон канализационный бытовой   1 шт  вентилятор вытяжной электрический   1 шт  розетка    56 с защитной шторкой   2шт</v>
      </c>
    </row>
    <row r="1302">
      <c r="A1302" s="35" t="s">
        <v>2926</v>
      </c>
      <c r="B1302" s="31" t="s">
        <v>2927</v>
      </c>
      <c r="C1302" s="31" t="s">
        <v>2928</v>
      </c>
      <c r="D1302" s="37" t="s">
        <v>14</v>
      </c>
      <c r="E1302" s="38">
        <v>2.0</v>
      </c>
      <c r="F1302" s="38">
        <v>75.0</v>
      </c>
      <c r="G1302" s="11">
        <v>358207.0</v>
      </c>
      <c r="H1302" s="34" t="str">
        <f>IFERROR(__xludf.DUMMYFUNCTION("LOWER(REGEXREPLACE(B1302&amp;"" ""&amp;C1302,""[^а-яa-z0-9 ]"","" ""))"),"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ниж"&amp;"ний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с"&amp;"толешницы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шт"&amp;"  сифон канализационный бытовой   1шт  вентилятор вытяжной электрический   1 шт   озетка двойная 220в")</f>
        <v>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  сифон канализационный бытовой   1шт  вентилятор вытяжной электрический   1 шт   озетка двойная 220в</v>
      </c>
    </row>
    <row r="1303">
      <c r="A1303" s="35" t="s">
        <v>2929</v>
      </c>
      <c r="B1303" s="31" t="s">
        <v>2930</v>
      </c>
      <c r="C1303" s="31" t="s">
        <v>2931</v>
      </c>
      <c r="D1303" s="37" t="s">
        <v>14</v>
      </c>
      <c r="E1303" s="38">
        <v>2.0</v>
      </c>
      <c r="F1303" s="38">
        <v>139.0</v>
      </c>
      <c r="G1303" s="11">
        <v>329229.0</v>
      </c>
      <c r="H1303" s="34" t="str">
        <f>IFERROR(__xludf.DUMMYFUNCTION("LOWER(REGEXREPLACE(B1303&amp;"" ""&amp;C1303,""[^а-яa-z0-9 ]"","" ""))"),"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лаборат"&amp;"орным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f>
        <v>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v>
      </c>
    </row>
    <row r="1304">
      <c r="A1304" s="35" t="s">
        <v>2932</v>
      </c>
      <c r="B1304" s="31" t="s">
        <v>2933</v>
      </c>
      <c r="C1304" s="31" t="s">
        <v>2934</v>
      </c>
      <c r="D1304" s="37" t="s">
        <v>14</v>
      </c>
      <c r="E1304" s="38">
        <v>2.0</v>
      </c>
      <c r="F1304" s="38">
        <v>300.0</v>
      </c>
      <c r="G1304" s="11">
        <v>1709809.0</v>
      </c>
      <c r="H1304" s="34" t="str">
        <f>IFERROR(__xludf.DUMMYFUNCTION("LOWER(REGEXREPLACE(B1304&amp;"" ""&amp;C1304,""[^а-яa-z0-9 ]"","" ""))"),"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и"&amp;"зделия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"&amp;"толешница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40"&amp;"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разм"&amp;"ещен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вытя"&amp;"жного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f>
        <v>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v>
      </c>
    </row>
    <row r="1305">
      <c r="A1305" s="35" t="s">
        <v>2935</v>
      </c>
      <c r="B1305" s="31" t="s">
        <v>2936</v>
      </c>
      <c r="C1305" s="31" t="s">
        <v>2937</v>
      </c>
      <c r="D1305" s="37" t="s">
        <v>14</v>
      </c>
      <c r="E1305" s="38">
        <v>2.0</v>
      </c>
      <c r="F1305" s="38">
        <v>5.0</v>
      </c>
      <c r="G1305" s="11">
        <v>128770.0</v>
      </c>
      <c r="H1305" s="34" t="str">
        <f>IFERROR(__xludf.DUMMYFUNCTION("LOWER(REGEXREPLACE(B1305&amp;"" ""&amp;C1305,""[^а-яa-z0-9 ]"","" ""))"),"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раз"&amp;"мер лотка 312 х 427 х 150 мм   2 штуки   отки должны быть изготовлены из прочного полипропилена ")</f>
        <v>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размер лотка 312 х 427 х 150 мм   2 штуки   отки должны быть изготовлены из прочного полипропилена </v>
      </c>
    </row>
    <row r="1306">
      <c r="A1306" s="35" t="s">
        <v>2938</v>
      </c>
      <c r="B1306" s="31" t="s">
        <v>2939</v>
      </c>
      <c r="C1306" s="31"/>
      <c r="D1306" s="37" t="s">
        <v>14</v>
      </c>
      <c r="E1306" s="10"/>
      <c r="F1306" s="36"/>
      <c r="G1306" s="11"/>
      <c r="H1306" s="34" t="str">
        <f>IFERROR(__xludf.DUMMYFUNCTION("LOWER(REGEXREPLACE(B1306&amp;"" ""&amp;C1306,""[^а-яa-z0-9 ]"","" ""))")," каф металлический для реактивов ")</f>
        <v> каф металлический для реактивов </v>
      </c>
    </row>
    <row r="1307">
      <c r="A1307" s="35" t="s">
        <v>2940</v>
      </c>
      <c r="B1307" s="31" t="s">
        <v>2941</v>
      </c>
      <c r="C1307" s="31" t="s">
        <v>2942</v>
      </c>
      <c r="D1307" s="37" t="s">
        <v>14</v>
      </c>
      <c r="E1307" s="10"/>
      <c r="F1307" s="36"/>
      <c r="G1307" s="11">
        <v>115889.0</v>
      </c>
      <c r="H1307" s="34" t="str">
        <f>IFERROR(__xludf.DUMMYFUNCTION("LOWER(REGEXREPLACE(B1307&amp;"" ""&amp;C1307,""[^а-яa-z0-9 ]"","" ""))"),"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верхнем"&amp;"у горизонту крепится патрубок  высота патрубка 100мм ")</f>
        <v>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верхнему горизонту крепится патрубок  высота патрубка 100мм </v>
      </c>
    </row>
    <row r="1308">
      <c r="A1308" s="35" t="s">
        <v>2943</v>
      </c>
      <c r="B1308" s="31" t="s">
        <v>2944</v>
      </c>
      <c r="C1308" s="31" t="s">
        <v>2945</v>
      </c>
      <c r="D1308" s="37" t="s">
        <v>14</v>
      </c>
      <c r="E1308" s="10"/>
      <c r="F1308" s="38">
        <v>75.0</v>
      </c>
      <c r="G1308" s="11">
        <v>328571.0</v>
      </c>
      <c r="H1308" s="34" t="str">
        <f>IFERROR(__xludf.DUMMYFUNCTION("LOWER(REGEXREPLACE(B1308&amp;"" ""&amp;C1308,""[^а-яa-z0-9 ]"","" ""))"),"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х"&amp;"имически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f>
        <v>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v>
      </c>
    </row>
    <row r="1309">
      <c r="A1309" s="35" t="s">
        <v>2946</v>
      </c>
      <c r="B1309" s="31" t="s">
        <v>2947</v>
      </c>
      <c r="C1309" s="31" t="s">
        <v>2948</v>
      </c>
      <c r="D1309" s="37" t="s">
        <v>14</v>
      </c>
      <c r="E1309" s="10"/>
      <c r="F1309" s="38">
        <v>40.0</v>
      </c>
      <c r="G1309" s="11">
        <v>700893.0</v>
      </c>
      <c r="H1309" s="34" t="str">
        <f>IFERROR(__xludf.DUMMYFUNCTION("LOWER(REGEXREPLACE(B1309&amp;"" ""&amp;C1309,""[^а-яa-z0-9 ]"","" ""))"),"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с"&amp;"тороны по 2 полки    нижнем имеется перегородка  с каждой стороны по 1 полке   о середине этих отделов имеются 2 выдвижные полки ")</f>
        <v>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стороны по 2 полки    нижнем имеется перегородка  с каждой стороны по 1 полке   о середине этих отделов имеются 2 выдвижные полки </v>
      </c>
    </row>
    <row r="1310">
      <c r="A1310" s="35" t="s">
        <v>2949</v>
      </c>
      <c r="B1310" s="31" t="s">
        <v>2950</v>
      </c>
      <c r="C1310" s="31" t="s">
        <v>2951</v>
      </c>
      <c r="D1310" s="37" t="s">
        <v>14</v>
      </c>
      <c r="E1310" s="38">
        <v>2.0</v>
      </c>
      <c r="F1310" s="38">
        <v>65.0</v>
      </c>
      <c r="G1310" s="11">
        <v>162124.0</v>
      </c>
      <c r="H1310" s="34" t="str">
        <f>IFERROR(__xludf.DUMMYFUNCTION("LOWER(REGEXREPLACE(B1310&amp;"" ""&amp;C1310,""[^а-яa-z0-9 ]"","" ""))"),"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металлическ"&amp;"ую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f>
        <v>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v>
      </c>
    </row>
    <row r="1311">
      <c r="A1311" s="35" t="s">
        <v>2952</v>
      </c>
      <c r="B1311" s="31" t="s">
        <v>2953</v>
      </c>
      <c r="C1311" s="31"/>
      <c r="D1311" s="37" t="s">
        <v>14</v>
      </c>
      <c r="E1311" s="10"/>
      <c r="F1311" s="36"/>
      <c r="G1311" s="11"/>
      <c r="H1311" s="34" t="str">
        <f>IFERROR(__xludf.DUMMYFUNCTION("LOWER(REGEXREPLACE(B1311&amp;"" ""&amp;C1311,""[^а-яa-z0-9 ]"","" ""))")," тол демонстрационный с раковиной ")</f>
        <v> тол демонстрационный с раковиной </v>
      </c>
    </row>
    <row r="1312">
      <c r="A1312" s="35" t="s">
        <v>2954</v>
      </c>
      <c r="B1312" s="9" t="s">
        <v>2955</v>
      </c>
      <c r="C1312" s="31" t="s">
        <v>2956</v>
      </c>
      <c r="D1312" s="37" t="s">
        <v>14</v>
      </c>
      <c r="E1312" s="10"/>
      <c r="F1312" s="36"/>
      <c r="G1312" s="11">
        <v>353205.0</v>
      </c>
      <c r="H1312" s="34" t="str">
        <f>IFERROR(__xludf.DUMMYFUNCTION("LOWER(REGEXREPLACE(B1312&amp;"" ""&amp;C1312,""[^а-яa-z0-9 ]"","" ""))"),"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изг"&amp;"отовлена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канали"&amp;"зационный   азмеры  2400х750х750мм")</f>
        <v>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канализационный   азмеры  2400х750х750мм</v>
      </c>
    </row>
    <row r="1313">
      <c r="A1313" s="35" t="s">
        <v>2957</v>
      </c>
      <c r="B1313" s="9" t="s">
        <v>2958</v>
      </c>
      <c r="C1313" s="31" t="s">
        <v>2959</v>
      </c>
      <c r="D1313" s="37" t="s">
        <v>14</v>
      </c>
      <c r="E1313" s="10"/>
      <c r="F1313" s="36"/>
      <c r="G1313" s="11">
        <v>179838.0</v>
      </c>
      <c r="H1313" s="34" t="str">
        <f>IFERROR(__xludf.DUMMYFUNCTION("LOWER(REGEXREPLACE(B1313&amp;"" ""&amp;C1313,""[^а-яa-z0-9 ]"","" ""))"),"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механичес"&amp;"ким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f>
        <v>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v>
      </c>
    </row>
    <row r="1314">
      <c r="A1314" s="35" t="s">
        <v>2960</v>
      </c>
      <c r="B1314" s="9" t="s">
        <v>2961</v>
      </c>
      <c r="C1314" s="31" t="s">
        <v>2962</v>
      </c>
      <c r="D1314" s="37" t="s">
        <v>14</v>
      </c>
      <c r="E1314" s="10"/>
      <c r="F1314" s="36"/>
      <c r="G1314" s="11">
        <v>203945.0</v>
      </c>
      <c r="H1314" s="34" t="str">
        <f>IFERROR(__xludf.DUMMYFUNCTION("LOWER(REGEXREPLACE(B1314&amp;"" ""&amp;C1314,""[^а-яa-z0-9 ]"","" ""))"),"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"&amp;"и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сиф"&amp;"он канализационный   азмеры  2800х700х900мм")</f>
        <v>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сифон канализационный   азмеры  2800х700х900мм</v>
      </c>
    </row>
    <row r="1315">
      <c r="A1315" s="35" t="s">
        <v>2963</v>
      </c>
      <c r="B1315" s="31" t="s">
        <v>2964</v>
      </c>
      <c r="C1315" s="31" t="s">
        <v>2965</v>
      </c>
      <c r="D1315" s="37" t="s">
        <v>14</v>
      </c>
      <c r="E1315" s="10"/>
      <c r="F1315" s="38">
        <v>80.0</v>
      </c>
      <c r="G1315" s="11">
        <v>823214.0</v>
      </c>
      <c r="H1315" s="34" t="str">
        <f>IFERROR(__xludf.DUMMYFUNCTION("LOWER(REGEXREPLACE(B1315&amp;"" ""&amp;C1315,""[^а-яa-z0-9 ]"","" ""))"),"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и"&amp;"з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и"&amp;"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окр"&amp;"ашенного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эпоксиполиэ"&amp;"фирной краской пепельного цвета     7040   азмеры 2000 мм х 750 мм ")</f>
        <v>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7040   азмеры 2000 мм х 750 мм </v>
      </c>
    </row>
    <row r="1316">
      <c r="A1316" s="35" t="s">
        <v>2966</v>
      </c>
      <c r="B1316" s="9" t="s">
        <v>2967</v>
      </c>
      <c r="C1316" s="31" t="s">
        <v>2968</v>
      </c>
      <c r="D1316" s="37" t="s">
        <v>14</v>
      </c>
      <c r="E1316" s="38">
        <v>2.0</v>
      </c>
      <c r="F1316" s="38">
        <v>22.0</v>
      </c>
      <c r="G1316" s="11">
        <v>378364.0</v>
      </c>
      <c r="H1316" s="34" t="str">
        <f>IFERROR(__xludf.DUMMYFUNCTION("LOWER(REGEXREPLACE(B1316&amp;"" ""&amp;C1316,""[^а-яa-z0-9 ]"","" ""))"),"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с"&amp;"обой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"&amp;"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f>
        <v>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v>
      </c>
    </row>
    <row r="1317">
      <c r="A1317" s="35" t="s">
        <v>2969</v>
      </c>
      <c r="B1317" s="9" t="s">
        <v>2970</v>
      </c>
      <c r="C1317" s="31" t="s">
        <v>2971</v>
      </c>
      <c r="D1317" s="37" t="s">
        <v>14</v>
      </c>
      <c r="E1317" s="38">
        <v>2.0</v>
      </c>
      <c r="F1317" s="38">
        <v>145.0</v>
      </c>
      <c r="G1317" s="11">
        <v>441214.0</v>
      </c>
      <c r="H1317" s="34" t="str">
        <f>IFERROR(__xludf.DUMMYFUNCTION("LOWER(REGEXREPLACE(B1317&amp;"" ""&amp;C1317,""[^а-яa-z0-9 ]"","" ""))"),"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изготов"&amp;"лена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квадратн"&amp;"ого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f>
        <v>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v>
      </c>
    </row>
    <row r="1318">
      <c r="A1318" s="35" t="s">
        <v>2972</v>
      </c>
      <c r="B1318" s="31" t="s">
        <v>2973</v>
      </c>
      <c r="C1318" s="31" t="s">
        <v>2974</v>
      </c>
      <c r="D1318" s="37" t="s">
        <v>14</v>
      </c>
      <c r="E1318" s="38">
        <v>2.0</v>
      </c>
      <c r="F1318" s="38">
        <v>42.0</v>
      </c>
      <c r="G1318" s="11">
        <v>346568.0</v>
      </c>
      <c r="H1318" s="34" t="str">
        <f>IFERROR(__xludf.DUMMYFUNCTION("LOWER(REGEXREPLACE(B1318&amp;"" ""&amp;C1318,""[^а-яa-z0-9 ]"","" ""))"),"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поли"&amp;"пропилена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f>
        <v>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v>
      </c>
    </row>
    <row r="1319">
      <c r="A1319" s="35" t="s">
        <v>2975</v>
      </c>
      <c r="B1319" s="31" t="s">
        <v>2976</v>
      </c>
      <c r="C1319" s="31" t="s">
        <v>2977</v>
      </c>
      <c r="D1319" s="37" t="s">
        <v>14</v>
      </c>
      <c r="E1319" s="38">
        <v>2.0</v>
      </c>
      <c r="F1319" s="38">
        <v>96.0</v>
      </c>
      <c r="G1319" s="11">
        <v>282569.0</v>
      </c>
      <c r="H1319" s="34" t="str">
        <f>IFERROR(__xludf.DUMMYFUNCTION("LOWER(REGEXREPLACE(B1319&amp;"" ""&amp;C1319,""[^а-яa-z0-9 ]"","" ""))"),"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"&amp;"стола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с"&amp;"тационарная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f>
        <v>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v>
      </c>
    </row>
    <row r="1320">
      <c r="A1320" s="35" t="s">
        <v>2978</v>
      </c>
      <c r="B1320" s="9" t="s">
        <v>2979</v>
      </c>
      <c r="C1320" s="31" t="s">
        <v>2980</v>
      </c>
      <c r="D1320" s="37" t="s">
        <v>14</v>
      </c>
      <c r="E1320" s="38">
        <v>2.0</v>
      </c>
      <c r="F1320" s="38">
        <v>86.0</v>
      </c>
      <c r="G1320" s="11">
        <v>139778.0</v>
      </c>
      <c r="H1320" s="34" t="str">
        <f>IFERROR(__xludf.DUMMYFUNCTION("LOWER(REGEXREPLACE(B1320&amp;"" ""&amp;C1320,""[^а-яa-z0-9 ]"","" ""))"),"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не"&amp;"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по"&amp;"лки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поделено"&amp;"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f>
        <v>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1321">
      <c r="A1321" s="35" t="s">
        <v>2981</v>
      </c>
      <c r="B1321" s="31" t="s">
        <v>2982</v>
      </c>
      <c r="C1321" s="31"/>
      <c r="D1321" s="37" t="s">
        <v>14</v>
      </c>
      <c r="E1321" s="10"/>
      <c r="F1321" s="36"/>
      <c r="G1321" s="11"/>
      <c r="H1321" s="34" t="str">
        <f>IFERROR(__xludf.DUMMYFUNCTION("LOWER(REGEXREPLACE(B1321&amp;"" ""&amp;C1321,""[^а-яa-z0-9 ]"","" ""))")," каф лабораторный для хранения методических материалов  наборов и посуды ")</f>
        <v> каф лабораторный для хранения методических материалов  наборов и посуды </v>
      </c>
    </row>
    <row r="1322">
      <c r="A1322" s="35" t="s">
        <v>2983</v>
      </c>
      <c r="B1322" s="31" t="s">
        <v>2984</v>
      </c>
      <c r="C1322" s="31" t="s">
        <v>2985</v>
      </c>
      <c r="D1322" s="37" t="s">
        <v>14</v>
      </c>
      <c r="E1322" s="10"/>
      <c r="F1322" s="38">
        <v>42.0</v>
      </c>
      <c r="G1322" s="11">
        <v>250001.0</v>
      </c>
      <c r="H1322" s="34" t="str">
        <f>IFERROR(__xludf.DUMMYFUNCTION("LOWER(REGEXREPLACE(B1322&amp;"" ""&amp;C1322,""[^а-яa-z0-9 ]"","" ""))"),"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двер"&amp;"и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п"&amp;"о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в"&amp;"нутри ")</f>
        <v>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внутри </v>
      </c>
    </row>
    <row r="1323">
      <c r="A1323" s="35" t="s">
        <v>2986</v>
      </c>
      <c r="B1323" s="31" t="s">
        <v>2987</v>
      </c>
      <c r="C1323" s="31" t="s">
        <v>2988</v>
      </c>
      <c r="D1323" s="37" t="s">
        <v>14</v>
      </c>
      <c r="E1323" s="10"/>
      <c r="F1323" s="38">
        <v>45.0</v>
      </c>
      <c r="G1323" s="11">
        <v>241908.0</v>
      </c>
      <c r="H1323" s="34" t="str">
        <f>IFERROR(__xludf.DUMMYFUNCTION("LOWER(REGEXREPLACE(B1323&amp;"" ""&amp;C1323,""[^а-яa-z0-9 ]"","" ""))"),"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св"&amp;"ерху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"&amp;"покрашены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вну"&amp;"три ")</f>
        <v>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v>
      </c>
    </row>
    <row r="1324">
      <c r="A1324" s="35" t="s">
        <v>2989</v>
      </c>
      <c r="B1324" s="9" t="s">
        <v>2990</v>
      </c>
      <c r="C1324" s="31" t="s">
        <v>2991</v>
      </c>
      <c r="D1324" s="37" t="s">
        <v>14</v>
      </c>
      <c r="E1324" s="38">
        <v>2.0</v>
      </c>
      <c r="F1324" s="38">
        <v>84.0</v>
      </c>
      <c r="G1324" s="11">
        <v>236797.0</v>
      </c>
      <c r="H1324" s="34" t="str">
        <f>IFERROR(__xludf.DUMMYFUNCTION("LOWER(REGEXREPLACE(B1324&amp;"" ""&amp;C1324,""[^а-яa-z0-9 ]"","" ""))"),"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"&amp;"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д"&amp;"вумя дверями  двумя регулируемыми полками внутри   азмеры 900х600х1970мм ")</f>
        <v>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азмеры 900х600х1970мм </v>
      </c>
    </row>
    <row r="1325">
      <c r="A1325" s="35" t="s">
        <v>2992</v>
      </c>
      <c r="B1325" s="31" t="s">
        <v>2993</v>
      </c>
      <c r="C1325" s="31" t="s">
        <v>2994</v>
      </c>
      <c r="D1325" s="37" t="s">
        <v>68</v>
      </c>
      <c r="E1325" s="38">
        <v>2.0</v>
      </c>
      <c r="F1325" s="38">
        <v>66.0</v>
      </c>
      <c r="G1325" s="11">
        <v>368323.0</v>
      </c>
      <c r="H1325" s="34" t="str">
        <f>IFERROR(__xludf.DUMMYFUNCTION("LOWER(REGEXREPLACE(B1325&amp;"" ""&amp;C1325,""[^а-яa-z0-9 ]"","" ""))"),"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с"&amp;"толешницы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толщино"&amp;"й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оковы"&amp;"е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менее"&amp;"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f>
        <v>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v>
      </c>
    </row>
    <row r="1326">
      <c r="A1326" s="35" t="s">
        <v>2995</v>
      </c>
      <c r="B1326" s="31" t="s">
        <v>2996</v>
      </c>
      <c r="C1326" s="31"/>
      <c r="D1326" s="36"/>
      <c r="E1326" s="10"/>
      <c r="F1326" s="36"/>
      <c r="G1326" s="11"/>
      <c r="H1326" s="34" t="str">
        <f>IFERROR(__xludf.DUMMYFUNCTION("LOWER(REGEXREPLACE(B1326&amp;"" ""&amp;C1326,""[^а-яa-z0-9 ]"","" ""))")," оллекции и модели демонстрационные для кабинета химии ")</f>
        <v> оллекции и модели демонстрационные для кабинета химии </v>
      </c>
    </row>
    <row r="1327">
      <c r="A1327" s="35" t="s">
        <v>2997</v>
      </c>
      <c r="B1327" s="31" t="s">
        <v>2998</v>
      </c>
      <c r="C1327" s="31"/>
      <c r="D1327" s="37" t="s">
        <v>68</v>
      </c>
      <c r="E1327" s="10"/>
      <c r="F1327" s="36"/>
      <c r="G1327" s="11">
        <v>23214.0</v>
      </c>
      <c r="H1327" s="34" t="str">
        <f>IFERROR(__xludf.DUMMYFUNCTION("LOWER(REGEXREPLACE(B1327&amp;"" ""&amp;C1327,""[^а-яa-z0-9 ]"","" ""))")," абор моделей масштабных молекул ")</f>
        <v> абор моделей масштабных молекул </v>
      </c>
    </row>
    <row r="1328">
      <c r="A1328" s="35" t="s">
        <v>2999</v>
      </c>
      <c r="B1328" s="31" t="s">
        <v>3000</v>
      </c>
      <c r="C1328" s="31"/>
      <c r="D1328" s="37" t="s">
        <v>1507</v>
      </c>
      <c r="E1328" s="10"/>
      <c r="F1328" s="36"/>
      <c r="G1328" s="11"/>
      <c r="H1328" s="34" t="str">
        <f>IFERROR(__xludf.DUMMYFUNCTION("LOWER(REGEXREPLACE(B1328&amp;"" ""&amp;C1328,""[^а-яa-z0-9 ]"","" ""))")," абор моделей молекул по органике и неорганике для учащегося ")</f>
        <v> абор моделей молекул по органике и неорганике для учащегося </v>
      </c>
    </row>
    <row r="1329">
      <c r="A1329" s="35" t="s">
        <v>3001</v>
      </c>
      <c r="B1329" s="31" t="s">
        <v>3000</v>
      </c>
      <c r="C1329" s="31"/>
      <c r="D1329" s="37" t="s">
        <v>1507</v>
      </c>
      <c r="E1329" s="10"/>
      <c r="F1329" s="36"/>
      <c r="G1329" s="11">
        <v>24038.0</v>
      </c>
      <c r="H1329" s="34" t="str">
        <f>IFERROR(__xludf.DUMMYFUNCTION("LOWER(REGEXREPLACE(B1329&amp;"" ""&amp;C1329,""[^а-яa-z0-9 ]"","" ""))")," абор моделей молекул по органике и неорганике для учащегося ")</f>
        <v> абор моделей молекул по органике и неорганике для учащегося </v>
      </c>
    </row>
    <row r="1330">
      <c r="A1330" s="35" t="s">
        <v>3002</v>
      </c>
      <c r="B1330" s="31" t="s">
        <v>3003</v>
      </c>
      <c r="C1330" s="31"/>
      <c r="D1330" s="37" t="s">
        <v>1507</v>
      </c>
      <c r="E1330" s="38">
        <v>2.0</v>
      </c>
      <c r="F1330" s="39">
        <v>7.8</v>
      </c>
      <c r="G1330" s="11">
        <v>484168.0</v>
      </c>
      <c r="H1330" s="34" t="str">
        <f>IFERROR(__xludf.DUMMYFUNCTION("LOWER(REGEXREPLACE(B1330&amp;"" ""&amp;C1330,""[^а-яa-z0-9 ]"","" ""))")," абор моделей молекул по органике и неорганике для учащихся типа  ornelsen  xperimenta 36685 44237 ")</f>
        <v> абор моделей молекул по органике и неорганике для учащихся типа  ornelsen  xperimenta 36685 44237 </v>
      </c>
    </row>
    <row r="1331">
      <c r="A1331" s="35" t="s">
        <v>3004</v>
      </c>
      <c r="B1331" s="31" t="s">
        <v>3005</v>
      </c>
      <c r="C1331" s="31"/>
      <c r="D1331" s="37" t="s">
        <v>1507</v>
      </c>
      <c r="E1331" s="10"/>
      <c r="F1331" s="36"/>
      <c r="G1331" s="11"/>
      <c r="H1331" s="34" t="str">
        <f>IFERROR(__xludf.DUMMYFUNCTION("LOWER(REGEXREPLACE(B1331&amp;"" ""&amp;C1331,""[^а-яa-z0-9 ]"","" ""))")," абор моделей молекул по органике и неорганике для учителя ")</f>
        <v> абор моделей молекул по органике и неорганике для учителя </v>
      </c>
    </row>
    <row r="1332">
      <c r="A1332" s="35" t="s">
        <v>3006</v>
      </c>
      <c r="B1332" s="31" t="s">
        <v>3005</v>
      </c>
      <c r="C1332" s="31"/>
      <c r="D1332" s="37" t="s">
        <v>1507</v>
      </c>
      <c r="E1332" s="10"/>
      <c r="F1332" s="36"/>
      <c r="G1332" s="11">
        <v>43975.0</v>
      </c>
      <c r="H1332" s="34" t="str">
        <f>IFERROR(__xludf.DUMMYFUNCTION("LOWER(REGEXREPLACE(B1332&amp;"" ""&amp;C1332,""[^а-яa-z0-9 ]"","" ""))")," абор моделей молекул по органике и неорганике для учителя ")</f>
        <v> абор моделей молекул по органике и неорганике для учителя </v>
      </c>
    </row>
    <row r="1333">
      <c r="A1333" s="35" t="s">
        <v>3007</v>
      </c>
      <c r="B1333" s="31" t="s">
        <v>3008</v>
      </c>
      <c r="C1333" s="31"/>
      <c r="D1333" s="37" t="s">
        <v>1507</v>
      </c>
      <c r="E1333" s="10"/>
      <c r="F1333" s="36"/>
      <c r="G1333" s="11"/>
      <c r="H1333" s="34" t="str">
        <f>IFERROR(__xludf.DUMMYFUNCTION("LOWER(REGEXREPLACE(B1333&amp;"" ""&amp;C1333,""[^а-яa-z0-9 ]"","" ""))")," абор моделей образования p и s связей ")</f>
        <v> абор моделей образования p и s связей </v>
      </c>
    </row>
    <row r="1334">
      <c r="A1334" s="35" t="s">
        <v>3009</v>
      </c>
      <c r="B1334" s="31" t="s">
        <v>3008</v>
      </c>
      <c r="C1334" s="31"/>
      <c r="D1334" s="37" t="s">
        <v>1507</v>
      </c>
      <c r="E1334" s="10"/>
      <c r="F1334" s="36"/>
      <c r="G1334" s="11">
        <v>66907.0</v>
      </c>
      <c r="H1334" s="34" t="str">
        <f>IFERROR(__xludf.DUMMYFUNCTION("LOWER(REGEXREPLACE(B1334&amp;"" ""&amp;C1334,""[^а-яa-z0-9 ]"","" ""))")," абор моделей образования p и s связей ")</f>
        <v> абор моделей образования p и s связей </v>
      </c>
    </row>
    <row r="1335">
      <c r="A1335" s="35" t="s">
        <v>3010</v>
      </c>
      <c r="B1335" s="31" t="s">
        <v>3011</v>
      </c>
      <c r="C1335" s="31"/>
      <c r="D1335" s="37" t="s">
        <v>1507</v>
      </c>
      <c r="E1335" s="38">
        <v>2.0</v>
      </c>
      <c r="F1335" s="39">
        <v>1.6</v>
      </c>
      <c r="G1335" s="11">
        <v>41592.0</v>
      </c>
      <c r="H1335" s="34" t="str">
        <f>IFERROR(__xludf.DUMMYFUNCTION("LOWER(REGEXREPLACE(B1335&amp;"" ""&amp;C1335,""[^а-яa-z0-9 ]"","" ""))")," абор моделей образования p и s связей типа                                      303      304      301 ")</f>
        <v> абор моделей образования p и s связей типа                                      303      304      301 </v>
      </c>
    </row>
    <row r="1336">
      <c r="A1336" s="35" t="s">
        <v>3012</v>
      </c>
      <c r="B1336" s="31" t="s">
        <v>3013</v>
      </c>
      <c r="C1336" s="31"/>
      <c r="D1336" s="37" t="s">
        <v>1507</v>
      </c>
      <c r="E1336" s="10"/>
      <c r="F1336" s="36"/>
      <c r="G1336" s="11"/>
      <c r="H1336" s="34" t="str">
        <f>IFERROR(__xludf.DUMMYFUNCTION("LOWER(REGEXREPLACE(B1336&amp;"" ""&amp;C1336,""[^а-яa-z0-9 ]"","" ""))")," абор моделей р и d облаков и шаростержневых молекул ")</f>
        <v> абор моделей р и d облаков и шаростержневых молекул </v>
      </c>
    </row>
    <row r="1337">
      <c r="A1337" s="35" t="s">
        <v>3014</v>
      </c>
      <c r="B1337" s="31" t="s">
        <v>3013</v>
      </c>
      <c r="C1337" s="31"/>
      <c r="D1337" s="37" t="s">
        <v>1507</v>
      </c>
      <c r="E1337" s="10"/>
      <c r="F1337" s="36"/>
      <c r="G1337" s="11">
        <v>45576.0</v>
      </c>
      <c r="H1337" s="34" t="str">
        <f>IFERROR(__xludf.DUMMYFUNCTION("LOWER(REGEXREPLACE(B1337&amp;"" ""&amp;C1337,""[^а-яa-z0-9 ]"","" ""))")," абор моделей р и d облаков и шаростержневых молекул ")</f>
        <v> абор моделей р и d облаков и шаростержневых молекул </v>
      </c>
    </row>
    <row r="1338">
      <c r="A1338" s="35" t="s">
        <v>3015</v>
      </c>
      <c r="B1338" s="9" t="s">
        <v>3016</v>
      </c>
      <c r="C1338" s="31"/>
      <c r="D1338" s="37" t="s">
        <v>1507</v>
      </c>
      <c r="E1338" s="38">
        <v>2.0</v>
      </c>
      <c r="F1338" s="39">
        <v>0.5</v>
      </c>
      <c r="G1338" s="11">
        <v>16275.0</v>
      </c>
      <c r="H1338" s="34" t="str">
        <f>IFERROR(__xludf.DUMMYFUNCTION("LOWER(REGEXREPLACE(B1338&amp;"" ""&amp;C1338,""[^а-яa-z0-9 ]"","" ""))")," абор моделей р и d облаков и шаростержневых молекул типа                                      301 ")</f>
        <v> абор моделей р и d облаков и шаростержневых молекул типа                                      301 </v>
      </c>
    </row>
    <row r="1339">
      <c r="A1339" s="35" t="s">
        <v>3017</v>
      </c>
      <c r="B1339" s="31" t="s">
        <v>3018</v>
      </c>
      <c r="C1339" s="31"/>
      <c r="D1339" s="37" t="s">
        <v>1507</v>
      </c>
      <c r="E1339" s="10"/>
      <c r="F1339" s="36"/>
      <c r="G1339" s="11"/>
      <c r="H1339" s="34" t="str">
        <f>IFERROR(__xludf.DUMMYFUNCTION("LOWER(REGEXREPLACE(B1339&amp;"" ""&amp;C1339,""[^а-яa-z0-9 ]"","" ""))")," абор моделей электронных облаков и химических связей ")</f>
        <v> абор моделей электронных облаков и химических связей </v>
      </c>
    </row>
    <row r="1340">
      <c r="A1340" s="35" t="s">
        <v>3019</v>
      </c>
      <c r="B1340" s="31" t="s">
        <v>3018</v>
      </c>
      <c r="C1340" s="31"/>
      <c r="D1340" s="37" t="s">
        <v>1507</v>
      </c>
      <c r="E1340" s="10"/>
      <c r="F1340" s="36"/>
      <c r="G1340" s="11">
        <v>60315.0</v>
      </c>
      <c r="H1340" s="34" t="str">
        <f>IFERROR(__xludf.DUMMYFUNCTION("LOWER(REGEXREPLACE(B1340&amp;"" ""&amp;C1340,""[^а-яa-z0-9 ]"","" ""))")," абор моделей электронных облаков и химических связей ")</f>
        <v> абор моделей электронных облаков и химических связей </v>
      </c>
    </row>
    <row r="1341">
      <c r="A1341" s="35" t="s">
        <v>3020</v>
      </c>
      <c r="B1341" s="31" t="s">
        <v>3021</v>
      </c>
      <c r="C1341" s="31"/>
      <c r="D1341" s="37" t="s">
        <v>1507</v>
      </c>
      <c r="E1341" s="38">
        <v>2.0</v>
      </c>
      <c r="F1341" s="38">
        <v>1.0</v>
      </c>
      <c r="G1341" s="11">
        <v>22605.0</v>
      </c>
      <c r="H1341" s="34" t="str">
        <f>IFERROR(__xludf.DUMMYFUNCTION("LOWER(REGEXREPLACE(B1341&amp;"" ""&amp;C1341,""[^а-яa-z0-9 ]"","" ""))")," абор моделей электронных облаков и химических связей типа                                      304 ")</f>
        <v> абор моделей электронных облаков и химических связей типа                                      304 </v>
      </c>
    </row>
    <row r="1342">
      <c r="A1342" s="35" t="s">
        <v>3022</v>
      </c>
      <c r="B1342" s="31" t="s">
        <v>3023</v>
      </c>
      <c r="C1342" s="31"/>
      <c r="D1342" s="36"/>
      <c r="E1342" s="10"/>
      <c r="F1342" s="36"/>
      <c r="G1342" s="11"/>
      <c r="H1342" s="34" t="str">
        <f>IFERROR(__xludf.DUMMYFUNCTION("LOWER(REGEXREPLACE(B1342&amp;"" ""&amp;C1342,""[^а-яa-z0-9 ]"","" ""))")," аборы химических реактивов ")</f>
        <v> аборы химических реактивов </v>
      </c>
    </row>
    <row r="1343">
      <c r="A1343" s="35" t="s">
        <v>3024</v>
      </c>
      <c r="B1343" s="31" t="s">
        <v>3025</v>
      </c>
      <c r="C1343" s="31"/>
      <c r="D1343" s="37" t="s">
        <v>68</v>
      </c>
      <c r="E1343" s="10"/>
      <c r="F1343" s="36"/>
      <c r="G1343" s="11">
        <v>8848.0</v>
      </c>
      <c r="H1343" s="34" t="str">
        <f>IFERROR(__xludf.DUMMYFUNCTION("LOWER(REGEXREPLACE(B1343&amp;"" ""&amp;C1343,""[^а-яa-z0-9 ]"","" ""))")," абор   ислоты  ")</f>
        <v> абор   ислоты  </v>
      </c>
    </row>
    <row r="1344">
      <c r="A1344" s="35" t="s">
        <v>3026</v>
      </c>
      <c r="B1344" s="31" t="s">
        <v>3027</v>
      </c>
      <c r="C1344" s="31"/>
      <c r="D1344" s="37" t="s">
        <v>68</v>
      </c>
      <c r="E1344" s="10"/>
      <c r="F1344" s="36"/>
      <c r="G1344" s="11">
        <v>14777.0</v>
      </c>
      <c r="H1344" s="34" t="str">
        <f>IFERROR(__xludf.DUMMYFUNCTION("LOWER(REGEXREPLACE(B1344&amp;"" ""&amp;C1344,""[^а-яa-z0-9 ]"","" ""))")," абор   идроксиды  ")</f>
        <v> абор   идроксиды  </v>
      </c>
    </row>
    <row r="1345">
      <c r="A1345" s="35" t="s">
        <v>3028</v>
      </c>
      <c r="B1345" s="31" t="s">
        <v>3029</v>
      </c>
      <c r="C1345" s="31"/>
      <c r="D1345" s="37" t="s">
        <v>68</v>
      </c>
      <c r="E1345" s="10"/>
      <c r="F1345" s="36"/>
      <c r="G1345" s="11">
        <v>44955.0</v>
      </c>
      <c r="H1345" s="34" t="str">
        <f>IFERROR(__xludf.DUMMYFUNCTION("LOWER(REGEXREPLACE(B1345&amp;"" ""&amp;C1345,""[^а-яa-z0-9 ]"","" ""))")," абор   ксиды металлов  ")</f>
        <v> абор   ксиды металлов  </v>
      </c>
    </row>
    <row r="1346">
      <c r="A1346" s="35" t="s">
        <v>3030</v>
      </c>
      <c r="B1346" s="31" t="s">
        <v>3031</v>
      </c>
      <c r="C1346" s="31"/>
      <c r="D1346" s="37" t="s">
        <v>68</v>
      </c>
      <c r="E1346" s="10"/>
      <c r="F1346" s="36"/>
      <c r="G1346" s="11"/>
      <c r="H1346" s="34" t="str">
        <f>IFERROR(__xludf.DUMMYFUNCTION("LOWER(REGEXREPLACE(B1346&amp;"" ""&amp;C1346,""[^а-яa-z0-9 ]"","" ""))")," абор   еталлы  ")</f>
        <v> абор   еталлы  </v>
      </c>
    </row>
    <row r="1347">
      <c r="A1347" s="35" t="s">
        <v>3032</v>
      </c>
      <c r="B1347" s="31" t="s">
        <v>3033</v>
      </c>
      <c r="C1347" s="31"/>
      <c r="D1347" s="37" t="s">
        <v>68</v>
      </c>
      <c r="E1347" s="10"/>
      <c r="F1347" s="36"/>
      <c r="G1347" s="11">
        <v>38946.0</v>
      </c>
      <c r="H1347" s="34" t="str">
        <f>IFERROR(__xludf.DUMMYFUNCTION("LOWER(REGEXREPLACE(B1347&amp;"" ""&amp;C1347,""[^а-яa-z0-9 ]"","" ""))")," абор   еталлы   малый ")</f>
        <v> абор   еталлы   малый </v>
      </c>
    </row>
    <row r="1348">
      <c r="A1348" s="35" t="s">
        <v>3034</v>
      </c>
      <c r="B1348" s="31" t="s">
        <v>3035</v>
      </c>
      <c r="C1348" s="31"/>
      <c r="D1348" s="37" t="s">
        <v>68</v>
      </c>
      <c r="E1348" s="10"/>
      <c r="F1348" s="36"/>
      <c r="G1348" s="11">
        <v>17830.0</v>
      </c>
      <c r="H1348" s="34" t="str">
        <f>IFERROR(__xludf.DUMMYFUNCTION("LOWER(REGEXREPLACE(B1348&amp;"" ""&amp;C1348,""[^а-яa-z0-9 ]"","" ""))")," абор   инеральные удобрения  ")</f>
        <v> абор   инеральные удобрения  </v>
      </c>
    </row>
    <row r="1349">
      <c r="A1349" s="35" t="s">
        <v>3036</v>
      </c>
      <c r="B1349" s="31" t="s">
        <v>3037</v>
      </c>
      <c r="C1349" s="31"/>
      <c r="D1349" s="37" t="s">
        <v>68</v>
      </c>
      <c r="E1349" s="10"/>
      <c r="F1349" s="36"/>
      <c r="G1349" s="11">
        <v>6063.0</v>
      </c>
      <c r="H1349" s="34" t="str">
        <f>IFERROR(__xludf.DUMMYFUNCTION("LOWER(REGEXREPLACE(B1349&amp;"" ""&amp;C1349,""[^а-яa-z0-9 ]"","" ""))")," абор   ониты  ")</f>
        <v> абор   ониты  </v>
      </c>
    </row>
    <row r="1350">
      <c r="A1350" s="35" t="s">
        <v>3038</v>
      </c>
      <c r="B1350" s="31" t="s">
        <v>3039</v>
      </c>
      <c r="C1350" s="31"/>
      <c r="D1350" s="37" t="s">
        <v>68</v>
      </c>
      <c r="E1350" s="10"/>
      <c r="F1350" s="36"/>
      <c r="G1350" s="11">
        <v>24446.0</v>
      </c>
      <c r="H1350" s="34" t="str">
        <f>IFERROR(__xludf.DUMMYFUNCTION("LOWER(REGEXREPLACE(B1350&amp;"" ""&amp;C1350,""[^а-яa-z0-9 ]"","" ""))")," абор   бразцы неорганических веществ  ")</f>
        <v> абор   бразцы неорганических веществ  </v>
      </c>
    </row>
    <row r="1351">
      <c r="A1351" s="35" t="s">
        <v>3040</v>
      </c>
      <c r="B1351" s="31" t="s">
        <v>3041</v>
      </c>
      <c r="C1351" s="31"/>
      <c r="D1351" s="37" t="s">
        <v>68</v>
      </c>
      <c r="E1351" s="10"/>
      <c r="F1351" s="36"/>
      <c r="G1351" s="11">
        <v>63679.0</v>
      </c>
      <c r="H1351" s="34" t="str">
        <f>IFERROR(__xludf.DUMMYFUNCTION("LOWER(REGEXREPLACE(B1351&amp;"" ""&amp;C1351,""[^а-яa-z0-9 ]"","" ""))")," абор   алогениды  ")</f>
        <v> абор   алогениды  </v>
      </c>
    </row>
    <row r="1352">
      <c r="A1352" s="35" t="s">
        <v>3042</v>
      </c>
      <c r="B1352" s="31" t="s">
        <v>3043</v>
      </c>
      <c r="C1352" s="31"/>
      <c r="D1352" s="37" t="s">
        <v>68</v>
      </c>
      <c r="E1352" s="10"/>
      <c r="F1352" s="36"/>
      <c r="G1352" s="11">
        <v>49804.0</v>
      </c>
      <c r="H1352" s="34" t="str">
        <f>IFERROR(__xludf.DUMMYFUNCTION("LOWER(REGEXREPLACE(B1352&amp;"" ""&amp;C1352,""[^а-яa-z0-9 ]"","" ""))")," абор   ульфаты  сульфиды  сульфиты  ")</f>
        <v> абор   ульфаты  сульфиды  сульфиты  </v>
      </c>
    </row>
    <row r="1353">
      <c r="A1353" s="35" t="s">
        <v>3044</v>
      </c>
      <c r="B1353" s="31" t="s">
        <v>3045</v>
      </c>
      <c r="C1353" s="31"/>
      <c r="D1353" s="37" t="s">
        <v>68</v>
      </c>
      <c r="E1353" s="10"/>
      <c r="F1353" s="36"/>
      <c r="G1353" s="11">
        <v>26580.0</v>
      </c>
      <c r="H1353" s="34" t="str">
        <f>IFERROR(__xludf.DUMMYFUNCTION("LOWER(REGEXREPLACE(B1353&amp;"" ""&amp;C1353,""[^а-яa-z0-9 ]"","" ""))")," абор   оли для демонстрационных опытов  ")</f>
        <v> абор   оли для демонстрационных опытов  </v>
      </c>
    </row>
    <row r="1354">
      <c r="A1354" s="35" t="s">
        <v>3046</v>
      </c>
      <c r="B1354" s="31" t="s">
        <v>3047</v>
      </c>
      <c r="C1354" s="31"/>
      <c r="D1354" s="37" t="s">
        <v>68</v>
      </c>
      <c r="E1354" s="10"/>
      <c r="F1354" s="36"/>
      <c r="G1354" s="11">
        <v>26875.0</v>
      </c>
      <c r="H1354" s="34" t="str">
        <f>IFERROR(__xludf.DUMMYFUNCTION("LOWER(REGEXREPLACE(B1354&amp;"" ""&amp;C1354,""[^а-яa-z0-9 ]"","" ""))")," абор   осфаты  силикаты  ")</f>
        <v> абор   осфаты  силикаты  </v>
      </c>
    </row>
    <row r="1355">
      <c r="A1355" s="35" t="s">
        <v>3048</v>
      </c>
      <c r="B1355" s="31" t="s">
        <v>3049</v>
      </c>
      <c r="C1355" s="31"/>
      <c r="D1355" s="37" t="s">
        <v>68</v>
      </c>
      <c r="E1355" s="10"/>
      <c r="F1355" s="36"/>
      <c r="G1355" s="11">
        <v>27429.0</v>
      </c>
      <c r="H1355" s="34" t="str">
        <f>IFERROR(__xludf.DUMMYFUNCTION("LOWER(REGEXREPLACE(B1355&amp;"" ""&amp;C1355,""[^а-яa-z0-9 ]"","" ""))")," абор   оединения марганца  ")</f>
        <v> абор   оединения марганца  </v>
      </c>
    </row>
    <row r="1356">
      <c r="A1356" s="35" t="s">
        <v>3050</v>
      </c>
      <c r="B1356" s="31" t="s">
        <v>3051</v>
      </c>
      <c r="C1356" s="31"/>
      <c r="D1356" s="37" t="s">
        <v>68</v>
      </c>
      <c r="E1356" s="10"/>
      <c r="F1356" s="36"/>
      <c r="G1356" s="11">
        <v>44786.0</v>
      </c>
      <c r="H1356" s="34" t="str">
        <f>IFERROR(__xludf.DUMMYFUNCTION("LOWER(REGEXREPLACE(B1356&amp;"" ""&amp;C1356,""[^а-яa-z0-9 ]"","" ""))")," абор   итраты  ")</f>
        <v> абор   итраты  </v>
      </c>
    </row>
    <row r="1357">
      <c r="A1357" s="35" t="s">
        <v>3052</v>
      </c>
      <c r="B1357" s="31" t="s">
        <v>3053</v>
      </c>
      <c r="C1357" s="31"/>
      <c r="D1357" s="37" t="s">
        <v>68</v>
      </c>
      <c r="E1357" s="10"/>
      <c r="F1357" s="36"/>
      <c r="G1357" s="11">
        <v>41964.0</v>
      </c>
      <c r="H1357" s="34" t="str">
        <f>IFERROR(__xludf.DUMMYFUNCTION("LOWER(REGEXREPLACE(B1357&amp;"" ""&amp;C1357,""[^а-яa-z0-9 ]"","" ""))")," абор   ндикаторы  ")</f>
        <v> абор   ндикаторы  </v>
      </c>
    </row>
    <row r="1358">
      <c r="A1358" s="35" t="s">
        <v>3054</v>
      </c>
      <c r="B1358" s="31" t="s">
        <v>3055</v>
      </c>
      <c r="C1358" s="31"/>
      <c r="D1358" s="37" t="s">
        <v>68</v>
      </c>
      <c r="E1358" s="10"/>
      <c r="F1358" s="36"/>
      <c r="G1358" s="11">
        <v>26857.0</v>
      </c>
      <c r="H1358" s="34" t="str">
        <f>IFERROR(__xludf.DUMMYFUNCTION("LOWER(REGEXREPLACE(B1358&amp;"" ""&amp;C1358,""[^а-яa-z0-9 ]"","" ""))")," абор   оединения хрома  ")</f>
        <v> абор   оединения хрома  </v>
      </c>
    </row>
    <row r="1359">
      <c r="A1359" s="35" t="s">
        <v>3056</v>
      </c>
      <c r="B1359" s="31" t="s">
        <v>3057</v>
      </c>
      <c r="C1359" s="31"/>
      <c r="D1359" s="37" t="s">
        <v>68</v>
      </c>
      <c r="E1359" s="10"/>
      <c r="F1359" s="36"/>
      <c r="G1359" s="11">
        <v>9911.0</v>
      </c>
      <c r="H1359" s="34" t="str">
        <f>IFERROR(__xludf.DUMMYFUNCTION("LOWER(REGEXREPLACE(B1359&amp;"" ""&amp;C1359,""[^а-яa-z0-9 ]"","" ""))")," абор   атериалы  ")</f>
        <v> абор   атериалы  </v>
      </c>
    </row>
    <row r="1360">
      <c r="A1360" s="35" t="s">
        <v>3058</v>
      </c>
      <c r="B1360" s="31" t="s">
        <v>3059</v>
      </c>
      <c r="C1360" s="31"/>
      <c r="D1360" s="37" t="s">
        <v>1507</v>
      </c>
      <c r="E1360" s="10"/>
      <c r="F1360" s="36"/>
      <c r="G1360" s="11"/>
      <c r="H1360" s="34" t="str">
        <f>IFERROR(__xludf.DUMMYFUNCTION("LOWER(REGEXREPLACE(B1360&amp;"" ""&amp;C1360,""[^а-яa-z0-9 ]"","" ""))")," абор для экспериментов   лектрохимия  ")</f>
        <v> абор для экспериментов   лектрохимия  </v>
      </c>
    </row>
    <row r="1361">
      <c r="A1361" s="35" t="s">
        <v>3060</v>
      </c>
      <c r="B1361" s="31" t="s">
        <v>3061</v>
      </c>
      <c r="C1361" s="31"/>
      <c r="D1361" s="37" t="s">
        <v>1507</v>
      </c>
      <c r="E1361" s="38">
        <v>2.0</v>
      </c>
      <c r="F1361" s="39">
        <v>2.3</v>
      </c>
      <c r="G1361" s="11">
        <v>273314.0</v>
      </c>
      <c r="H1361" s="34" t="str">
        <f>IFERROR(__xludf.DUMMYFUNCTION("LOWER(REGEXREPLACE(B1361&amp;"" ""&amp;C1361,""[^а-яa-z0-9 ]"","" ""))")," абор для экспериментов по электрохимии типа  ornelsen  xperimenta 51901 ")</f>
        <v> абор для экспериментов по электрохимии типа  ornelsen  xperimenta 51901 </v>
      </c>
    </row>
    <row r="1362">
      <c r="A1362" s="35" t="s">
        <v>3062</v>
      </c>
      <c r="B1362" s="31" t="s">
        <v>3063</v>
      </c>
      <c r="C1362" s="31"/>
      <c r="D1362" s="36"/>
      <c r="E1362" s="10"/>
      <c r="F1362" s="36"/>
      <c r="G1362" s="11"/>
      <c r="H1362" s="34" t="str">
        <f>IFERROR(__xludf.DUMMYFUNCTION("LOWER(REGEXREPLACE(B1362&amp;"" ""&amp;C1362,""[^а-яa-z0-9 ]"","" ""))")," осуда лабораторная и принадлежности для кабинета химии ")</f>
        <v> осуда лабораторная и принадлежности для кабинета химии </v>
      </c>
    </row>
    <row r="1363">
      <c r="A1363" s="35" t="s">
        <v>3064</v>
      </c>
      <c r="B1363" s="31" t="s">
        <v>3065</v>
      </c>
      <c r="C1363" s="31"/>
      <c r="D1363" s="37" t="s">
        <v>68</v>
      </c>
      <c r="E1363" s="10"/>
      <c r="F1363" s="36"/>
      <c r="G1363" s="11"/>
      <c r="H1363" s="34" t="str">
        <f>IFERROR(__xludf.DUMMYFUNCTION("LOWER(REGEXREPLACE(B1363&amp;"" ""&amp;C1363,""[^а-яa-z0-9 ]"","" ""))")," абор посуды и принадлежностей для химических опытов ")</f>
        <v> абор посуды и принадлежностей для химических опытов </v>
      </c>
    </row>
    <row r="1364">
      <c r="A1364" s="35" t="s">
        <v>3066</v>
      </c>
      <c r="B1364" s="31" t="s">
        <v>3067</v>
      </c>
      <c r="C1364" s="31" t="s">
        <v>3068</v>
      </c>
      <c r="D1364" s="37" t="s">
        <v>1507</v>
      </c>
      <c r="E1364" s="38">
        <v>2.0</v>
      </c>
      <c r="F1364" s="40">
        <v>1.94</v>
      </c>
      <c r="G1364" s="11">
        <v>29189.0</v>
      </c>
      <c r="H1364" s="34" t="str">
        <f>IFERROR(__xludf.DUMMYFUNCTION("LOWER(REGEXREPLACE(B1364&amp;"" ""&amp;C1364,""[^а-яa-z0-9 ]"","" ""))"),"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мл"&amp;"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стеклянная"&amp;"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"&amp;"анализа  фарфор  12 гн зд  ожка шпатель  алочка стеклянная  d  6 мм    30 см  рубка резиновая  1 м  ипетка пластиковая 6")</f>
        <v>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анализа  фарфор  12 гн зд  ожка шпатель  алочка стеклянная  d  6 мм    30 см  рубка резиновая  1 м  ипетка пластиковая 6</v>
      </c>
    </row>
    <row r="1365">
      <c r="A1365" s="35" t="s">
        <v>3069</v>
      </c>
      <c r="B1365" s="31" t="s">
        <v>3070</v>
      </c>
      <c r="C1365" s="31" t="s">
        <v>3071</v>
      </c>
      <c r="D1365" s="37" t="s">
        <v>1507</v>
      </c>
      <c r="E1365" s="38">
        <v>2.0</v>
      </c>
      <c r="F1365" s="39">
        <v>1.2</v>
      </c>
      <c r="G1365" s="11">
        <v>52991.0</v>
      </c>
      <c r="H1365" s="34" t="str">
        <f>IFERROR(__xludf.DUMMYFUNCTION("LOWER(REGEXREPLACE(B1365&amp;"" ""&amp;C1365,""[^а-яa-z0-9 ]"","" ""))"),"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600"&amp;"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f>
        <v>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v>
      </c>
    </row>
    <row r="1366">
      <c r="A1366" s="35" t="s">
        <v>3072</v>
      </c>
      <c r="B1366" s="31" t="s">
        <v>3073</v>
      </c>
      <c r="C1366" s="31"/>
      <c r="D1366" s="37" t="s">
        <v>14</v>
      </c>
      <c r="E1366" s="10"/>
      <c r="F1366" s="36"/>
      <c r="G1366" s="11"/>
      <c r="H1366" s="34" t="str">
        <f>IFERROR(__xludf.DUMMYFUNCTION("LOWER(REGEXREPLACE(B1366&amp;"" ""&amp;C1366,""[^а-яa-z0-9 ]"","" ""))")," ппарат для проведения химических реакций ")</f>
        <v> ппарат для проведения химических реакций </v>
      </c>
    </row>
    <row r="1367">
      <c r="A1367" s="35" t="s">
        <v>3074</v>
      </c>
      <c r="B1367" s="31" t="s">
        <v>3073</v>
      </c>
      <c r="C1367" s="31"/>
      <c r="D1367" s="37" t="s">
        <v>14</v>
      </c>
      <c r="E1367" s="10"/>
      <c r="F1367" s="36"/>
      <c r="G1367" s="11">
        <v>50261.0</v>
      </c>
      <c r="H1367" s="34" t="str">
        <f>IFERROR(__xludf.DUMMYFUNCTION("LOWER(REGEXREPLACE(B1367&amp;"" ""&amp;C1367,""[^а-яa-z0-9 ]"","" ""))")," ппарат для проведения химических реакций ")</f>
        <v> ппарат для проведения химических реакций </v>
      </c>
    </row>
    <row r="1368">
      <c r="A1368" s="35" t="s">
        <v>3075</v>
      </c>
      <c r="B1368" s="31" t="s">
        <v>3076</v>
      </c>
      <c r="C1368" s="31" t="s">
        <v>3077</v>
      </c>
      <c r="D1368" s="37" t="s">
        <v>14</v>
      </c>
      <c r="E1368" s="38">
        <v>2.0</v>
      </c>
      <c r="F1368" s="39">
        <v>0.8</v>
      </c>
      <c r="G1368" s="11">
        <v>28016.0</v>
      </c>
      <c r="H1368" s="34" t="str">
        <f>IFERROR(__xludf.DUMMYFUNCTION("LOWER(REGEXREPLACE(B1368&amp;"" ""&amp;C1368,""[^а-яa-z0-9 ]"","" ""))")," ппарат для проведения химических реакций   мкость колбы реактора 500 мл  мкость колбы реактора 500 мл ")</f>
        <v> ппарат для проведения химических реакций   мкость колбы реактора 500 мл  мкость колбы реактора 500 мл </v>
      </c>
    </row>
    <row r="1369">
      <c r="A1369" s="35" t="s">
        <v>3078</v>
      </c>
      <c r="B1369" s="31" t="s">
        <v>3079</v>
      </c>
      <c r="C1369" s="31"/>
      <c r="D1369" s="37" t="s">
        <v>14</v>
      </c>
      <c r="E1369" s="38">
        <v>2.0</v>
      </c>
      <c r="F1369" s="40">
        <v>0.84</v>
      </c>
      <c r="G1369" s="11">
        <v>18288.0</v>
      </c>
      <c r="H1369" s="34" t="str">
        <f>IFERROR(__xludf.DUMMYFUNCTION("LOWER(REGEXREPLACE(B1369&amp;"" ""&amp;C1369,""[^а-яa-z0-9 ]"","" ""))")," ппарат  иппа   бьем   250мл ")</f>
        <v> ппарат  иппа   бьем   250мл </v>
      </c>
    </row>
    <row r="1370">
      <c r="A1370" s="35" t="s">
        <v>3080</v>
      </c>
      <c r="B1370" s="31" t="s">
        <v>3081</v>
      </c>
      <c r="C1370" s="31" t="s">
        <v>3082</v>
      </c>
      <c r="D1370" s="37" t="s">
        <v>14</v>
      </c>
      <c r="E1370" s="38">
        <v>2.0</v>
      </c>
      <c r="F1370" s="38">
        <v>1.0</v>
      </c>
      <c r="G1370" s="11">
        <v>24426.0</v>
      </c>
      <c r="H1370" s="34" t="str">
        <f>IFERROR(__xludf.DUMMYFUNCTION("LOWER(REGEXREPLACE(B1370&amp;"" ""&amp;C1370,""[^а-яa-z0-9 ]"","" ""))"),"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f>
        <v>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v>
      </c>
    </row>
    <row r="1371">
      <c r="A1371" s="35" t="s">
        <v>3083</v>
      </c>
      <c r="B1371" s="31" t="s">
        <v>3084</v>
      </c>
      <c r="C1371" s="31" t="s">
        <v>3085</v>
      </c>
      <c r="D1371" s="37" t="s">
        <v>1507</v>
      </c>
      <c r="E1371" s="38">
        <v>2.0</v>
      </c>
      <c r="F1371" s="42">
        <v>0.745</v>
      </c>
      <c r="G1371" s="11">
        <v>56186.0</v>
      </c>
      <c r="H1371" s="34" t="str">
        <f>IFERROR(__xludf.DUMMYFUNCTION("LOWER(REGEXREPLACE(B1371&amp;"" ""&amp;C1371,""[^а-яa-z0-9 ]"","" ""))")," абор ареометров  19 шт   редназначены для изучения устройства ареометра и измерения плотности жидкостей   иапазон от 700 до 1840 кг м3    наборе 19 штук")</f>
        <v> абор ареометров  19 шт   редназначены для изучения устройства ареометра и измерения плотности жидкостей   иапазон от 700 до 1840 кг м3    наборе 19 штук</v>
      </c>
    </row>
    <row r="1372">
      <c r="A1372" s="35" t="s">
        <v>3086</v>
      </c>
      <c r="B1372" s="31" t="s">
        <v>3087</v>
      </c>
      <c r="C1372" s="31"/>
      <c r="D1372" s="37" t="s">
        <v>14</v>
      </c>
      <c r="E1372" s="10"/>
      <c r="F1372" s="36"/>
      <c r="G1372" s="11"/>
      <c r="H1372" s="34" t="str">
        <f>IFERROR(__xludf.DUMMYFUNCTION("LOWER(REGEXREPLACE(B1372&amp;"" ""&amp;C1372,""[^а-яa-z0-9 ]"","" ""))")," агреватель пробирок ")</f>
        <v> агреватель пробирок </v>
      </c>
    </row>
    <row r="1373">
      <c r="A1373" s="35" t="s">
        <v>3088</v>
      </c>
      <c r="B1373" s="31" t="s">
        <v>3089</v>
      </c>
      <c r="C1373" s="31" t="s">
        <v>3090</v>
      </c>
      <c r="D1373" s="37" t="s">
        <v>14</v>
      </c>
      <c r="E1373" s="10"/>
      <c r="F1373" s="36"/>
      <c r="G1373" s="11">
        <v>16754.0</v>
      </c>
      <c r="H1373" s="34" t="str">
        <f>IFERROR(__xludf.DUMMYFUNCTION("LOWER(REGEXREPLACE(B1373&amp;"" ""&amp;C1373,""[^а-яa-z0-9 ]"","" ""))")," агреватель пробирок универсальный  агреватель пробирок   олжен обеспечивать нагрев не менее 5 см3 воды в пробирке от температуры 20      5    до кипения ")</f>
        <v> агреватель пробирок универсальный  агреватель пробирок   олжен обеспечивать нагрев не менее 5 см3 воды в пробирке от температуры 20      5    до кипения </v>
      </c>
    </row>
    <row r="1374">
      <c r="A1374" s="35" t="s">
        <v>3091</v>
      </c>
      <c r="B1374" s="31" t="s">
        <v>3092</v>
      </c>
      <c r="C1374" s="31" t="s">
        <v>3093</v>
      </c>
      <c r="D1374" s="37" t="s">
        <v>14</v>
      </c>
      <c r="E1374" s="38">
        <v>2.0</v>
      </c>
      <c r="F1374" s="40">
        <v>0.23</v>
      </c>
      <c r="G1374" s="11">
        <v>13940.0</v>
      </c>
      <c r="H1374" s="34" t="str">
        <f>IFERROR(__xludf.DUMMYFUNCTION("LOWER(REGEXREPLACE(B1374&amp;"" ""&amp;C1374,""[^а-яa-z0-9 ]"","" ""))"),"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т"&amp;"ремя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f>
        <v>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v>
      </c>
    </row>
    <row r="1375">
      <c r="A1375" s="35" t="s">
        <v>3094</v>
      </c>
      <c r="B1375" s="31" t="s">
        <v>3095</v>
      </c>
      <c r="C1375" s="31" t="s">
        <v>3096</v>
      </c>
      <c r="D1375" s="37" t="s">
        <v>14</v>
      </c>
      <c r="E1375" s="10"/>
      <c r="F1375" s="36"/>
      <c r="G1375" s="11">
        <v>4346.0</v>
      </c>
      <c r="H1375" s="34" t="str">
        <f>IFERROR(__xludf.DUMMYFUNCTION("LOWER(REGEXREPLACE(B1375&amp;"" ""&amp;C1375,""[^а-яa-z0-9 ]"","" ""))"),"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п"&amp;"олучение аммиака и изучение его свойств")</f>
        <v>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v>
      </c>
    </row>
    <row r="1376">
      <c r="A1376" s="35" t="s">
        <v>3097</v>
      </c>
      <c r="B1376" s="31" t="s">
        <v>3098</v>
      </c>
      <c r="C1376" s="31"/>
      <c r="D1376" s="37" t="s">
        <v>14</v>
      </c>
      <c r="E1376" s="10"/>
      <c r="F1376" s="36"/>
      <c r="G1376" s="11">
        <v>11732.0</v>
      </c>
      <c r="H1376" s="34" t="str">
        <f>IFERROR(__xludf.DUMMYFUNCTION("LOWER(REGEXREPLACE(B1376&amp;"" ""&amp;C1376,""[^а-яa-z0-9 ]"","" ""))")," татив лабораторный химический ")</f>
        <v> татив лабораторный химический </v>
      </c>
    </row>
    <row r="1377">
      <c r="A1377" s="35" t="s">
        <v>3099</v>
      </c>
      <c r="B1377" s="31" t="s">
        <v>3100</v>
      </c>
      <c r="C1377" s="31"/>
      <c r="D1377" s="36"/>
      <c r="E1377" s="10"/>
      <c r="F1377" s="36"/>
      <c r="G1377" s="11"/>
      <c r="H1377" s="34" t="str">
        <f>IFERROR(__xludf.DUMMYFUNCTION("LOWER(REGEXREPLACE(B1377&amp;"" ""&amp;C1377,""[^а-яa-z0-9 ]"","" ""))")," истиллятор ")</f>
        <v> истиллятор </v>
      </c>
    </row>
    <row r="1378">
      <c r="A1378" s="35" t="s">
        <v>3101</v>
      </c>
      <c r="B1378" s="31" t="s">
        <v>3102</v>
      </c>
      <c r="C1378" s="31" t="s">
        <v>3103</v>
      </c>
      <c r="D1378" s="37" t="s">
        <v>14</v>
      </c>
      <c r="E1378" s="38">
        <v>2.0</v>
      </c>
      <c r="F1378" s="39">
        <v>2.7</v>
      </c>
      <c r="G1378" s="11">
        <v>76000.0</v>
      </c>
      <c r="H1378" s="34" t="str">
        <f>IFERROR(__xludf.DUMMYFUNCTION("LOWER(REGEXREPLACE(B1378&amp;"" ""&amp;C1378,""[^а-яa-z0-9 ]"","" ""))"),"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f>
        <v>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v>
      </c>
    </row>
    <row r="1379">
      <c r="A1379" s="35" t="s">
        <v>3104</v>
      </c>
      <c r="B1379" s="9" t="s">
        <v>3105</v>
      </c>
      <c r="C1379" s="31"/>
      <c r="D1379" s="37" t="s">
        <v>14</v>
      </c>
      <c r="E1379" s="38">
        <v>2.0</v>
      </c>
      <c r="F1379" s="39">
        <v>3.5</v>
      </c>
      <c r="G1379" s="11">
        <v>82028.0</v>
      </c>
      <c r="H1379" s="34" t="str">
        <f>IFERROR(__xludf.DUMMYFUNCTION("LOWER(REGEXREPLACE(B1379&amp;"" ""&amp;C1379,""[^а-яa-z0-9 ]"","" ""))")," истиллятор воды типа  cience ube      102   роизводительность  1 л ч   одосборник  пластик  объ м 3 6 л   мкость  нержавеющая сталь   отребляемая мощность  750  т ")</f>
        <v> истиллятор воды типа  cience ube      102   роизводительность  1 л ч   одосборник  пластик  объ м 3 6 л   мкость  нержавеющая сталь   отребляемая мощность  750  т </v>
      </c>
    </row>
    <row r="1380">
      <c r="A1380" s="35" t="s">
        <v>3106</v>
      </c>
      <c r="B1380" s="31" t="s">
        <v>3107</v>
      </c>
      <c r="C1380" s="31"/>
      <c r="D1380" s="36"/>
      <c r="E1380" s="10"/>
      <c r="F1380" s="36"/>
      <c r="G1380" s="11"/>
      <c r="H1380" s="34" t="str">
        <f>IFERROR(__xludf.DUMMYFUNCTION("LOWER(REGEXREPLACE(B1380&amp;"" ""&amp;C1380,""[^а-яa-z0-9 ]"","" ""))")," ушильный шкаф ")</f>
        <v> ушильный шкаф </v>
      </c>
    </row>
    <row r="1381">
      <c r="A1381" s="35" t="s">
        <v>3108</v>
      </c>
      <c r="B1381" s="31" t="s">
        <v>3107</v>
      </c>
      <c r="C1381" s="31" t="s">
        <v>3109</v>
      </c>
      <c r="D1381" s="37" t="s">
        <v>14</v>
      </c>
      <c r="E1381" s="38">
        <v>2.0</v>
      </c>
      <c r="F1381" s="38">
        <v>18.0</v>
      </c>
      <c r="G1381" s="11">
        <v>174981.0</v>
      </c>
      <c r="H1381" s="34" t="str">
        <f>IFERROR(__xludf.DUMMYFUNCTION("LOWER(REGEXREPLACE(B1381&amp;"" ""&amp;C1381,""[^а-яa-z0-9 ]"","" ""))"),"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выполне"&amp;"н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схем"&amp;"а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циф"&amp;"ровой дисплей и настройку ")</f>
        <v>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цифровой дисплей и настройку </v>
      </c>
    </row>
    <row r="1382">
      <c r="A1382" s="35" t="s">
        <v>3110</v>
      </c>
      <c r="B1382" s="31" t="s">
        <v>3111</v>
      </c>
      <c r="C1382" s="31"/>
      <c r="D1382" s="36"/>
      <c r="E1382" s="10"/>
      <c r="F1382" s="36"/>
      <c r="G1382" s="11"/>
      <c r="H1382" s="34" t="str">
        <f>IFERROR(__xludf.DUMMYFUNCTION("LOWER(REGEXREPLACE(B1382&amp;"" ""&amp;C1382,""[^а-яa-z0-9 ]"","" ""))")," орелка ")</f>
        <v> орелка </v>
      </c>
    </row>
    <row r="1383">
      <c r="A1383" s="35" t="s">
        <v>3112</v>
      </c>
      <c r="B1383" s="31" t="s">
        <v>3113</v>
      </c>
      <c r="C1383" s="31" t="s">
        <v>3114</v>
      </c>
      <c r="D1383" s="37" t="s">
        <v>14</v>
      </c>
      <c r="E1383" s="38">
        <v>2.0</v>
      </c>
      <c r="F1383" s="39">
        <v>0.1</v>
      </c>
      <c r="G1383" s="11">
        <v>8139.0</v>
      </c>
      <c r="H1383" s="34" t="str">
        <f>IFERROR(__xludf.DUMMYFUNCTION("LOWER(REGEXREPLACE(B1383&amp;"" ""&amp;C1383,""[^а-яa-z0-9 ]"","" ""))"),"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резинов"&amp;"ый патрубок закреплен отрезок кварцевой термостойкой трубки ")</f>
        <v>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резиновый патрубок закреплен отрезок кварцевой термостойкой трубки </v>
      </c>
    </row>
    <row r="1384">
      <c r="A1384" s="35" t="s">
        <v>3115</v>
      </c>
      <c r="B1384" s="9" t="s">
        <v>3116</v>
      </c>
      <c r="C1384" s="31" t="s">
        <v>3117</v>
      </c>
      <c r="D1384" s="37" t="s">
        <v>14</v>
      </c>
      <c r="E1384" s="38">
        <v>2.0</v>
      </c>
      <c r="F1384" s="40">
        <v>0.98</v>
      </c>
      <c r="G1384" s="11">
        <v>30355.0</v>
      </c>
      <c r="H1384" s="34" t="str">
        <f>IFERROR(__xludf.DUMMYFUNCTION("LOWER(REGEXREPLACE(B1384&amp;"" ""&amp;C1384,""[^а-яa-z0-9 ]"","" ""))"),"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сос"&amp;"уд для твердых веществ   1 шт   ринцип работы прибора основан на образовании твердых растворимых веществ в результате химических реакций ")</f>
        <v>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сосуд для твердых веществ   1 шт   ринцип работы прибора основан на образовании твердых растворимых веществ в результате химических реакций </v>
      </c>
    </row>
    <row r="1385">
      <c r="A1385" s="35" t="s">
        <v>3118</v>
      </c>
      <c r="B1385" s="31" t="s">
        <v>3119</v>
      </c>
      <c r="C1385" s="31" t="s">
        <v>3120</v>
      </c>
      <c r="D1385" s="37" t="s">
        <v>14</v>
      </c>
      <c r="E1385" s="38">
        <v>2.0</v>
      </c>
      <c r="F1385" s="39">
        <v>0.2</v>
      </c>
      <c r="G1385" s="11">
        <v>8139.0</v>
      </c>
      <c r="H1385" s="34" t="str">
        <f>IFERROR(__xludf.DUMMYFUNCTION("LOWER(REGEXREPLACE(B1385&amp;"" ""&amp;C1385,""[^а-яa-z0-9 ]"","" ""))"),"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его"&amp;"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"&amp;"через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f>
        <v>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v>
      </c>
    </row>
    <row r="1386">
      <c r="A1386" s="35" t="s">
        <v>3121</v>
      </c>
      <c r="B1386" s="31" t="s">
        <v>3122</v>
      </c>
      <c r="C1386" s="31" t="s">
        <v>3123</v>
      </c>
      <c r="D1386" s="37" t="s">
        <v>14</v>
      </c>
      <c r="E1386" s="38">
        <v>2.0</v>
      </c>
      <c r="F1386" s="40">
        <v>0.63</v>
      </c>
      <c r="G1386" s="11">
        <v>8141.0</v>
      </c>
      <c r="H1386" s="34" t="str">
        <f>IFERROR(__xludf.DUMMYFUNCTION("LOWER(REGEXREPLACE(B1386&amp;"" ""&amp;C1386,""[^а-яa-z0-9 ]"","" ""))"),"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f>
        <v>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v>
      </c>
    </row>
    <row r="1387">
      <c r="A1387" s="35" t="s">
        <v>3124</v>
      </c>
      <c r="B1387" s="31" t="s">
        <v>3125</v>
      </c>
      <c r="C1387" s="31" t="s">
        <v>3126</v>
      </c>
      <c r="D1387" s="37" t="s">
        <v>14</v>
      </c>
      <c r="E1387" s="38">
        <v>2.0</v>
      </c>
      <c r="F1387" s="42">
        <v>0.157</v>
      </c>
      <c r="G1387" s="11">
        <v>7015.0</v>
      </c>
      <c r="H1387" s="34" t="str">
        <f>IFERROR(__xludf.DUMMYFUNCTION("LOWER(REGEXREPLACE(B1387&amp;"" ""&amp;C1387,""[^а-яa-z0-9 ]"","" ""))"),"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"&amp;"перехватом на расстоянии 40 мм от основания ")</f>
        <v>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перехватом на расстоянии 40 мм от основания </v>
      </c>
    </row>
    <row r="1388">
      <c r="A1388" s="35" t="s">
        <v>3127</v>
      </c>
      <c r="B1388" s="9" t="s">
        <v>3128</v>
      </c>
      <c r="C1388" s="31" t="s">
        <v>3129</v>
      </c>
      <c r="D1388" s="37" t="s">
        <v>14</v>
      </c>
      <c r="E1388" s="38">
        <v>2.0</v>
      </c>
      <c r="F1388" s="42">
        <v>0.157</v>
      </c>
      <c r="G1388" s="11">
        <v>3508.0</v>
      </c>
      <c r="H1388" s="34" t="str">
        <f>IFERROR(__xludf.DUMMYFUNCTION("LOWER(REGEXREPLACE(B1388&amp;"" ""&amp;C1388,""[^а-яa-z0-9 ]"","" ""))"),"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хим"&amp;"ическая лабораторная на пробке резиновой   2 шт   воронка   1 шт   шарик надувной резиновый   1шт   нитка швейная      40 см    1шт   руководство по эксплуатации   1 шт ")</f>
        <v>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химическая лабораторная на пробке резиновой   2 шт   воронка   1 шт   шарик надувной резиновый   1шт   нитка швейная      40 см    1шт   руководство по эксплуатации   1 шт </v>
      </c>
    </row>
    <row r="1389">
      <c r="A1389" s="35" t="s">
        <v>3130</v>
      </c>
      <c r="B1389" s="31" t="s">
        <v>3131</v>
      </c>
      <c r="C1389" s="31" t="s">
        <v>3132</v>
      </c>
      <c r="D1389" s="37" t="s">
        <v>14</v>
      </c>
      <c r="E1389" s="38">
        <v>2.0</v>
      </c>
      <c r="F1389" s="39">
        <v>0.2</v>
      </c>
      <c r="G1389" s="11">
        <v>13985.0</v>
      </c>
      <c r="H1389" s="34" t="str">
        <f>IFERROR(__xludf.DUMMYFUNCTION("LOWER(REGEXREPLACE(B1389&amp;"" ""&amp;C1389,""[^а-яa-z0-9 ]"","" ""))"),"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крыш"&amp;"ке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f>
        <v>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v>
      </c>
    </row>
    <row r="1390">
      <c r="A1390" s="35" t="s">
        <v>3133</v>
      </c>
      <c r="B1390" s="31" t="s">
        <v>3134</v>
      </c>
      <c r="C1390" s="31" t="s">
        <v>3135</v>
      </c>
      <c r="D1390" s="37" t="s">
        <v>14</v>
      </c>
      <c r="E1390" s="38">
        <v>2.0</v>
      </c>
      <c r="F1390" s="42">
        <v>0.585</v>
      </c>
      <c r="G1390" s="11">
        <v>29184.0</v>
      </c>
      <c r="H1390" s="34" t="str">
        <f>IFERROR(__xludf.DUMMYFUNCTION("LOWER(REGEXREPLACE(B1390&amp;"" ""&amp;C1390,""[^а-яa-z0-9 ]"","" ""))"),"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с"&amp;"тороне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пыл"&amp;"езащитную крышку и подробную инструкцию на этикетке   родукты предназначены для оказания первой помощи ")</f>
        <v>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пылезащитную крышку и подробную инструкцию на этикетке   родукты предназначены для оказания первой помощи </v>
      </c>
    </row>
    <row r="1391">
      <c r="A1391" s="35" t="s">
        <v>3136</v>
      </c>
      <c r="B1391" s="9" t="s">
        <v>3137</v>
      </c>
      <c r="C1391" s="31"/>
      <c r="D1391" s="37" t="s">
        <v>14</v>
      </c>
      <c r="E1391" s="38">
        <v>2.0</v>
      </c>
      <c r="F1391" s="40">
        <v>0.18</v>
      </c>
      <c r="G1391" s="11">
        <v>78239.0</v>
      </c>
      <c r="H1391" s="34" t="str">
        <f>IFERROR(__xludf.DUMMYFUNCTION("LOWER(REGEXREPLACE(B1391&amp;"" ""&amp;C1391,""[^а-яa-z0-9 ]"","" ""))"),"   тестер кондуктивный со встроенным электродом ")</f>
        <v>   тестер кондуктивный со встроенным электродом </v>
      </c>
    </row>
    <row r="1392">
      <c r="A1392" s="35" t="s">
        <v>3138</v>
      </c>
      <c r="B1392" s="31" t="s">
        <v>3139</v>
      </c>
      <c r="C1392" s="31"/>
      <c r="D1392" s="36"/>
      <c r="E1392" s="10"/>
      <c r="F1392" s="36"/>
      <c r="G1392" s="11"/>
      <c r="H1392" s="34" t="str">
        <f>IFERROR(__xludf.DUMMYFUNCTION("LOWER(REGEXREPLACE(B1392&amp;"" ""&amp;C1392,""[^а-яa-z0-9 ]"","" ""))")," ешалка магнитная ")</f>
        <v> ешалка магнитная </v>
      </c>
    </row>
    <row r="1393">
      <c r="A1393" s="35" t="s">
        <v>3140</v>
      </c>
      <c r="B1393" s="31" t="s">
        <v>3141</v>
      </c>
      <c r="C1393" s="31"/>
      <c r="D1393" s="37" t="s">
        <v>14</v>
      </c>
      <c r="E1393" s="38">
        <v>2.0</v>
      </c>
      <c r="F1393" s="39">
        <v>2.1</v>
      </c>
      <c r="G1393" s="11">
        <v>65206.0</v>
      </c>
      <c r="H1393" s="34" t="str">
        <f>IFERROR(__xludf.DUMMYFUNCTION("LOWER(REGEXREPLACE(B1393&amp;"" ""&amp;C1393,""[^а-яa-z0-9 ]"","" ""))")," ешалка магнитная типа  cience ube      101   ощность  5  т   корость  200 2000 об мин   азмер рабочей платформы  135 мм ")</f>
        <v> ешалка магнитная типа  cience ube      101   ощность  5  т   корость  200 2000 об мин   азмер рабочей платформы  135 мм </v>
      </c>
    </row>
    <row r="1394">
      <c r="A1394" s="35" t="s">
        <v>3142</v>
      </c>
      <c r="B1394" s="9" t="s">
        <v>3143</v>
      </c>
      <c r="C1394" s="31" t="s">
        <v>3144</v>
      </c>
      <c r="D1394" s="37" t="s">
        <v>14</v>
      </c>
      <c r="E1394" s="38">
        <v>2.0</v>
      </c>
      <c r="F1394" s="40">
        <v>1.85</v>
      </c>
      <c r="G1394" s="11">
        <v>41655.0</v>
      </c>
      <c r="H1394" s="34" t="str">
        <f>IFERROR(__xludf.DUMMYFUNCTION("LOWER(REGEXREPLACE(B1394&amp;"" ""&amp;C1394,""[^а-яa-z0-9 ]"","" ""))"),"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меша"&amp;"лка магнитная   1 шт   стержни перемешивающие   3 шт   вставка плавкая   1 0 25  1 шт ")</f>
        <v>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мешалка магнитная   1 шт   стержни перемешивающие   3 шт   вставка плавкая   1 0 25  1 шт </v>
      </c>
    </row>
    <row r="1395">
      <c r="A1395" s="35" t="s">
        <v>3145</v>
      </c>
      <c r="B1395" s="9" t="s">
        <v>3146</v>
      </c>
      <c r="C1395" s="31" t="s">
        <v>3147</v>
      </c>
      <c r="D1395" s="37" t="s">
        <v>14</v>
      </c>
      <c r="E1395" s="38">
        <v>2.0</v>
      </c>
      <c r="F1395" s="40">
        <v>1.79</v>
      </c>
      <c r="G1395" s="11">
        <v>29944.0</v>
      </c>
      <c r="H1395" s="34" t="str">
        <f>IFERROR(__xludf.DUMMYFUNCTION("LOWER(REGEXREPLACE(B1395&amp;"" ""&amp;C1395,""[^а-яa-z0-9 ]"","" ""))"),"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"&amp;"иапазон вращения якоря от 120 до 1500 об мин")</f>
        <v>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иапазон вращения якоря от 120 до 1500 об мин</v>
      </c>
    </row>
    <row r="1396">
      <c r="A1396" s="35" t="s">
        <v>3148</v>
      </c>
      <c r="B1396" s="31" t="s">
        <v>3149</v>
      </c>
      <c r="C1396" s="31" t="s">
        <v>3150</v>
      </c>
      <c r="D1396" s="37" t="s">
        <v>14</v>
      </c>
      <c r="E1396" s="38">
        <v>2.0</v>
      </c>
      <c r="F1396" s="38">
        <v>9.0</v>
      </c>
      <c r="G1396" s="11">
        <v>14253.0</v>
      </c>
      <c r="H1396" s="34" t="str">
        <f>IFERROR(__xludf.DUMMYFUNCTION("LOWER(REGEXREPLACE(B1396&amp;"" ""&amp;C1396,""[^а-яa-z0-9 ]"","" ""))"),"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перегрев"&amp;"а   ветовой индикатор работы")</f>
        <v>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перегрева   ветовой индикатор работы</v>
      </c>
    </row>
    <row r="1397">
      <c r="A1397" s="35" t="s">
        <v>3151</v>
      </c>
      <c r="B1397" s="31" t="s">
        <v>3152</v>
      </c>
      <c r="C1397" s="31"/>
      <c r="D1397" s="37" t="s">
        <v>14</v>
      </c>
      <c r="E1397" s="10"/>
      <c r="F1397" s="36"/>
      <c r="G1397" s="11"/>
      <c r="H1397" s="34" t="str">
        <f>IFERROR(__xludf.DUMMYFUNCTION("LOWER(REGEXREPLACE(B1397&amp;"" ""&amp;C1397,""[^а-яa-z0-9 ]"","" ""))")," ентрифуга термальная ")</f>
        <v> ентрифуга термальная </v>
      </c>
    </row>
    <row r="1398">
      <c r="A1398" s="35" t="s">
        <v>3153</v>
      </c>
      <c r="B1398" s="31" t="s">
        <v>3154</v>
      </c>
      <c r="C1398" s="31" t="s">
        <v>3155</v>
      </c>
      <c r="D1398" s="37" t="s">
        <v>14</v>
      </c>
      <c r="E1398" s="38">
        <v>2.0</v>
      </c>
      <c r="F1398" s="38">
        <v>4.0</v>
      </c>
      <c r="G1398" s="11">
        <v>65387.0</v>
      </c>
      <c r="H1398" s="34" t="str">
        <f>IFERROR(__xludf.DUMMYFUNCTION("LOWER(REGEXREPLACE(B1398&amp;"" ""&amp;C1398,""[^а-яa-z0-9 ]"","" ""))"),"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в"&amp;"ремя непрерывной работы  180 минут   остоит из  корпуса  привода  пульта управления  ротора  крышки")</f>
        <v>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время непрерывной работы  180 минут   остоит из  корпуса  привода  пульта управления  ротора  крышки</v>
      </c>
    </row>
    <row r="1399">
      <c r="A1399" s="35" t="s">
        <v>3156</v>
      </c>
      <c r="B1399" s="31" t="s">
        <v>3157</v>
      </c>
      <c r="C1399" s="31" t="s">
        <v>3158</v>
      </c>
      <c r="D1399" s="37" t="s">
        <v>14</v>
      </c>
      <c r="E1399" s="38">
        <v>2.0</v>
      </c>
      <c r="F1399" s="38">
        <v>2.0</v>
      </c>
      <c r="G1399" s="11">
        <v>23586.0</v>
      </c>
      <c r="H1399" s="34" t="str">
        <f>IFERROR(__xludf.DUMMYFUNCTION("LOWER(REGEXREPLACE(B1399&amp;"" ""&amp;C1399,""[^а-яa-z0-9 ]"","" ""))"),"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в"&amp;" них стеклянных пробирок ")</f>
        <v>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 них стеклянных пробирок </v>
      </c>
    </row>
    <row r="1400">
      <c r="A1400" s="35" t="s">
        <v>3159</v>
      </c>
      <c r="B1400" s="31" t="s">
        <v>3160</v>
      </c>
      <c r="C1400" s="31"/>
      <c r="D1400" s="36"/>
      <c r="E1400" s="10"/>
      <c r="F1400" s="36"/>
      <c r="G1400" s="11"/>
      <c r="H1400" s="34" t="str">
        <f>IFERROR(__xludf.DUMMYFUNCTION("LOWER(REGEXREPLACE(B1400&amp;"" ""&amp;C1400,""[^а-яa-z0-9 ]"","" ""))")," абинет музыки ")</f>
        <v> абинет музыки </v>
      </c>
    </row>
    <row r="1401">
      <c r="A1401" s="35" t="s">
        <v>3161</v>
      </c>
      <c r="B1401" s="31" t="s">
        <v>3162</v>
      </c>
      <c r="C1401" s="31"/>
      <c r="D1401" s="37" t="s">
        <v>14</v>
      </c>
      <c r="E1401" s="10"/>
      <c r="F1401" s="36"/>
      <c r="G1401" s="11"/>
      <c r="H1401" s="34" t="str">
        <f>IFERROR(__xludf.DUMMYFUNCTION("LOWER(REGEXREPLACE(B1401&amp;"" ""&amp;C1401,""[^а-яa-z0-9 ]"","" ""))")," узыкальный центр с беспроводными технологиями ")</f>
        <v> узыкальный центр с беспроводными технологиями </v>
      </c>
    </row>
    <row r="1402">
      <c r="A1402" s="35" t="s">
        <v>3163</v>
      </c>
      <c r="B1402" s="31" t="s">
        <v>3164</v>
      </c>
      <c r="C1402" s="31"/>
      <c r="D1402" s="37" t="s">
        <v>14</v>
      </c>
      <c r="E1402" s="38">
        <v>2.0</v>
      </c>
      <c r="F1402" s="38">
        <v>12.0</v>
      </c>
      <c r="G1402" s="11">
        <v>88347.0</v>
      </c>
      <c r="H1402" s="34" t="str">
        <f>IFERROR(__xludf.DUMMYFUNCTION("LOWER(REGEXREPLACE(B1402&amp;"" ""&amp;C1402,""[^а-яa-z0-9 ]"","" ""))"),"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f>
        <v>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v>
      </c>
    </row>
    <row r="1403">
      <c r="A1403" s="35" t="s">
        <v>3165</v>
      </c>
      <c r="B1403" s="31" t="s">
        <v>3166</v>
      </c>
      <c r="C1403" s="31" t="s">
        <v>3167</v>
      </c>
      <c r="D1403" s="37" t="s">
        <v>14</v>
      </c>
      <c r="E1403" s="10"/>
      <c r="F1403" s="36"/>
      <c r="G1403" s="11">
        <v>13750.0</v>
      </c>
      <c r="H1403" s="34" t="str">
        <f>IFERROR(__xludf.DUMMYFUNCTION("LOWER(REGEXREPLACE(B1403&amp;"" ""&amp;C1403,""[^а-яa-z0-9 ]"","" ""))")," юпитр  юпитр   егулируемая высота 940   1420 мм   ержатель для нот 475 х 345 мм   еталлические узлы   атериал  сталь   вет  черный ")</f>
        <v> юпитр  юпитр   егулируемая высота 940   1420 мм   ержатель для нот 475 х 345 мм   еталлические узлы   атериал  сталь   вет  черный </v>
      </c>
    </row>
    <row r="1404">
      <c r="A1404" s="35" t="s">
        <v>3168</v>
      </c>
      <c r="B1404" s="31" t="s">
        <v>3169</v>
      </c>
      <c r="C1404" s="31"/>
      <c r="D1404" s="36"/>
      <c r="E1404" s="10"/>
      <c r="F1404" s="36"/>
      <c r="G1404" s="11"/>
      <c r="H1404" s="34" t="str">
        <f>IFERROR(__xludf.DUMMYFUNCTION("LOWER(REGEXREPLACE(B1404&amp;"" ""&amp;C1404,""[^а-яa-z0-9 ]"","" ""))")," абинет самопознания ")</f>
        <v> абинет самопознания </v>
      </c>
    </row>
    <row r="1405">
      <c r="A1405" s="35" t="s">
        <v>3170</v>
      </c>
      <c r="B1405" s="31" t="s">
        <v>3171</v>
      </c>
      <c r="C1405" s="31"/>
      <c r="D1405" s="37" t="s">
        <v>14</v>
      </c>
      <c r="E1405" s="10"/>
      <c r="F1405" s="36"/>
      <c r="G1405" s="11"/>
      <c r="H1405" s="34" t="str">
        <f>IFERROR(__xludf.DUMMYFUNCTION("LOWER(REGEXREPLACE(B1405&amp;"" ""&amp;C1405,""[^а-яa-z0-9 ]"","" ""))")," тул полумягкий с пюпитром ")</f>
        <v> тул полумягкий с пюпитром </v>
      </c>
    </row>
    <row r="1406">
      <c r="A1406" s="35" t="s">
        <v>3172</v>
      </c>
      <c r="B1406" s="31" t="s">
        <v>3173</v>
      </c>
      <c r="C1406" s="31" t="s">
        <v>3174</v>
      </c>
      <c r="D1406" s="37" t="s">
        <v>14</v>
      </c>
      <c r="E1406" s="10"/>
      <c r="F1406" s="36"/>
      <c r="G1406" s="11">
        <v>20271.0</v>
      </c>
      <c r="H1406" s="34" t="str">
        <f>IFERROR(__xludf.DUMMYFUNCTION("LOWER(REGEXREPLACE(B1406&amp;"" ""&amp;C1406,""[^а-яa-z0-9 ]"","" ""))"),"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f>
        <v>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v>
      </c>
    </row>
    <row r="1407">
      <c r="A1407" s="35" t="s">
        <v>3175</v>
      </c>
      <c r="B1407" s="31" t="s">
        <v>3176</v>
      </c>
      <c r="C1407" s="31" t="s">
        <v>3177</v>
      </c>
      <c r="D1407" s="37" t="s">
        <v>14</v>
      </c>
      <c r="E1407" s="38">
        <v>2.0</v>
      </c>
      <c r="F1407" s="38">
        <v>8.0</v>
      </c>
      <c r="G1407" s="11">
        <v>24181.0</v>
      </c>
      <c r="H1407" s="34" t="str">
        <f>IFERROR(__xludf.DUMMYFUNCTION("LOWER(REGEXREPLACE(B1407&amp;"" ""&amp;C1407,""[^а-яa-z0-9 ]"","" ""))"),"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f>
        <v>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v>
      </c>
    </row>
    <row r="1408">
      <c r="A1408" s="35" t="s">
        <v>3178</v>
      </c>
      <c r="B1408" s="31" t="s">
        <v>3179</v>
      </c>
      <c r="C1408" s="31"/>
      <c r="D1408" s="36"/>
      <c r="E1408" s="10"/>
      <c r="F1408" s="36"/>
      <c r="G1408" s="11"/>
      <c r="H1408" s="34" t="str">
        <f>IFERROR(__xludf.DUMMYFUNCTION("LOWER(REGEXREPLACE(B1408&amp;"" ""&amp;C1408,""[^а-яa-z0-9 ]"","" ""))")," абинет изобразительного искусства и черчения ")</f>
        <v> абинет изобразительного искусства и черчения </v>
      </c>
    </row>
    <row r="1409">
      <c r="A1409" s="35" t="s">
        <v>3180</v>
      </c>
      <c r="B1409" s="31" t="s">
        <v>3181</v>
      </c>
      <c r="C1409" s="31"/>
      <c r="D1409" s="37" t="s">
        <v>14</v>
      </c>
      <c r="E1409" s="10"/>
      <c r="F1409" s="36"/>
      <c r="G1409" s="11"/>
      <c r="H1409" s="34" t="str">
        <f>IFERROR(__xludf.DUMMYFUNCTION("LOWER(REGEXREPLACE(B1409&amp;"" ""&amp;C1409,""[^а-яa-z0-9 ]"","" ""))")," умбочка ")</f>
        <v> умбочка </v>
      </c>
    </row>
    <row r="1410">
      <c r="A1410" s="35" t="s">
        <v>3182</v>
      </c>
      <c r="B1410" s="31" t="s">
        <v>3183</v>
      </c>
      <c r="C1410" s="31" t="s">
        <v>3184</v>
      </c>
      <c r="D1410" s="37" t="s">
        <v>14</v>
      </c>
      <c r="E1410" s="38">
        <v>2.0</v>
      </c>
      <c r="F1410" s="38">
        <v>20.0</v>
      </c>
      <c r="G1410" s="11">
        <v>27355.0</v>
      </c>
      <c r="H1410" s="34" t="str">
        <f>IFERROR(__xludf.DUMMYFUNCTION("LOWER(REGEXREPLACE(B1410&amp;"" ""&amp;C1410,""[^а-яa-z0-9 ]"","" ""))")," умба  размеры не менее 416х416х625мм  азмеры не менее 416х416х625 мм   атериал       толщиной не менее 16 мм   меет выдвижные и секционные ящики ")</f>
        <v> умба  размеры не менее 416х416х625мм  азмеры не менее 416х416х625 мм   атериал       толщиной не менее 16 мм   меет выдвижные и секционные ящики </v>
      </c>
    </row>
    <row r="1411">
      <c r="A1411" s="35" t="s">
        <v>3185</v>
      </c>
      <c r="B1411" s="31" t="s">
        <v>3186</v>
      </c>
      <c r="C1411" s="31"/>
      <c r="D1411" s="37" t="s">
        <v>14</v>
      </c>
      <c r="E1411" s="10"/>
      <c r="F1411" s="36"/>
      <c r="G1411" s="11">
        <v>1380.0</v>
      </c>
      <c r="H1411" s="34" t="str">
        <f>IFERROR(__xludf.DUMMYFUNCTION("LOWER(REGEXREPLACE(B1411&amp;"" ""&amp;C1411,""[^а-яa-z0-9 ]"","" ""))")," ейсшина ")</f>
        <v> ейсшина </v>
      </c>
    </row>
    <row r="1412">
      <c r="A1412" s="35" t="s">
        <v>3187</v>
      </c>
      <c r="B1412" s="31" t="s">
        <v>3188</v>
      </c>
      <c r="C1412" s="31"/>
      <c r="D1412" s="37" t="s">
        <v>14</v>
      </c>
      <c r="E1412" s="10"/>
      <c r="F1412" s="36"/>
      <c r="G1412" s="11">
        <v>4938.0</v>
      </c>
      <c r="H1412" s="34" t="str">
        <f>IFERROR(__xludf.DUMMYFUNCTION("LOWER(REGEXREPLACE(B1412&amp;"" ""&amp;C1412,""[^а-яa-z0-9 ]"","" ""))")," ольберт в комплекте с доской и чехлом ")</f>
        <v> ольберт в комплекте с доской и чехлом </v>
      </c>
    </row>
    <row r="1413">
      <c r="A1413" s="35" t="s">
        <v>3189</v>
      </c>
      <c r="B1413" s="31" t="s">
        <v>3190</v>
      </c>
      <c r="C1413" s="31"/>
      <c r="D1413" s="37" t="s">
        <v>68</v>
      </c>
      <c r="E1413" s="10"/>
      <c r="F1413" s="36"/>
      <c r="G1413" s="11">
        <v>93571.0</v>
      </c>
      <c r="H1413" s="34" t="str">
        <f>IFERROR(__xludf.DUMMYFUNCTION("LOWER(REGEXREPLACE(B1413&amp;"" ""&amp;C1413,""[^а-яa-z0-9 ]"","" ""))")," абор изделий декоративно прикладного искусства и народных промыслов ")</f>
        <v> абор изделий декоративно прикладного искусства и народных промыслов </v>
      </c>
    </row>
    <row r="1414">
      <c r="A1414" s="35" t="s">
        <v>3191</v>
      </c>
      <c r="B1414" s="31" t="s">
        <v>3192</v>
      </c>
      <c r="C1414" s="31"/>
      <c r="D1414" s="37" t="s">
        <v>68</v>
      </c>
      <c r="E1414" s="10"/>
      <c r="F1414" s="36"/>
      <c r="G1414" s="11">
        <v>10982.0</v>
      </c>
      <c r="H1414" s="34" t="str">
        <f>IFERROR(__xludf.DUMMYFUNCTION("LOWER(REGEXREPLACE(B1414&amp;"" ""&amp;C1414,""[^а-яa-z0-9 ]"","" ""))")," абор драпировки ")</f>
        <v> абор драпировки </v>
      </c>
    </row>
    <row r="1415">
      <c r="A1415" s="35" t="s">
        <v>3193</v>
      </c>
      <c r="B1415" s="31" t="s">
        <v>3194</v>
      </c>
      <c r="C1415" s="31"/>
      <c r="D1415" s="36"/>
      <c r="E1415" s="10"/>
      <c r="F1415" s="36"/>
      <c r="G1415" s="11"/>
      <c r="H1415" s="34" t="str">
        <f>IFERROR(__xludf.DUMMYFUNCTION("LOWER(REGEXREPLACE(B1415&amp;"" ""&amp;C1415,""[^а-яa-z0-9 ]"","" ""))")," ехнология обработки древесины  металла и художественной обработки материалов ")</f>
        <v> ехнология обработки древесины  металла и художественной обработки материалов </v>
      </c>
    </row>
    <row r="1416">
      <c r="A1416" s="35" t="s">
        <v>3195</v>
      </c>
      <c r="B1416" s="31" t="s">
        <v>3196</v>
      </c>
      <c r="C1416" s="31"/>
      <c r="D1416" s="37" t="s">
        <v>14</v>
      </c>
      <c r="E1416" s="10"/>
      <c r="F1416" s="36"/>
      <c r="G1416" s="11"/>
      <c r="H1416" s="34" t="str">
        <f>IFERROR(__xludf.DUMMYFUNCTION("LOWER(REGEXREPLACE(B1416&amp;"" ""&amp;C1416,""[^а-яa-z0-9 ]"","" ""))")," ерстак универсальный ученический ")</f>
        <v> ерстак универсальный ученический </v>
      </c>
    </row>
    <row r="1417">
      <c r="A1417" s="35" t="s">
        <v>3197</v>
      </c>
      <c r="B1417" s="31" t="s">
        <v>3198</v>
      </c>
      <c r="C1417" s="31"/>
      <c r="D1417" s="37" t="s">
        <v>14</v>
      </c>
      <c r="E1417" s="10"/>
      <c r="F1417" s="36"/>
      <c r="G1417" s="11">
        <v>140632.0</v>
      </c>
      <c r="H1417" s="34" t="str">
        <f>IFERROR(__xludf.DUMMYFUNCTION("LOWER(REGEXREPLACE(B1417&amp;"" ""&amp;C1417,""[^а-яa-z0-9 ]"","" ""))")," тол верстак однотумбовый  дверь полки  без надстройки 1500 700 950 ")</f>
        <v> тол верстак однотумбовый  дверь полки  без надстройки 1500 700 950 </v>
      </c>
    </row>
    <row r="1418">
      <c r="A1418" s="35" t="s">
        <v>3199</v>
      </c>
      <c r="B1418" s="31" t="s">
        <v>3200</v>
      </c>
      <c r="C1418" s="31"/>
      <c r="D1418" s="37" t="s">
        <v>14</v>
      </c>
      <c r="E1418" s="10"/>
      <c r="F1418" s="36"/>
      <c r="G1418" s="11">
        <v>165153.0</v>
      </c>
      <c r="H1418" s="34" t="str">
        <f>IFERROR(__xludf.DUMMYFUNCTION("LOWER(REGEXREPLACE(B1418&amp;"" ""&amp;C1418,""[^а-яa-z0-9 ]"","" ""))")," тол верстак однотумбовый  дверь полки  с надстройкой 1500 700 950 1610 ")</f>
        <v> тол верстак однотумбовый  дверь полки  с надстройкой 1500 700 950 1610 </v>
      </c>
    </row>
    <row r="1419">
      <c r="A1419" s="35" t="s">
        <v>3201</v>
      </c>
      <c r="B1419" s="31" t="s">
        <v>3202</v>
      </c>
      <c r="C1419" s="31"/>
      <c r="D1419" s="37" t="s">
        <v>14</v>
      </c>
      <c r="E1419" s="10"/>
      <c r="F1419" s="36"/>
      <c r="G1419" s="11">
        <v>180180.0</v>
      </c>
      <c r="H1419" s="34" t="str">
        <f>IFERROR(__xludf.DUMMYFUNCTION("LOWER(REGEXREPLACE(B1419&amp;"" ""&amp;C1419,""[^а-яa-z0-9 ]"","" ""))")," тол верстак однотумбовый  ящики  без надстройки 1500 700 950 ")</f>
        <v> тол верстак однотумбовый  ящики  без надстройки 1500 700 950 </v>
      </c>
    </row>
    <row r="1420">
      <c r="A1420" s="35" t="s">
        <v>3203</v>
      </c>
      <c r="B1420" s="31" t="s">
        <v>3204</v>
      </c>
      <c r="C1420" s="31" t="s">
        <v>3204</v>
      </c>
      <c r="D1420" s="37" t="s">
        <v>14</v>
      </c>
      <c r="E1420" s="10"/>
      <c r="F1420" s="36"/>
      <c r="G1420" s="11">
        <v>163940.0</v>
      </c>
      <c r="H1420" s="34" t="str">
        <f>IFERROR(__xludf.DUMMYFUNCTION("LOWER(REGEXREPLACE(B1420&amp;"" ""&amp;C1420,""[^а-яa-z0-9 ]"","" ""))")," ерстак инструментальный     1     азмер 1200х600х860мм   ерстак инструментальный     1     азмер 1200х600х860мм ")</f>
        <v> ерстак инструментальный     1     азмер 1200х600х860мм   ерстак инструментальный     1     азмер 1200х600х860мм </v>
      </c>
    </row>
    <row r="1421">
      <c r="A1421" s="35" t="s">
        <v>3205</v>
      </c>
      <c r="B1421" s="31" t="s">
        <v>3206</v>
      </c>
      <c r="C1421" s="31" t="s">
        <v>3207</v>
      </c>
      <c r="D1421" s="37" t="s">
        <v>14</v>
      </c>
      <c r="E1421" s="10"/>
      <c r="F1421" s="36"/>
      <c r="G1421" s="11">
        <v>182258.0</v>
      </c>
      <c r="H1421" s="34" t="str">
        <f>IFERROR(__xludf.DUMMYFUNCTION("LOWER(REGEXREPLACE(B1421&amp;"" ""&amp;C1421,""[^а-яa-z0-9 ]"","" ""))")," ерстак инструментальный     1       умба с дверцей и перфопанель   азмер 1200х600х1310мм   ерстак инструментальный     1       умба с дверцей и перфопанель   азмер 1200х600х1310мм ")</f>
        <v> ерстак инструментальный     1       умба с дверцей и перфопанель   азмер 1200х600х1310мм   ерстак инструментальный     1       умба с дверцей и перфопанель   азмер 1200х600х1310мм </v>
      </c>
    </row>
    <row r="1422">
      <c r="A1422" s="35" t="s">
        <v>3208</v>
      </c>
      <c r="B1422" s="31" t="s">
        <v>3209</v>
      </c>
      <c r="C1422" s="31" t="s">
        <v>3210</v>
      </c>
      <c r="D1422" s="37" t="s">
        <v>14</v>
      </c>
      <c r="E1422" s="10"/>
      <c r="F1422" s="36"/>
      <c r="G1422" s="11">
        <v>179057.0</v>
      </c>
      <c r="H1422" s="34" t="str">
        <f>IFERROR(__xludf.DUMMYFUNCTION("LOWER(REGEXREPLACE(B1422&amp;"" ""&amp;C1422,""[^а-яa-z0-9 ]"","" ""))")," ерстак  rofi   201    120   1  1 000  ерстак  rofi   201    120   1  1 000   умба и полка   азмер 866х1200х700мм ")</f>
        <v> ерстак  rofi   201    120   1  1 000  ерстак  rofi   201    120   1  1 000   умба и полка   азмер 866х1200х700мм </v>
      </c>
    </row>
    <row r="1423">
      <c r="A1423" s="35" t="s">
        <v>3211</v>
      </c>
      <c r="B1423" s="31" t="s">
        <v>3212</v>
      </c>
      <c r="C1423" s="31"/>
      <c r="D1423" s="37" t="s">
        <v>14</v>
      </c>
      <c r="E1423" s="10"/>
      <c r="F1423" s="36"/>
      <c r="G1423" s="11">
        <v>146893.0</v>
      </c>
      <c r="H1423" s="34" t="str">
        <f>IFERROR(__xludf.DUMMYFUNCTION("LOWER(REGEXREPLACE(B1423&amp;"" ""&amp;C1423,""[^а-яa-z0-9 ]"","" ""))")," ерстак  rofi   108    100  1  1 000 ")</f>
        <v> ерстак  rofi   108    100  1  1 000 </v>
      </c>
    </row>
    <row r="1424">
      <c r="A1424" s="35" t="s">
        <v>3213</v>
      </c>
      <c r="B1424" s="31" t="s">
        <v>3214</v>
      </c>
      <c r="C1424" s="31"/>
      <c r="D1424" s="37" t="s">
        <v>14</v>
      </c>
      <c r="E1424" s="10"/>
      <c r="F1424" s="36"/>
      <c r="G1424" s="11">
        <v>166509.0</v>
      </c>
      <c r="H1424" s="34" t="str">
        <f>IFERROR(__xludf.DUMMYFUNCTION("LOWER(REGEXREPLACE(B1424&amp;"" ""&amp;C1424,""[^а-яa-z0-9 ]"","" ""))")," ерстак бестумбовый с подвесными ящиками     ")</f>
        <v> ерстак бестумбовый с подвесными ящиками     </v>
      </c>
    </row>
    <row r="1425">
      <c r="A1425" s="35" t="s">
        <v>3215</v>
      </c>
      <c r="B1425" s="31" t="s">
        <v>3216</v>
      </c>
      <c r="C1425" s="31"/>
      <c r="D1425" s="37" t="s">
        <v>14</v>
      </c>
      <c r="E1425" s="10"/>
      <c r="F1425" s="36"/>
      <c r="G1425" s="11">
        <v>141982.0</v>
      </c>
      <c r="H1425" s="34" t="str">
        <f>IFERROR(__xludf.DUMMYFUNCTION("LOWER(REGEXREPLACE(B1425&amp;"" ""&amp;C1425,""[^а-яa-z0-9 ]"","" ""))")," ерстак    1 ")</f>
        <v> ерстак    1 </v>
      </c>
    </row>
    <row r="1426">
      <c r="A1426" s="35" t="s">
        <v>3217</v>
      </c>
      <c r="B1426" s="31" t="s">
        <v>3218</v>
      </c>
      <c r="C1426" s="31" t="s">
        <v>3218</v>
      </c>
      <c r="D1426" s="37" t="s">
        <v>14</v>
      </c>
      <c r="E1426" s="10"/>
      <c r="F1426" s="36"/>
      <c r="G1426" s="11">
        <v>147843.0</v>
      </c>
      <c r="H1426" s="34" t="str">
        <f>IFERROR(__xludf.DUMMYFUNCTION("LOWER(REGEXREPLACE(B1426&amp;"" ""&amp;C1426,""[^а-яa-z0-9 ]"","" ""))")," ерстак однотумбовый  тумба с дверцей    2   азмер 1200х685х860мм   ерстак однотумбовый  тумба с дверцей    2   азмер 1200х685х860мм ")</f>
        <v> ерстак однотумбовый  тумба с дверцей    2   азмер 1200х685х860мм   ерстак однотумбовый  тумба с дверцей    2   азмер 1200х685х860мм </v>
      </c>
    </row>
    <row r="1427">
      <c r="A1427" s="35" t="s">
        <v>3219</v>
      </c>
      <c r="B1427" s="31" t="s">
        <v>3220</v>
      </c>
      <c r="C1427" s="31" t="s">
        <v>3220</v>
      </c>
      <c r="D1427" s="37" t="s">
        <v>14</v>
      </c>
      <c r="E1427" s="10"/>
      <c r="F1427" s="36"/>
      <c r="G1427" s="11">
        <v>206116.0</v>
      </c>
      <c r="H1427" s="34" t="str">
        <f>IFERROR(__xludf.DUMMYFUNCTION("LOWER(REGEXREPLACE(B1427&amp;"" ""&amp;C1427,""[^а-яa-z0-9 ]"","" ""))")," ерстак однотумбовый  тумба с ящиками    3   азмер 1200х685х860мм   ерстак однотумбовый  тумба с ящиками    3   азмер 1200х685х860мм ")</f>
        <v> ерстак однотумбовый  тумба с ящиками    3   азмер 1200х685х860мм   ерстак однотумбовый  тумба с ящиками    3   азмер 1200х685х860мм </v>
      </c>
    </row>
    <row r="1428">
      <c r="A1428" s="35" t="s">
        <v>3221</v>
      </c>
      <c r="B1428" s="31" t="s">
        <v>3222</v>
      </c>
      <c r="C1428" s="31" t="s">
        <v>3222</v>
      </c>
      <c r="D1428" s="37" t="s">
        <v>14</v>
      </c>
      <c r="E1428" s="10"/>
      <c r="F1428" s="36"/>
      <c r="G1428" s="11">
        <v>275928.0</v>
      </c>
      <c r="H1428" s="34" t="str">
        <f>IFERROR(__xludf.DUMMYFUNCTION("LOWER(REGEXREPLACE(B1428&amp;"" ""&amp;C1428,""[^а-яa-z0-9 ]"","" ""))")," ерстак двухтумбовый  тумба с дверцей и тумба с 5 ящиками    4   азмер 1600х685х860мм   ерстак двухтумбовый  тумба с дверцей и тумба с 5 ящиками    4   азмер 1600х685х860мм ")</f>
        <v> ерстак двухтумбовый  тумба с дверцей и тумба с 5 ящиками    4   азмер 1600х685х860мм   ерстак двухтумбовый  тумба с дверцей и тумба с 5 ящиками    4   азмер 1600х685х860мм </v>
      </c>
    </row>
    <row r="1429">
      <c r="A1429" s="35" t="s">
        <v>3223</v>
      </c>
      <c r="B1429" s="31" t="s">
        <v>3224</v>
      </c>
      <c r="C1429" s="31" t="s">
        <v>3224</v>
      </c>
      <c r="D1429" s="37" t="s">
        <v>14</v>
      </c>
      <c r="E1429" s="10"/>
      <c r="F1429" s="36"/>
      <c r="G1429" s="11">
        <v>217699.0</v>
      </c>
      <c r="H1429" s="34" t="str">
        <f>IFERROR(__xludf.DUMMYFUNCTION("LOWER(REGEXREPLACE(B1429&amp;"" ""&amp;C1429,""[^а-яa-z0-9 ]"","" ""))")," ерстак двухтумбовый  две тумбы с дверцами    5   азмер 1600х685х860мм   ерстак двухтумбовый  две тумбы с дверцами    5   азмер 1600х685х860мм ")</f>
        <v> ерстак двухтумбовый  две тумбы с дверцами    5   азмер 1600х685х860мм   ерстак двухтумбовый  две тумбы с дверцами    5   азмер 1600х685х860мм </v>
      </c>
    </row>
    <row r="1430">
      <c r="A1430" s="35" t="s">
        <v>3225</v>
      </c>
      <c r="B1430" s="31" t="s">
        <v>3226</v>
      </c>
      <c r="C1430" s="31" t="s">
        <v>3226</v>
      </c>
      <c r="D1430" s="37" t="s">
        <v>14</v>
      </c>
      <c r="E1430" s="10"/>
      <c r="F1430" s="36"/>
      <c r="G1430" s="11">
        <v>334202.0</v>
      </c>
      <c r="H1430" s="34" t="str">
        <f>IFERROR(__xludf.DUMMYFUNCTION("LOWER(REGEXREPLACE(B1430&amp;"" ""&amp;C1430,""[^а-яa-z0-9 ]"","" ""))")," ерстак двухтумбовый  две тумбы с ящиками    6 1 6   азмер 1600х685х860мм   ерстак двухтумбовый  две тумбы с ящиками    6 1 6   азмер 1600х685х860мм ")</f>
        <v> ерстак двухтумбовый  две тумбы с ящиками    6 1 6   азмер 1600х685х860мм   ерстак двухтумбовый  две тумбы с ящиками    6 1 6   азмер 1600х685х860мм </v>
      </c>
    </row>
    <row r="1431">
      <c r="A1431" s="35" t="s">
        <v>3227</v>
      </c>
      <c r="B1431" s="31" t="s">
        <v>3228</v>
      </c>
      <c r="C1431" s="31"/>
      <c r="D1431" s="37" t="s">
        <v>14</v>
      </c>
      <c r="E1431" s="10"/>
      <c r="F1431" s="36"/>
      <c r="G1431" s="11">
        <v>131929.0</v>
      </c>
      <c r="H1431" s="34" t="str">
        <f>IFERROR(__xludf.DUMMYFUNCTION("LOWER(REGEXREPLACE(B1431&amp;"" ""&amp;C1431,""[^а-яa-z0-9 ]"","" ""))")," ерстак  тол    1 ")</f>
        <v> ерстак  тол    1 </v>
      </c>
    </row>
    <row r="1432">
      <c r="A1432" s="35" t="s">
        <v>3229</v>
      </c>
      <c r="B1432" s="31" t="s">
        <v>3230</v>
      </c>
      <c r="C1432" s="31"/>
      <c r="D1432" s="37" t="s">
        <v>14</v>
      </c>
      <c r="E1432" s="10"/>
      <c r="F1432" s="36"/>
      <c r="G1432" s="11">
        <v>304813.0</v>
      </c>
      <c r="H1432" s="34" t="str">
        <f>IFERROR(__xludf.DUMMYFUNCTION("LOWER(REGEXREPLACE(B1432&amp;"" ""&amp;C1432,""[^а-яa-z0-9 ]"","" ""))")," ерстак с драйвером    1 2 ")</f>
        <v> ерстак с драйвером    1 2 </v>
      </c>
    </row>
    <row r="1433">
      <c r="A1433" s="35" t="s">
        <v>3231</v>
      </c>
      <c r="B1433" s="31" t="s">
        <v>3232</v>
      </c>
      <c r="C1433" s="31"/>
      <c r="D1433" s="37" t="s">
        <v>14</v>
      </c>
      <c r="E1433" s="10"/>
      <c r="F1433" s="36"/>
      <c r="G1433" s="11">
        <v>211884.0</v>
      </c>
      <c r="H1433" s="34" t="str">
        <f>IFERROR(__xludf.DUMMYFUNCTION("LOWER(REGEXREPLACE(B1433&amp;"" ""&amp;C1433,""[^а-яa-z0-9 ]"","" ""))")," ерстак с тумбой    1 2 ")</f>
        <v> ерстак с тумбой    1 2 </v>
      </c>
    </row>
    <row r="1434">
      <c r="A1434" s="35" t="s">
        <v>3233</v>
      </c>
      <c r="B1434" s="31" t="s">
        <v>3234</v>
      </c>
      <c r="C1434" s="31"/>
      <c r="D1434" s="37" t="s">
        <v>14</v>
      </c>
      <c r="E1434" s="10"/>
      <c r="F1434" s="36"/>
      <c r="G1434" s="11">
        <v>420205.0</v>
      </c>
      <c r="H1434" s="34" t="str">
        <f>IFERROR(__xludf.DUMMYFUNCTION("LOWER(REGEXREPLACE(B1434&amp;"" ""&amp;C1434,""[^а-яa-z0-9 ]"","" ""))")," ерстак с драйвером и тумбой     1 6 ")</f>
        <v> ерстак с драйвером и тумбой     1 6 </v>
      </c>
    </row>
    <row r="1435">
      <c r="A1435" s="35" t="s">
        <v>3235</v>
      </c>
      <c r="B1435" s="31" t="s">
        <v>3236</v>
      </c>
      <c r="C1435" s="31"/>
      <c r="D1435" s="37" t="s">
        <v>14</v>
      </c>
      <c r="E1435" s="10"/>
      <c r="F1435" s="36"/>
      <c r="G1435" s="11">
        <v>327277.0</v>
      </c>
      <c r="H1435" s="34" t="str">
        <f>IFERROR(__xludf.DUMMYFUNCTION("LOWER(REGEXREPLACE(B1435&amp;"" ""&amp;C1435,""[^а-яa-z0-9 ]"","" ""))")," ерстак с двумя  умбами   2 1 6 ")</f>
        <v> ерстак с двумя  умбами   2 1 6 </v>
      </c>
    </row>
    <row r="1436">
      <c r="A1436" s="35" t="s">
        <v>3237</v>
      </c>
      <c r="B1436" s="31" t="s">
        <v>3238</v>
      </c>
      <c r="C1436" s="31"/>
      <c r="D1436" s="37" t="s">
        <v>14</v>
      </c>
      <c r="E1436" s="10"/>
      <c r="F1436" s="36"/>
      <c r="G1436" s="11">
        <v>513134.0</v>
      </c>
      <c r="H1436" s="34" t="str">
        <f>IFERROR(__xludf.DUMMYFUNCTION("LOWER(REGEXREPLACE(B1436&amp;"" ""&amp;C1436,""[^а-яa-z0-9 ]"","" ""))")," ерстак с двумя драйверами   2 1 6 ")</f>
        <v> ерстак с двумя драйверами   2 1 6 </v>
      </c>
    </row>
    <row r="1437">
      <c r="A1437" s="35" t="s">
        <v>3239</v>
      </c>
      <c r="B1437" s="31" t="s">
        <v>3240</v>
      </c>
      <c r="C1437" s="31" t="s">
        <v>3240</v>
      </c>
      <c r="D1437" s="37" t="s">
        <v>14</v>
      </c>
      <c r="E1437" s="10"/>
      <c r="F1437" s="36"/>
      <c r="G1437" s="11">
        <v>242214.0</v>
      </c>
      <c r="H1437" s="34" t="str">
        <f>IFERROR(__xludf.DUMMYFUNCTION("LOWER(REGEXREPLACE(B1437&amp;"" ""&amp;C1437,""[^а-яa-z0-9 ]"","" ""))")," ерстак инструментальный     1     умба с ящиками   азмер 1200х600х860мм   ерстак инструментальный     1     умба с ящиками   азмер 1200х600х860мм ")</f>
        <v> ерстак инструментальный     1     умба с ящиками   азмер 1200х600х860мм   ерстак инструментальный     1     умба с ящиками   азмер 1200х600х860мм </v>
      </c>
    </row>
    <row r="1438">
      <c r="A1438" s="35" t="s">
        <v>3241</v>
      </c>
      <c r="B1438" s="31" t="s">
        <v>3242</v>
      </c>
      <c r="C1438" s="31" t="s">
        <v>3242</v>
      </c>
      <c r="D1438" s="37" t="s">
        <v>14</v>
      </c>
      <c r="E1438" s="10"/>
      <c r="F1438" s="36"/>
      <c r="G1438" s="11">
        <v>210963.0</v>
      </c>
      <c r="H1438" s="34" t="str">
        <f>IFERROR(__xludf.DUMMYFUNCTION("LOWER(REGEXREPLACE(B1438&amp;"" ""&amp;C1438,""[^а-яa-z0-9 ]"","" ""))")," ерстак инструментальный     1      азмер 1200х600х860мм   ерстак инструментальный     1      азмер 1200х600х860мм ")</f>
        <v> ерстак инструментальный     1      азмер 1200х600х860мм   ерстак инструментальный     1      азмер 1200х600х860мм </v>
      </c>
    </row>
    <row r="1439">
      <c r="A1439" s="35" t="s">
        <v>3243</v>
      </c>
      <c r="B1439" s="31" t="s">
        <v>3244</v>
      </c>
      <c r="C1439" s="31" t="s">
        <v>3245</v>
      </c>
      <c r="D1439" s="37" t="s">
        <v>14</v>
      </c>
      <c r="E1439" s="10"/>
      <c r="F1439" s="36"/>
      <c r="G1439" s="11">
        <v>289273.0</v>
      </c>
      <c r="H1439" s="34" t="str">
        <f>IFERROR(__xludf.DUMMYFUNCTION("LOWER(REGEXREPLACE(B1439&amp;"" ""&amp;C1439,""[^а-яa-z0-9 ]"","" ""))")," ерстак инструментальный     1      умба с дверцей и тумба с ящиками   азмер 1200х600х860мм   ерстак инструментальный     1      умба с дверцей и тумба с ящиками   азмер 1200х600х860мм ")</f>
        <v> ерстак инструментальный     1      умба с дверцей и тумба с ящиками   азмер 1200х600х860мм   ерстак инструментальный     1      умба с дверцей и тумба с ящиками   азмер 1200х600х860мм </v>
      </c>
    </row>
    <row r="1440">
      <c r="A1440" s="35" t="s">
        <v>3246</v>
      </c>
      <c r="B1440" s="31" t="s">
        <v>3247</v>
      </c>
      <c r="C1440" s="31" t="s">
        <v>3248</v>
      </c>
      <c r="D1440" s="37" t="s">
        <v>14</v>
      </c>
      <c r="E1440" s="10"/>
      <c r="F1440" s="36"/>
      <c r="G1440" s="11">
        <v>260559.0</v>
      </c>
      <c r="H1440" s="34" t="str">
        <f>IFERROR(__xludf.DUMMYFUNCTION("LOWER(REGEXREPLACE(B1440&amp;"" ""&amp;C1440,""[^а-яa-z0-9 ]"","" ""))")," ерстак инструментальный     1       ерфопанель и тумба с ящиками   азмер 1200х600х1310мм   ерстак инструментальный     1       ерфопанель и тумба с ящиками   азмер 1200х600х1310мм ")</f>
        <v> ерстак инструментальный     1       ерфопанель и тумба с ящиками   азмер 1200х600х1310мм   ерстак инструментальный     1       ерфопанель и тумба с ящиками   азмер 1200х600х1310мм </v>
      </c>
    </row>
    <row r="1441">
      <c r="A1441" s="35" t="s">
        <v>3249</v>
      </c>
      <c r="B1441" s="31" t="s">
        <v>3250</v>
      </c>
      <c r="C1441" s="31" t="s">
        <v>3250</v>
      </c>
      <c r="D1441" s="37" t="s">
        <v>14</v>
      </c>
      <c r="E1441" s="10"/>
      <c r="F1441" s="36"/>
      <c r="G1441" s="11">
        <v>307763.0</v>
      </c>
      <c r="H1441" s="34" t="str">
        <f>IFERROR(__xludf.DUMMYFUNCTION("LOWER(REGEXREPLACE(B1441&amp;"" ""&amp;C1441,""[^а-яa-z0-9 ]"","" ""))"),"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f>
        <v>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v>
      </c>
    </row>
    <row r="1442">
      <c r="A1442" s="35" t="s">
        <v>3251</v>
      </c>
      <c r="B1442" s="31" t="s">
        <v>3252</v>
      </c>
      <c r="C1442" s="31" t="s">
        <v>3252</v>
      </c>
      <c r="D1442" s="37" t="s">
        <v>14</v>
      </c>
      <c r="E1442" s="10"/>
      <c r="F1442" s="36"/>
      <c r="G1442" s="11">
        <v>229309.0</v>
      </c>
      <c r="H1442" s="34" t="str">
        <f>IFERROR(__xludf.DUMMYFUNCTION("LOWER(REGEXREPLACE(B1442&amp;"" ""&amp;C1442,""[^а-яa-z0-9 ]"","" ""))")," ерстак инструментальный     1       2 тумбы и перфопанель   азмер 1200х600х1310мм   ерстак инструментальный     1       2 тумбы и перфопанель   азмер 1200х600х1310мм ")</f>
        <v> ерстак инструментальный     1       2 тумбы и перфопанель   азмер 1200х600х1310мм   ерстак инструментальный     1       2 тумбы и перфопанель   азмер 1200х600х1310мм </v>
      </c>
    </row>
    <row r="1443">
      <c r="A1443" s="35" t="s">
        <v>3253</v>
      </c>
      <c r="B1443" s="31" t="s">
        <v>3254</v>
      </c>
      <c r="C1443" s="31" t="s">
        <v>3254</v>
      </c>
      <c r="D1443" s="37" t="s">
        <v>14</v>
      </c>
      <c r="E1443" s="10"/>
      <c r="F1443" s="36"/>
      <c r="G1443" s="11">
        <v>263428.0</v>
      </c>
      <c r="H1443" s="34" t="str">
        <f>IFERROR(__xludf.DUMMYFUNCTION("LOWER(REGEXREPLACE(B1443&amp;"" ""&amp;C1443,""[^а-яa-z0-9 ]"","" ""))")," ерстак инструментальный     2       2 тумбы и перфопанель   азмер 1600х600х1310мм   ерстак инструментальный     2       2 тумбы и перфопанель   азмер 1600х600х1310мм ")</f>
        <v> ерстак инструментальный     2       2 тумбы и перфопанель   азмер 1600х600х1310мм   ерстак инструментальный     2       2 тумбы и перфопанель   азмер 1600х600х1310мм </v>
      </c>
    </row>
    <row r="1444">
      <c r="A1444" s="35" t="s">
        <v>3255</v>
      </c>
      <c r="B1444" s="31" t="s">
        <v>3256</v>
      </c>
      <c r="C1444" s="31" t="s">
        <v>3256</v>
      </c>
      <c r="D1444" s="37" t="s">
        <v>14</v>
      </c>
      <c r="E1444" s="10"/>
      <c r="F1444" s="36"/>
      <c r="G1444" s="11">
        <v>317942.0</v>
      </c>
      <c r="H1444" s="34" t="str">
        <f>IFERROR(__xludf.DUMMYFUNCTION("LOWER(REGEXREPLACE(B1444&amp;"" ""&amp;C1444,""[^а-яa-z0-9 ]"","" ""))"),"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f>
        <v>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v>
      </c>
    </row>
    <row r="1445">
      <c r="A1445" s="35" t="s">
        <v>3257</v>
      </c>
      <c r="B1445" s="31" t="s">
        <v>3258</v>
      </c>
      <c r="C1445" s="31"/>
      <c r="D1445" s="37" t="s">
        <v>14</v>
      </c>
      <c r="E1445" s="10"/>
      <c r="F1445" s="36"/>
      <c r="G1445" s="11">
        <v>103348.0</v>
      </c>
      <c r="H1445" s="34" t="str">
        <f>IFERROR(__xludf.DUMMYFUNCTION("LOWER(REGEXREPLACE(B1445&amp;"" ""&amp;C1445,""[^а-яa-z0-9 ]"","" ""))")," ерстак со столешницей без накладки  aster   102  ")</f>
        <v> ерстак со столешницей без накладки  aster   102  </v>
      </c>
    </row>
    <row r="1446">
      <c r="A1446" s="35" t="s">
        <v>3259</v>
      </c>
      <c r="B1446" s="31" t="s">
        <v>3260</v>
      </c>
      <c r="C1446" s="31"/>
      <c r="D1446" s="37" t="s">
        <v>14</v>
      </c>
      <c r="E1446" s="10"/>
      <c r="F1446" s="36"/>
      <c r="G1446" s="11">
        <v>113259.0</v>
      </c>
      <c r="H1446" s="34" t="str">
        <f>IFERROR(__xludf.DUMMYFUNCTION("LOWER(REGEXREPLACE(B1446&amp;"" ""&amp;C1446,""[^а-яa-z0-9 ]"","" ""))")," ерстак со столешницей с накладкой  aster   101  ")</f>
        <v> ерстак со столешницей с накладкой  aster   101  </v>
      </c>
    </row>
    <row r="1447">
      <c r="A1447" s="35" t="s">
        <v>3261</v>
      </c>
      <c r="B1447" s="31" t="s">
        <v>3262</v>
      </c>
      <c r="C1447" s="31"/>
      <c r="D1447" s="37" t="s">
        <v>14</v>
      </c>
      <c r="E1447" s="10"/>
      <c r="F1447" s="36"/>
      <c r="G1447" s="11">
        <v>153170.0</v>
      </c>
      <c r="H1447" s="34" t="str">
        <f>IFERROR(__xludf.DUMMYFUNCTION("LOWER(REGEXREPLACE(B1447&amp;"" ""&amp;C1447,""[^а-яa-z0-9 ]"","" ""))")," ерстак с ящиком  aster   103  ")</f>
        <v> ерстак с ящиком  aster   103  </v>
      </c>
    </row>
    <row r="1448">
      <c r="A1448" s="35" t="s">
        <v>3263</v>
      </c>
      <c r="B1448" s="31" t="s">
        <v>3264</v>
      </c>
      <c r="C1448" s="31" t="s">
        <v>3265</v>
      </c>
      <c r="D1448" s="37" t="s">
        <v>14</v>
      </c>
      <c r="E1448" s="38">
        <v>2.0</v>
      </c>
      <c r="F1448" s="38">
        <v>34.0</v>
      </c>
      <c r="G1448" s="11">
        <v>169342.0</v>
      </c>
      <c r="H1448" s="34" t="str">
        <f>IFERROR(__xludf.DUMMYFUNCTION("LOWER(REGEXREPLACE(B1448&amp;"" ""&amp;C1448,""[^а-яa-z0-9 ]"","" ""))"),"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"&amp;"оснащен одним подвесным ящиком  который выдерживает нагрузку до 23 кг ")</f>
        <v>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оснащен одним подвесным ящиком  который выдерживает нагрузку до 23 кг </v>
      </c>
    </row>
    <row r="1449">
      <c r="A1449" s="35" t="s">
        <v>3266</v>
      </c>
      <c r="B1449" s="31" t="s">
        <v>3267</v>
      </c>
      <c r="C1449" s="31" t="s">
        <v>3268</v>
      </c>
      <c r="D1449" s="37" t="s">
        <v>14</v>
      </c>
      <c r="E1449" s="38">
        <v>2.0</v>
      </c>
      <c r="F1449" s="38">
        <v>150.0</v>
      </c>
      <c r="G1449" s="11">
        <v>792893.0</v>
      </c>
      <c r="H1449" s="34" t="str">
        <f>IFERROR(__xludf.DUMMYFUNCTION("LOWER(REGEXREPLACE(B1449&amp;"" ""&amp;C1449,""[^а-яa-z0-9 ]"","" ""))"),"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ерстак"&amp;" установлен на промышленных колесах  имеющих диаметр 45 мм и ширину колес 30 мм   онструкция является полностью разборной ")</f>
        <v>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 установлен на промышленных колесах  имеющих диаметр 45 мм и ширину колес 30 мм   онструкция является полностью разборной </v>
      </c>
    </row>
    <row r="1450">
      <c r="A1450" s="35" t="s">
        <v>3269</v>
      </c>
      <c r="B1450" s="31" t="s">
        <v>3270</v>
      </c>
      <c r="C1450" s="31" t="s">
        <v>3271</v>
      </c>
      <c r="D1450" s="37" t="s">
        <v>14</v>
      </c>
      <c r="E1450" s="38">
        <v>2.0</v>
      </c>
      <c r="F1450" s="38">
        <v>30.0</v>
      </c>
      <c r="G1450" s="11">
        <v>116883.0</v>
      </c>
      <c r="H1450" s="34" t="str">
        <f>IFERROR(__xludf.DUMMYFUNCTION("LOWER(REGEXREPLACE(B1450&amp;"" ""&amp;C1450,""[^а-яa-z0-9 ]"","" ""))"),"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"&amp;"деревянного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f>
        <v>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v>
      </c>
    </row>
    <row r="1451">
      <c r="A1451" s="35" t="s">
        <v>3272</v>
      </c>
      <c r="B1451" s="31" t="s">
        <v>3273</v>
      </c>
      <c r="C1451" s="31" t="s">
        <v>3274</v>
      </c>
      <c r="D1451" s="37" t="s">
        <v>14</v>
      </c>
      <c r="E1451" s="38">
        <v>2.0</v>
      </c>
      <c r="F1451" s="38">
        <v>21.0</v>
      </c>
      <c r="G1451" s="11">
        <v>162852.0</v>
      </c>
      <c r="H1451" s="34" t="str">
        <f>IFERROR(__xludf.DUMMYFUNCTION("LOWER(REGEXREPLACE(B1451&amp;"" ""&amp;C1451,""[^а-яa-z0-9 ]"","" ""))"),"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облицова"&amp;"нный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2">
      <c r="A1452" s="35" t="s">
        <v>3275</v>
      </c>
      <c r="B1452" s="31" t="s">
        <v>3276</v>
      </c>
      <c r="C1452" s="31" t="s">
        <v>3277</v>
      </c>
      <c r="D1452" s="37" t="s">
        <v>14</v>
      </c>
      <c r="E1452" s="38">
        <v>2.0</v>
      </c>
      <c r="F1452" s="38">
        <v>19.0</v>
      </c>
      <c r="G1452" s="11">
        <v>162845.0</v>
      </c>
      <c r="H1452" s="34" t="str">
        <f>IFERROR(__xludf.DUMMYFUNCTION("LOWER(REGEXREPLACE(B1452&amp;"" ""&amp;C1452,""[^а-яa-z0-9 ]"","" ""))"),"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ста"&amp;"льного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3">
      <c r="A1453" s="35" t="s">
        <v>3278</v>
      </c>
      <c r="B1453" s="31" t="s">
        <v>3279</v>
      </c>
      <c r="C1453" s="31" t="s">
        <v>3280</v>
      </c>
      <c r="D1453" s="37" t="s">
        <v>14</v>
      </c>
      <c r="E1453" s="38">
        <v>2.0</v>
      </c>
      <c r="F1453" s="38">
        <v>18.0</v>
      </c>
      <c r="G1453" s="11">
        <v>144405.0</v>
      </c>
      <c r="H1453" s="34" t="str">
        <f>IFERROR(__xludf.DUMMYFUNCTION("LOWER(REGEXREPLACE(B1453&amp;"" ""&amp;C1453,""[^а-яa-z0-9 ]"","" ""))"),"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нижн"&amp;"ей части предусмотрена полка  фанера толщиной не более 12 мм    урнитура  уголок  шурупы ")</f>
        <v>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4">
      <c r="A1454" s="35" t="s">
        <v>3281</v>
      </c>
      <c r="B1454" s="31" t="s">
        <v>3282</v>
      </c>
      <c r="C1454" s="31"/>
      <c r="D1454" s="37" t="s">
        <v>14</v>
      </c>
      <c r="E1454" s="10"/>
      <c r="F1454" s="36"/>
      <c r="G1454" s="11"/>
      <c r="H1454" s="34" t="str">
        <f>IFERROR(__xludf.DUMMYFUNCTION("LOWER(REGEXREPLACE(B1454&amp;"" ""&amp;C1454,""[^а-яa-z0-9 ]"","" ""))")," каф инструментальный ")</f>
        <v> каф инструментальный </v>
      </c>
    </row>
    <row r="1455">
      <c r="A1455" s="35" t="s">
        <v>3283</v>
      </c>
      <c r="B1455" s="31" t="s">
        <v>3284</v>
      </c>
      <c r="C1455" s="31" t="s">
        <v>3285</v>
      </c>
      <c r="D1455" s="37" t="s">
        <v>14</v>
      </c>
      <c r="E1455" s="38">
        <v>2.0</v>
      </c>
      <c r="F1455" s="38">
        <v>120.0</v>
      </c>
      <c r="G1455" s="11">
        <v>2408443.0</v>
      </c>
      <c r="H1455" s="34" t="str">
        <f>IFERROR(__xludf.DUMMYFUNCTION("LOWER(REGEXREPLACE(B1455&amp;"" ""&amp;C1455,""[^а-яa-z0-9 ]"","" ""))"),"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фан"&amp;"еры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6">
      <c r="A1456" s="35" t="s">
        <v>3286</v>
      </c>
      <c r="B1456" s="31" t="s">
        <v>3287</v>
      </c>
      <c r="C1456" s="31" t="s">
        <v>3285</v>
      </c>
      <c r="D1456" s="37" t="s">
        <v>14</v>
      </c>
      <c r="E1456" s="38">
        <v>2.0</v>
      </c>
      <c r="F1456" s="38">
        <v>130.0</v>
      </c>
      <c r="G1456" s="11">
        <v>2499016.0</v>
      </c>
      <c r="H1456" s="34" t="str">
        <f>IFERROR(__xludf.DUMMYFUNCTION("LOWER(REGEXREPLACE(B1456&amp;"" ""&amp;C1456,""[^а-яa-z0-9 ]"","" ""))"),"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фа"&amp;"неры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7">
      <c r="A1457" s="35" t="s">
        <v>3288</v>
      </c>
      <c r="B1457" s="31" t="s">
        <v>3289</v>
      </c>
      <c r="C1457" s="31" t="s">
        <v>3290</v>
      </c>
      <c r="D1457" s="37" t="s">
        <v>14</v>
      </c>
      <c r="E1457" s="38">
        <v>2.0</v>
      </c>
      <c r="F1457" s="38">
        <v>90.0</v>
      </c>
      <c r="G1457" s="11">
        <v>2572242.0</v>
      </c>
      <c r="H1457" s="34" t="str">
        <f>IFERROR(__xludf.DUMMYFUNCTION("LOWER(REGEXREPLACE(B1457&amp;"" ""&amp;C1457,""[^а-яa-z0-9 ]"","" ""))"),"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окрашенно"&amp;"й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f>
        <v>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v>
      </c>
    </row>
    <row r="1458">
      <c r="A1458" s="35" t="s">
        <v>3291</v>
      </c>
      <c r="B1458" s="31" t="s">
        <v>3292</v>
      </c>
      <c r="C1458" s="31" t="s">
        <v>3293</v>
      </c>
      <c r="D1458" s="37" t="s">
        <v>14</v>
      </c>
      <c r="E1458" s="38">
        <v>2.0</v>
      </c>
      <c r="F1458" s="38">
        <v>25.0</v>
      </c>
      <c r="G1458" s="11">
        <v>308301.0</v>
      </c>
      <c r="H1458" s="34" t="str">
        <f>IFERROR(__xludf.DUMMYFUNCTION("LOWER(REGEXREPLACE(B1458&amp;"" ""&amp;C1458,""[^а-яa-z0-9 ]"","" ""))"),"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"&amp;"расстояние от шпинделя до стола  не менее 340 мм ")</f>
        <v>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расстояние от шпинделя до стола  не менее 340 мм </v>
      </c>
    </row>
    <row r="1459">
      <c r="A1459" s="35" t="s">
        <v>3294</v>
      </c>
      <c r="B1459" s="31" t="s">
        <v>3295</v>
      </c>
      <c r="C1459" s="31"/>
      <c r="D1459" s="37" t="s">
        <v>14</v>
      </c>
      <c r="E1459" s="10"/>
      <c r="F1459" s="36"/>
      <c r="G1459" s="11"/>
      <c r="H1459" s="34" t="str">
        <f>IFERROR(__xludf.DUMMYFUNCTION("LOWER(REGEXREPLACE(B1459&amp;"" ""&amp;C1459,""[^а-яa-z0-9 ]"","" ""))")," одставка под сверлильный станок ")</f>
        <v> одставка под сверлильный станок </v>
      </c>
    </row>
    <row r="1460">
      <c r="A1460" s="35" t="s">
        <v>3296</v>
      </c>
      <c r="B1460" s="9" t="s">
        <v>3297</v>
      </c>
      <c r="C1460" s="31" t="s">
        <v>3298</v>
      </c>
      <c r="D1460" s="37" t="s">
        <v>14</v>
      </c>
      <c r="E1460" s="10"/>
      <c r="F1460" s="36"/>
      <c r="G1460" s="11">
        <v>46331.0</v>
      </c>
      <c r="H1460" s="34" t="str">
        <f>IFERROR(__xludf.DUMMYFUNCTION("LOWER(REGEXREPLACE(B1460&amp;"" ""&amp;C1460,""[^а-яa-z0-9 ]"","" ""))"),"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с"&amp;"ечением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мм"&amp;" и покрыта матовым лаком ")</f>
        <v>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 и покрыта матовым лаком </v>
      </c>
    </row>
    <row r="1461">
      <c r="A1461" s="35" t="s">
        <v>3299</v>
      </c>
      <c r="B1461" s="9" t="s">
        <v>3300</v>
      </c>
      <c r="C1461" s="31" t="s">
        <v>3301</v>
      </c>
      <c r="D1461" s="37" t="s">
        <v>14</v>
      </c>
      <c r="E1461" s="38">
        <v>2.0</v>
      </c>
      <c r="F1461" s="38">
        <v>20.0</v>
      </c>
      <c r="G1461" s="11">
        <v>165504.0</v>
      </c>
      <c r="H1461" s="34" t="str">
        <f>IFERROR(__xludf.DUMMYFUNCTION("LOWER(REGEXREPLACE(B1461&amp;"" ""&amp;C1461,""[^а-яa-z0-9 ]"","" ""))"),"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о"&amp;"крашенной в бесцветный лак ")</f>
        <v>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2">
      <c r="A1462" s="35" t="s">
        <v>3302</v>
      </c>
      <c r="B1462" s="31" t="s">
        <v>3303</v>
      </c>
      <c r="C1462" s="31" t="s">
        <v>3304</v>
      </c>
      <c r="D1462" s="37" t="s">
        <v>14</v>
      </c>
      <c r="E1462" s="38">
        <v>2.0</v>
      </c>
      <c r="F1462" s="38">
        <v>9.0</v>
      </c>
      <c r="G1462" s="11">
        <v>45539.0</v>
      </c>
      <c r="H1462" s="34" t="str">
        <f>IFERROR(__xludf.DUMMYFUNCTION("LOWER(REGEXREPLACE(B1462&amp;"" ""&amp;C1462,""[^а-яa-z0-9 ]"","" ""))"),"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f>
        <v>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v>
      </c>
    </row>
    <row r="1463">
      <c r="A1463" s="35" t="s">
        <v>3305</v>
      </c>
      <c r="B1463" s="31" t="s">
        <v>3306</v>
      </c>
      <c r="C1463" s="31"/>
      <c r="D1463" s="37" t="s">
        <v>14</v>
      </c>
      <c r="E1463" s="10"/>
      <c r="F1463" s="36"/>
      <c r="G1463" s="11"/>
      <c r="H1463" s="34" t="str">
        <f>IFERROR(__xludf.DUMMYFUNCTION("LOWER(REGEXREPLACE(B1463&amp;"" ""&amp;C1463,""[^а-яa-z0-9 ]"","" ""))")," танок токарный по металлу ")</f>
        <v> танок токарный по металлу </v>
      </c>
    </row>
    <row r="1464">
      <c r="A1464" s="35" t="s">
        <v>3307</v>
      </c>
      <c r="B1464" s="31" t="s">
        <v>3306</v>
      </c>
      <c r="C1464" s="31" t="s">
        <v>3308</v>
      </c>
      <c r="D1464" s="37" t="s">
        <v>14</v>
      </c>
      <c r="E1464" s="10"/>
      <c r="F1464" s="36"/>
      <c r="G1464" s="11">
        <v>484841.0</v>
      </c>
      <c r="H1464" s="34" t="str">
        <f>IFERROR(__xludf.DUMMYFUNCTION("LOWER(REGEXREPLACE(B1464&amp;"" ""&amp;C1464,""[^а-яa-z0-9 ]"","" ""))"),"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не"&amp;"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б"&amp;"ыть не менее  3 х кулачковый патрон  невращающийся центр  защитный экран патрона  защитная задняя стенка  резиновые опоры для установки станка ")</f>
        <v>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быть не менее  3 х кулачковый патрон  невращающийся центр  защитный экран патрона  защитная задняя стенка  резиновые опоры для установки станка </v>
      </c>
    </row>
    <row r="1465">
      <c r="A1465" s="35" t="s">
        <v>3309</v>
      </c>
      <c r="B1465" s="31" t="s">
        <v>3310</v>
      </c>
      <c r="C1465" s="31" t="s">
        <v>3311</v>
      </c>
      <c r="D1465" s="37" t="s">
        <v>14</v>
      </c>
      <c r="E1465" s="38">
        <v>2.0</v>
      </c>
      <c r="F1465" s="38">
        <v>76.0</v>
      </c>
      <c r="G1465" s="11">
        <v>1018012.0</v>
      </c>
      <c r="H1465" s="34" t="str">
        <f>IFERROR(__xludf.DUMMYFUNCTION("LOWER(REGEXREPLACE(B1465&amp;"" ""&amp;C1465,""[^а-яa-z0-9 ]"","" ""))"),"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шпинде"&amp;"ля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f>
        <v>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v>
      </c>
    </row>
    <row r="1466">
      <c r="A1466" s="35" t="s">
        <v>3312</v>
      </c>
      <c r="B1466" s="31" t="s">
        <v>3313</v>
      </c>
      <c r="C1466" s="31"/>
      <c r="D1466" s="37" t="s">
        <v>14</v>
      </c>
      <c r="E1466" s="10"/>
      <c r="F1466" s="36"/>
      <c r="G1466" s="11"/>
      <c r="H1466" s="34" t="str">
        <f>IFERROR(__xludf.DUMMYFUNCTION("LOWER(REGEXREPLACE(B1466&amp;"" ""&amp;C1466,""[^а-яa-z0-9 ]"","" ""))")," одставка под токарный станок ")</f>
        <v> одставка под токарный станок </v>
      </c>
    </row>
    <row r="1467">
      <c r="A1467" s="35" t="s">
        <v>3314</v>
      </c>
      <c r="B1467" s="31" t="s">
        <v>3315</v>
      </c>
      <c r="C1467" s="31"/>
      <c r="D1467" s="37" t="s">
        <v>14</v>
      </c>
      <c r="E1467" s="10"/>
      <c r="F1467" s="36"/>
      <c r="G1467" s="11">
        <v>46000.0</v>
      </c>
      <c r="H1467" s="34" t="str">
        <f>IFERROR(__xludf.DUMMYFUNCTION("LOWER(REGEXREPLACE(B1467&amp;"" ""&amp;C1467,""[^а-яa-z0-9 ]"","" ""))")," одставка под токарный станок 600х500х800мм ")</f>
        <v> одставка под токарный станок 600х500х800мм </v>
      </c>
    </row>
    <row r="1468">
      <c r="A1468" s="35" t="s">
        <v>3316</v>
      </c>
      <c r="B1468" s="31" t="s">
        <v>3317</v>
      </c>
      <c r="C1468" s="31" t="s">
        <v>3301</v>
      </c>
      <c r="D1468" s="37" t="s">
        <v>14</v>
      </c>
      <c r="E1468" s="38">
        <v>2.0</v>
      </c>
      <c r="F1468" s="38">
        <v>25.0</v>
      </c>
      <c r="G1468" s="11">
        <v>166640.0</v>
      </c>
      <c r="H1468" s="34" t="str">
        <f>IFERROR(__xludf.DUMMYFUNCTION("LOWER(REGEXREPLACE(B1468&amp;"" ""&amp;C1468,""[^а-яa-z0-9 ]"","" ""))"),"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окр"&amp;"ашенной в бесцветный лак ")</f>
        <v>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9">
      <c r="A1469" s="35" t="s">
        <v>3318</v>
      </c>
      <c r="B1469" s="31" t="s">
        <v>3319</v>
      </c>
      <c r="C1469" s="31"/>
      <c r="D1469" s="37" t="s">
        <v>14</v>
      </c>
      <c r="E1469" s="10"/>
      <c r="F1469" s="36"/>
      <c r="G1469" s="11"/>
      <c r="H1469" s="34" t="str">
        <f>IFERROR(__xludf.DUMMYFUNCTION("LOWER(REGEXREPLACE(B1469&amp;"" ""&amp;C1469,""[^а-яa-z0-9 ]"","" ""))")," танок комбинированный деревообрабатывающий ")</f>
        <v> танок комбинированный деревообрабатывающий </v>
      </c>
    </row>
    <row r="1470">
      <c r="A1470" s="35" t="s">
        <v>3320</v>
      </c>
      <c r="B1470" s="31" t="s">
        <v>3319</v>
      </c>
      <c r="C1470" s="31" t="s">
        <v>3321</v>
      </c>
      <c r="D1470" s="37" t="s">
        <v>14</v>
      </c>
      <c r="E1470" s="38">
        <v>2.0</v>
      </c>
      <c r="F1470" s="38">
        <v>80.0</v>
      </c>
      <c r="G1470" s="11">
        <v>325792.0</v>
      </c>
      <c r="H1470" s="34" t="str">
        <f>IFERROR(__xludf.DUMMYFUNCTION("LOWER(REGEXREPLACE(B1470&amp;"" ""&amp;C1470,""[^а-яa-z0-9 ]"","" ""))"),"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мене"&amp;"е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производи"&amp;"тельность и точность ")</f>
        <v>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производительность и точность </v>
      </c>
    </row>
    <row r="1471">
      <c r="A1471" s="35" t="s">
        <v>3322</v>
      </c>
      <c r="B1471" s="31" t="s">
        <v>3323</v>
      </c>
      <c r="C1471" s="31" t="s">
        <v>3324</v>
      </c>
      <c r="D1471" s="37" t="s">
        <v>14</v>
      </c>
      <c r="E1471" s="38">
        <v>2.0</v>
      </c>
      <c r="F1471" s="38">
        <v>22.0</v>
      </c>
      <c r="G1471" s="11">
        <v>579815.0</v>
      </c>
      <c r="H1471" s="34" t="str">
        <f>IFERROR(__xludf.DUMMYFUNCTION("LOWER(REGEXREPLACE(B1471&amp;"" ""&amp;C1471,""[^а-яa-z0-9 ]"","" ""))"),"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с"&amp;"трогания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f>
        <v>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v>
      </c>
    </row>
    <row r="1472">
      <c r="A1472" s="35" t="s">
        <v>3325</v>
      </c>
      <c r="B1472" s="31" t="s">
        <v>3326</v>
      </c>
      <c r="C1472" s="31" t="s">
        <v>3327</v>
      </c>
      <c r="D1472" s="37" t="s">
        <v>14</v>
      </c>
      <c r="E1472" s="38">
        <v>2.0</v>
      </c>
      <c r="F1472" s="39">
        <v>160.5</v>
      </c>
      <c r="G1472" s="11">
        <v>4350057.0</v>
      </c>
      <c r="H1472" s="34" t="str">
        <f>IFERROR(__xludf.DUMMYFUNCTION("LOWER(REGEXREPLACE(B1472&amp;"" ""&amp;C1472,""[^а-яa-z0-9 ]"","" ""))"),"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ра"&amp;"зличных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др"&amp;"обления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мелк"&amp;"ую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f>
        <v>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v>
      </c>
    </row>
    <row r="1473">
      <c r="A1473" s="35" t="s">
        <v>3328</v>
      </c>
      <c r="B1473" s="31" t="s">
        <v>3329</v>
      </c>
      <c r="C1473" s="31"/>
      <c r="D1473" s="37" t="s">
        <v>14</v>
      </c>
      <c r="E1473" s="10"/>
      <c r="F1473" s="36"/>
      <c r="G1473" s="11"/>
      <c r="H1473" s="34" t="str">
        <f>IFERROR(__xludf.DUMMYFUNCTION("LOWER(REGEXREPLACE(B1473&amp;"" ""&amp;C1473,""[^а-яa-z0-9 ]"","" ""))")," одставка под комбинированный  деревообрабатывающий  станок ")</f>
        <v> одставка под комбинированный  деревообрабатывающий  станок </v>
      </c>
    </row>
    <row r="1474">
      <c r="A1474" s="35" t="s">
        <v>3330</v>
      </c>
      <c r="B1474" s="31" t="s">
        <v>3331</v>
      </c>
      <c r="C1474" s="31" t="s">
        <v>3332</v>
      </c>
      <c r="D1474" s="37" t="s">
        <v>14</v>
      </c>
      <c r="E1474" s="38">
        <v>2.0</v>
      </c>
      <c r="F1474" s="38">
        <v>25.0</v>
      </c>
      <c r="G1474" s="11">
        <v>167181.0</v>
      </c>
      <c r="H1474" s="34" t="str">
        <f>IFERROR(__xludf.DUMMYFUNCTION("LOWER(REGEXREPLACE(B1474&amp;"" ""&amp;C1474,""[^а-яa-z0-9 ]"","" ""))"),"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толщиной"&amp;" 45 мм  окрашенной в бесцветный лак   онструкция установлена на регулируемых пластиковых ножках ")</f>
        <v>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онструкция установлена на регулируемых пластиковых ножках </v>
      </c>
    </row>
    <row r="1475">
      <c r="A1475" s="35" t="s">
        <v>3333</v>
      </c>
      <c r="B1475" s="31" t="s">
        <v>3334</v>
      </c>
      <c r="C1475" s="31" t="s">
        <v>3335</v>
      </c>
      <c r="D1475" s="37" t="s">
        <v>14</v>
      </c>
      <c r="E1475" s="38">
        <v>2.0</v>
      </c>
      <c r="F1475" s="38">
        <v>30.0</v>
      </c>
      <c r="G1475" s="11">
        <v>166770.0</v>
      </c>
      <c r="H1475" s="34" t="str">
        <f>IFERROR(__xludf.DUMMYFUNCTION("LOWER(REGEXREPLACE(B1475&amp;"" ""&amp;C1475,""[^а-яa-z0-9 ]"","" ""))"),"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окраше"&amp;"нной в бесцветный лак ")</f>
        <v>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6">
      <c r="A1476" s="35" t="s">
        <v>3336</v>
      </c>
      <c r="B1476" s="31" t="s">
        <v>3337</v>
      </c>
      <c r="C1476" s="31" t="s">
        <v>3338</v>
      </c>
      <c r="D1476" s="37" t="s">
        <v>14</v>
      </c>
      <c r="E1476" s="38">
        <v>2.0</v>
      </c>
      <c r="F1476" s="39">
        <v>60.5</v>
      </c>
      <c r="G1476" s="11">
        <v>200584.0</v>
      </c>
      <c r="H1476" s="34" t="str">
        <f>IFERROR(__xludf.DUMMYFUNCTION("LOWER(REGEXREPLACE(B1476&amp;"" ""&amp;C1476,""[^а-яa-z0-9 ]"","" ""))"),"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комплектующие"&amp;" для регулировки высоты или крепления аксессуаров  толешница клееный брус  толщинй 45 мм  корпус металлическая труба 40х40 мм  габариты 1200 х 600 х 750 мм")</f>
        <v>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 для регулировки высоты или крепления аксессуаров  толешница клееный брус  толщинй 45 мм  корпус металлическая труба 40х40 мм  габариты 1200 х 600 х 750 мм</v>
      </c>
    </row>
    <row r="1477">
      <c r="A1477" s="35" t="s">
        <v>3339</v>
      </c>
      <c r="B1477" s="31" t="s">
        <v>3340</v>
      </c>
      <c r="C1477" s="31" t="s">
        <v>3341</v>
      </c>
      <c r="D1477" s="37" t="s">
        <v>14</v>
      </c>
      <c r="E1477" s="38">
        <v>2.0</v>
      </c>
      <c r="F1477" s="39">
        <v>13.2</v>
      </c>
      <c r="G1477" s="11">
        <v>168436.0</v>
      </c>
      <c r="H1477" s="34" t="str">
        <f>IFERROR(__xludf.DUMMYFUNCTION("LOWER(REGEXREPLACE(B1477&amp;"" ""&amp;C1477,""[^а-яa-z0-9 ]"","" ""))"),"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f>
        <v>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v>
      </c>
    </row>
    <row r="1478">
      <c r="A1478" s="35" t="s">
        <v>3342</v>
      </c>
      <c r="B1478" s="31" t="s">
        <v>3343</v>
      </c>
      <c r="C1478" s="31" t="s">
        <v>3301</v>
      </c>
      <c r="D1478" s="37" t="s">
        <v>14</v>
      </c>
      <c r="E1478" s="38">
        <v>2.0</v>
      </c>
      <c r="F1478" s="38">
        <v>40.0</v>
      </c>
      <c r="G1478" s="11">
        <v>180374.0</v>
      </c>
      <c r="H1478" s="34" t="str">
        <f>IFERROR(__xludf.DUMMYFUNCTION("LOWER(REGEXREPLACE(B1478&amp;"" ""&amp;C1478,""[^а-яa-z0-9 ]"","" ""))"),"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f>
        <v>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9">
      <c r="A1479" s="35" t="s">
        <v>3344</v>
      </c>
      <c r="B1479" s="31" t="s">
        <v>3345</v>
      </c>
      <c r="C1479" s="31" t="s">
        <v>3346</v>
      </c>
      <c r="D1479" s="37" t="s">
        <v>14</v>
      </c>
      <c r="E1479" s="38">
        <v>2.0</v>
      </c>
      <c r="F1479" s="39">
        <v>2.5</v>
      </c>
      <c r="G1479" s="11">
        <v>22681.0</v>
      </c>
      <c r="H1479" s="34" t="str">
        <f>IFERROR(__xludf.DUMMYFUNCTION("LOWER(REGEXREPLACE(B1479&amp;"" ""&amp;C1479,""[^а-яa-z0-9 ]"","" ""))"),"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f>
        <v>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v>
      </c>
    </row>
    <row r="1480">
      <c r="A1480" s="35" t="s">
        <v>3347</v>
      </c>
      <c r="B1480" s="31" t="s">
        <v>3348</v>
      </c>
      <c r="C1480" s="31" t="s">
        <v>3349</v>
      </c>
      <c r="D1480" s="37" t="s">
        <v>14</v>
      </c>
      <c r="E1480" s="38">
        <v>2.0</v>
      </c>
      <c r="F1480" s="39">
        <v>1.5</v>
      </c>
      <c r="G1480" s="11">
        <v>47075.0</v>
      </c>
      <c r="H1480" s="34" t="str">
        <f>IFERROR(__xludf.DUMMYFUNCTION("LOWER(REGEXREPLACE(B1480&amp;"" ""&amp;C1480,""[^а-яa-z0-9 ]"","" ""))"),"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f>
        <v>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v>
      </c>
    </row>
    <row r="1481">
      <c r="A1481" s="35" t="s">
        <v>3350</v>
      </c>
      <c r="B1481" s="31" t="s">
        <v>3351</v>
      </c>
      <c r="C1481" s="31" t="s">
        <v>3352</v>
      </c>
      <c r="D1481" s="37" t="s">
        <v>14</v>
      </c>
      <c r="E1481" s="10"/>
      <c r="F1481" s="36"/>
      <c r="G1481" s="11">
        <v>35679.0</v>
      </c>
      <c r="H1481" s="34" t="str">
        <f>IFERROR(__xludf.DUMMYFUNCTION("LOWER(REGEXREPLACE(B1481&amp;"" ""&amp;C1481,""[^а-яa-z0-9 ]"","" ""))"),"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f>
        <v>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v>
      </c>
    </row>
    <row r="1482">
      <c r="A1482" s="35" t="s">
        <v>3353</v>
      </c>
      <c r="B1482" s="31" t="s">
        <v>3354</v>
      </c>
      <c r="C1482" s="31" t="s">
        <v>3355</v>
      </c>
      <c r="D1482" s="37" t="s">
        <v>14</v>
      </c>
      <c r="E1482" s="38">
        <v>2.0</v>
      </c>
      <c r="F1482" s="39">
        <v>0.7</v>
      </c>
      <c r="G1482" s="11">
        <v>16676.0</v>
      </c>
      <c r="H1482" s="34" t="str">
        <f>IFERROR(__xludf.DUMMYFUNCTION("LOWER(REGEXREPLACE(B1482&amp;"" ""&amp;C1482,""[^а-яa-z0-9 ]"","" ""))"),"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f>
        <v>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v>
      </c>
    </row>
    <row r="1483">
      <c r="A1483" s="35" t="s">
        <v>3356</v>
      </c>
      <c r="B1483" s="31" t="s">
        <v>3357</v>
      </c>
      <c r="C1483" s="31"/>
      <c r="D1483" s="37" t="s">
        <v>14</v>
      </c>
      <c r="E1483" s="10"/>
      <c r="F1483" s="36"/>
      <c r="G1483" s="11"/>
      <c r="H1483" s="34" t="str">
        <f>IFERROR(__xludf.DUMMYFUNCTION("LOWER(REGEXREPLACE(B1483&amp;"" ""&amp;C1483,""[^а-яa-z0-9 ]"","" ""))")," оска перфорированная ")</f>
        <v> оска перфорированная </v>
      </c>
    </row>
    <row r="1484">
      <c r="A1484" s="35" t="s">
        <v>3358</v>
      </c>
      <c r="B1484" s="31" t="s">
        <v>3359</v>
      </c>
      <c r="C1484" s="31"/>
      <c r="D1484" s="37" t="s">
        <v>14</v>
      </c>
      <c r="E1484" s="38">
        <v>2.0</v>
      </c>
      <c r="F1484" s="40">
        <v>23.52</v>
      </c>
      <c r="G1484" s="11">
        <v>233645.0</v>
      </c>
      <c r="H1484" s="34" t="str">
        <f>IFERROR(__xludf.DUMMYFUNCTION("LOWER(REGEXREPLACE(B1484&amp;"" ""&amp;C1484,""[^а-яa-z0-9 ]"","" ""))")," ерфорированная доска для подвешивания инструментов  egboard для хранения и переноса инструментов типа  raft ab ")</f>
        <v> ерфорированная доска для подвешивания инструментов  egboard для хранения и переноса инструментов типа  raft ab </v>
      </c>
    </row>
    <row r="1485">
      <c r="A1485" s="35" t="s">
        <v>3360</v>
      </c>
      <c r="B1485" s="31" t="s">
        <v>3361</v>
      </c>
      <c r="C1485" s="31" t="s">
        <v>3362</v>
      </c>
      <c r="D1485" s="37" t="s">
        <v>14</v>
      </c>
      <c r="E1485" s="38">
        <v>2.0</v>
      </c>
      <c r="F1485" s="38">
        <v>70.0</v>
      </c>
      <c r="G1485" s="11">
        <v>96588.0</v>
      </c>
      <c r="H1485" s="34" t="str">
        <f>IFERROR(__xludf.DUMMYFUNCTION("LOWER(REGEXREPLACE(B1485&amp;"" ""&amp;C1485,""[^а-яa-z0-9 ]"","" ""))"),"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напылени"&amp;"я  а к нижним частям ножек прикреплены регулируемые подпятники для поддержания ровного и сбалансированного положения")</f>
        <v>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v>
      </c>
    </row>
    <row r="1486">
      <c r="A1486" s="35" t="s">
        <v>3363</v>
      </c>
      <c r="B1486" s="31" t="s">
        <v>3364</v>
      </c>
      <c r="C1486" s="31" t="s">
        <v>3365</v>
      </c>
      <c r="D1486" s="37" t="s">
        <v>14</v>
      </c>
      <c r="E1486" s="10"/>
      <c r="F1486" s="42">
        <v>0.248</v>
      </c>
      <c r="G1486" s="11">
        <v>5140.0</v>
      </c>
      <c r="H1486" s="34" t="str">
        <f>IFERROR(__xludf.DUMMYFUNCTION("LOWER(REGEXREPLACE(B1486&amp;"" ""&amp;C1486,""[^а-яa-z0-9 ]"","" ""))"),"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надежност"&amp;"ь и точность в инженерных и метрологических работах ")</f>
        <v>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 </v>
      </c>
    </row>
    <row r="1487">
      <c r="A1487" s="35" t="s">
        <v>3366</v>
      </c>
      <c r="B1487" s="31" t="s">
        <v>3367</v>
      </c>
      <c r="C1487" s="31" t="s">
        <v>3368</v>
      </c>
      <c r="D1487" s="37" t="s">
        <v>14</v>
      </c>
      <c r="E1487" s="38">
        <v>2.0</v>
      </c>
      <c r="F1487" s="40">
        <v>0.34</v>
      </c>
      <c r="G1487" s="11">
        <v>12767.0</v>
      </c>
      <c r="H1487" s="34" t="str">
        <f>IFERROR(__xludf.DUMMYFUNCTION("LOWER(REGEXREPLACE(B1487&amp;"" ""&amp;C1487,""[^а-яa-z0-9 ]"","" ""))"),"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f>
        <v>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v>
      </c>
    </row>
    <row r="1488">
      <c r="A1488" s="35" t="s">
        <v>3369</v>
      </c>
      <c r="B1488" s="31" t="s">
        <v>3370</v>
      </c>
      <c r="C1488" s="31"/>
      <c r="D1488" s="37" t="s">
        <v>14</v>
      </c>
      <c r="E1488" s="10"/>
      <c r="F1488" s="36"/>
      <c r="G1488" s="11"/>
      <c r="H1488" s="34" t="str">
        <f>IFERROR(__xludf.DUMMYFUNCTION("LOWER(REGEXREPLACE(B1488&amp;"" ""&amp;C1488,""[^а-яa-z0-9 ]"","" ""))")," танок модульный ")</f>
        <v> танок модульный </v>
      </c>
    </row>
    <row r="1489">
      <c r="A1489" s="35" t="s">
        <v>3371</v>
      </c>
      <c r="B1489" s="9" t="s">
        <v>3372</v>
      </c>
      <c r="C1489" s="31"/>
      <c r="D1489" s="37" t="s">
        <v>14</v>
      </c>
      <c r="E1489" s="38">
        <v>2.0</v>
      </c>
      <c r="F1489" s="39">
        <v>12.1</v>
      </c>
      <c r="G1489" s="11">
        <v>759494.0</v>
      </c>
      <c r="H1489" s="34" t="str">
        <f>IFERROR(__xludf.DUMMYFUNCTION("LOWER(REGEXREPLACE(B1489&amp;"" ""&amp;C1489,""[^а-яa-z0-9 ]"","" ""))"),"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центро"&amp;"в   учная дрель или ручная шлифовальная машина ")</f>
        <v>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центров   учная дрель или ручная шлифовальная машина </v>
      </c>
    </row>
    <row r="1490">
      <c r="A1490" s="35" t="s">
        <v>3373</v>
      </c>
      <c r="B1490" s="31" t="s">
        <v>3374</v>
      </c>
      <c r="C1490" s="31"/>
      <c r="D1490" s="37" t="s">
        <v>14</v>
      </c>
      <c r="E1490" s="38">
        <v>2.0</v>
      </c>
      <c r="F1490" s="39">
        <v>10.7</v>
      </c>
      <c r="G1490" s="11">
        <v>288802.0</v>
      </c>
      <c r="H1490" s="34" t="str">
        <f>IFERROR(__xludf.DUMMYFUNCTION("LOWER(REGEXREPLACE(B1490&amp;"" ""&amp;C1490,""[^а-яa-z0-9 ]"","" ""))")," одульный станок  ni at  lementary  it  по дереву 4 в 1    овмещает функции 4 различных типов станков   ини дрель   обзик   окарный станок по дереву   лифовальный станок ")</f>
        <v> одульный станок  ni at  lementary  it  по дереву 4 в 1    овмещает функции 4 различных типов станков   ини дрель   обзик   окарный станок по дереву   лифовальный станок </v>
      </c>
    </row>
    <row r="1491">
      <c r="A1491" s="35" t="s">
        <v>3375</v>
      </c>
      <c r="B1491" s="31" t="s">
        <v>3376</v>
      </c>
      <c r="C1491" s="31"/>
      <c r="D1491" s="37" t="s">
        <v>14</v>
      </c>
      <c r="E1491" s="10"/>
      <c r="F1491" s="36"/>
      <c r="G1491" s="11"/>
      <c r="H1491" s="34" t="str">
        <f>IFERROR(__xludf.DUMMYFUNCTION("LOWER(REGEXREPLACE(B1491&amp;"" ""&amp;C1491,""[^а-яa-z0-9 ]"","" ""))")," танок для резки пенопласта ")</f>
        <v> танок для резки пенопласта </v>
      </c>
    </row>
    <row r="1492">
      <c r="A1492" s="35" t="s">
        <v>3377</v>
      </c>
      <c r="B1492" s="31" t="s">
        <v>3378</v>
      </c>
      <c r="C1492" s="31" t="s">
        <v>3379</v>
      </c>
      <c r="D1492" s="37" t="s">
        <v>14</v>
      </c>
      <c r="E1492" s="38">
        <v>2.0</v>
      </c>
      <c r="F1492" s="40">
        <v>99.59</v>
      </c>
      <c r="G1492" s="11">
        <v>3204049.0</v>
      </c>
      <c r="H1492" s="34" t="str">
        <f>IFERROR(__xludf.DUMMYFUNCTION("LOWER(REGEXREPLACE(B1492&amp;"" ""&amp;C1492,""[^а-яa-z0-9 ]"","" ""))"),"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f>
        <v>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v>
      </c>
    </row>
    <row r="1493">
      <c r="A1493" s="35" t="s">
        <v>3380</v>
      </c>
      <c r="B1493" s="31" t="s">
        <v>3381</v>
      </c>
      <c r="C1493" s="31"/>
      <c r="D1493" s="37" t="s">
        <v>14</v>
      </c>
      <c r="E1493" s="10"/>
      <c r="F1493" s="36"/>
      <c r="G1493" s="11"/>
      <c r="H1493" s="34" t="str">
        <f>IFERROR(__xludf.DUMMYFUNCTION("LOWER(REGEXREPLACE(B1493&amp;"" ""&amp;C1493,""[^а-яa-z0-9 ]"","" ""))")," ылесос индустриальный ")</f>
        <v> ылесос индустриальный </v>
      </c>
    </row>
    <row r="1494">
      <c r="A1494" s="35" t="s">
        <v>3382</v>
      </c>
      <c r="B1494" s="31" t="s">
        <v>3381</v>
      </c>
      <c r="C1494" s="31" t="s">
        <v>3383</v>
      </c>
      <c r="D1494" s="37" t="s">
        <v>14</v>
      </c>
      <c r="E1494" s="38">
        <v>2.0</v>
      </c>
      <c r="F1494" s="39">
        <v>7.6</v>
      </c>
      <c r="G1494" s="11">
        <v>153106.0</v>
      </c>
      <c r="H1494" s="34" t="str">
        <f>IFERROR(__xludf.DUMMYFUNCTION("LOWER(REGEXREPLACE(B1494&amp;"" ""&amp;C1494,""[^а-яa-z0-9 ]"","" ""))"),"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насад"&amp;"ки  подходящие для выполнения различных задач по уборке  например  щелевые инструменты  щетки для обивки мебели и насадки для пола ")</f>
        <v>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 </v>
      </c>
    </row>
    <row r="1495">
      <c r="A1495" s="35" t="s">
        <v>3384</v>
      </c>
      <c r="B1495" s="31" t="s">
        <v>3385</v>
      </c>
      <c r="C1495" s="31"/>
      <c r="D1495" s="36"/>
      <c r="E1495" s="10"/>
      <c r="F1495" s="36"/>
      <c r="G1495" s="11"/>
      <c r="H1495" s="34" t="str">
        <f>IFERROR(__xludf.DUMMYFUNCTION("LOWER(REGEXREPLACE(B1495&amp;"" ""&amp;C1495,""[^а-яa-z0-9 ]"","" ""))")," танок фрезерно гравировальный ")</f>
        <v> танок фрезерно гравировальный </v>
      </c>
    </row>
    <row r="1496">
      <c r="A1496" s="35" t="s">
        <v>3386</v>
      </c>
      <c r="B1496" s="31" t="s">
        <v>3387</v>
      </c>
      <c r="C1496" s="31" t="s">
        <v>3388</v>
      </c>
      <c r="D1496" s="37" t="s">
        <v>14</v>
      </c>
      <c r="E1496" s="38">
        <v>2.0</v>
      </c>
      <c r="F1496" s="40">
        <v>14.55</v>
      </c>
      <c r="G1496" s="11">
        <v>824286.0</v>
      </c>
      <c r="H1496" s="34" t="str">
        <f>IFERROR(__xludf.DUMMYFUNCTION("LOWER(REGEXREPLACE(B1496&amp;"" ""&amp;C1496,""[^а-яa-z0-9 ]"","" ""))"),"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б"&amp;"олее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f>
        <v>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v>
      </c>
    </row>
    <row r="1497">
      <c r="A1497" s="35" t="s">
        <v>3389</v>
      </c>
      <c r="B1497" s="31" t="s">
        <v>3390</v>
      </c>
      <c r="C1497" s="31" t="s">
        <v>3391</v>
      </c>
      <c r="D1497" s="37" t="s">
        <v>14</v>
      </c>
      <c r="E1497" s="38">
        <v>2.0</v>
      </c>
      <c r="F1497" s="39">
        <v>114.3</v>
      </c>
      <c r="G1497" s="11">
        <v>3462685.0</v>
      </c>
      <c r="H1497" s="34" t="str">
        <f>IFERROR(__xludf.DUMMYFUNCTION("LOWER(REGEXREPLACE(B1497&amp;"" ""&amp;C1497,""[^а-яa-z0-9 ]"","" ""))"),"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"&amp;"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ц"&amp;"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f>
        <v>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v>
      </c>
    </row>
    <row r="1498">
      <c r="A1498" s="35" t="s">
        <v>3392</v>
      </c>
      <c r="B1498" s="31" t="s">
        <v>3393</v>
      </c>
      <c r="C1498" s="31" t="s">
        <v>3394</v>
      </c>
      <c r="D1498" s="37" t="s">
        <v>14</v>
      </c>
      <c r="E1498" s="38">
        <v>2.0</v>
      </c>
      <c r="F1498" s="39">
        <v>145.5</v>
      </c>
      <c r="G1498" s="11">
        <v>4409617.0</v>
      </c>
      <c r="H1498" s="34" t="str">
        <f>IFERROR(__xludf.DUMMYFUNCTION("LOWER(REGEXREPLACE(B1498&amp;"" ""&amp;C1498,""[^а-яa-z0-9 ]"","" ""))"),"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эксплуата"&amp;"ции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выполняются"&amp;"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выполнени"&amp;"я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обл"&amp;"асть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f>
        <v>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v>
      </c>
    </row>
    <row r="1499">
      <c r="A1499" s="35" t="s">
        <v>3395</v>
      </c>
      <c r="B1499" s="31" t="s">
        <v>3396</v>
      </c>
      <c r="C1499" s="31" t="s">
        <v>3397</v>
      </c>
      <c r="D1499" s="37" t="s">
        <v>14</v>
      </c>
      <c r="E1499" s="38">
        <v>2.0</v>
      </c>
      <c r="F1499" s="39">
        <v>5.5</v>
      </c>
      <c r="G1499" s="11">
        <v>3803712.0</v>
      </c>
      <c r="H1499" s="34" t="str">
        <f>IFERROR(__xludf.DUMMYFUNCTION("LOWER(REGEXREPLACE(B1499&amp;"" ""&amp;C1499,""[^а-яa-z0-9 ]"","" ""))"),"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точн"&amp;"ого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нстру"&amp;"менты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ак"&amp;"симальное число оборотов 11 000 оборотов   ощность 50 т")</f>
        <v>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аксимальное число оборотов 11 000 оборотов   ощность 50 т</v>
      </c>
    </row>
    <row r="1500">
      <c r="A1500" s="35" t="s">
        <v>3398</v>
      </c>
      <c r="B1500" s="31" t="s">
        <v>3399</v>
      </c>
      <c r="C1500" s="31"/>
      <c r="D1500" s="36"/>
      <c r="E1500" s="10"/>
      <c r="F1500" s="36"/>
      <c r="G1500" s="11"/>
      <c r="H1500" s="34" t="str">
        <f>IFERROR(__xludf.DUMMYFUNCTION("LOWER(REGEXREPLACE(B1500&amp;"" ""&amp;C1500,""[^а-яa-z0-9 ]"","" ""))")," танок гравировальный лазерный ")</f>
        <v> танок гравировальный лазерный </v>
      </c>
    </row>
    <row r="1501">
      <c r="A1501" s="35" t="s">
        <v>3400</v>
      </c>
      <c r="B1501" s="31" t="s">
        <v>3401</v>
      </c>
      <c r="C1501" s="31" t="s">
        <v>3402</v>
      </c>
      <c r="D1501" s="37" t="s">
        <v>14</v>
      </c>
      <c r="E1501" s="38">
        <v>2.0</v>
      </c>
      <c r="F1501" s="38">
        <v>230.0</v>
      </c>
      <c r="G1501" s="11">
        <v>1167947.0</v>
      </c>
      <c r="H1501" s="34" t="str">
        <f>IFERROR(__xludf.DUMMYFUNCTION("LOWER(REGEXREPLACE(B1501&amp;"" ""&amp;C1501,""[^а-яa-z0-9 ]"","" ""))"),"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ра"&amp;"боты 0 50 к ц  тип лазера   2  рабочий стол алюминиевый с   образными пазами  система управления контроллер  охлаждение воздушное охлаждение")</f>
        <v>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работы 0 50 к ц  тип лазера   2  рабочий стол алюминиевый с   образными пазами  система управления контроллер  охлаждение воздушное охлаждение</v>
      </c>
    </row>
    <row r="1502">
      <c r="A1502" s="35" t="s">
        <v>3403</v>
      </c>
      <c r="B1502" s="31" t="s">
        <v>3404</v>
      </c>
      <c r="C1502" s="31" t="s">
        <v>3405</v>
      </c>
      <c r="D1502" s="37" t="s">
        <v>14</v>
      </c>
      <c r="E1502" s="38">
        <v>2.0</v>
      </c>
      <c r="F1502" s="39">
        <v>125.8</v>
      </c>
      <c r="G1502" s="11">
        <v>2485696.0</v>
      </c>
      <c r="H1502" s="34" t="str">
        <f>IFERROR(__xludf.DUMMYFUNCTION("LOWER(REGEXREPLACE(B1502&amp;"" ""&amp;C1502,""[^а-яa-z0-9 ]"","" ""))"),"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темпера"&amp;"тура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лазе"&amp;"рный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"&amp;"танок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f>
        <v>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v>
      </c>
    </row>
    <row r="1503">
      <c r="A1503" s="35" t="s">
        <v>3406</v>
      </c>
      <c r="B1503" s="31" t="s">
        <v>3407</v>
      </c>
      <c r="C1503" s="31"/>
      <c r="D1503" s="36"/>
      <c r="E1503" s="10"/>
      <c r="F1503" s="36"/>
      <c r="G1503" s="11"/>
      <c r="H1503" s="34" t="str">
        <f>IFERROR(__xludf.DUMMYFUNCTION("LOWER(REGEXREPLACE(B1503&amp;"" ""&amp;C1503,""[^а-яa-z0-9 ]"","" ""))")," ила торцовочная ")</f>
        <v> ила торцовочная </v>
      </c>
    </row>
    <row r="1504">
      <c r="A1504" s="35" t="s">
        <v>3408</v>
      </c>
      <c r="B1504" s="31" t="s">
        <v>3409</v>
      </c>
      <c r="C1504" s="31"/>
      <c r="D1504" s="37" t="s">
        <v>14</v>
      </c>
      <c r="E1504" s="38">
        <v>2.0</v>
      </c>
      <c r="F1504" s="40">
        <v>3.48</v>
      </c>
      <c r="G1504" s="11">
        <v>322947.0</v>
      </c>
      <c r="H1504" s="34" t="str">
        <f>IFERROR(__xludf.DUMMYFUNCTION("LOWER(REGEXREPLACE(B1504&amp;"" ""&amp;C1504,""[^а-яa-z0-9 ]"","" ""))")," ила торцовочная электрическая типа  machine 447591   ощность 1 4  вт  диаметр 30 мм  макс  глубина пропила под углом 90  70мм ")</f>
        <v> ила торцовочная электрическая типа  machine 447591   ощность 1 4  вт  диаметр 30 мм  макс  глубина пропила под углом 90  70мм </v>
      </c>
    </row>
    <row r="1505">
      <c r="A1505" s="35" t="s">
        <v>3410</v>
      </c>
      <c r="B1505" s="31" t="s">
        <v>3411</v>
      </c>
      <c r="C1505" s="31"/>
      <c r="D1505" s="37" t="s">
        <v>14</v>
      </c>
      <c r="E1505" s="10"/>
      <c r="F1505" s="36"/>
      <c r="G1505" s="11"/>
      <c r="H1505" s="34" t="str">
        <f>IFERROR(__xludf.DUMMYFUNCTION("LOWER(REGEXREPLACE(B1505&amp;"" ""&amp;C1505,""[^а-яa-z0-9 ]"","" ""))")," аспылитель ")</f>
        <v> аспылитель </v>
      </c>
    </row>
    <row r="1506">
      <c r="A1506" s="35" t="s">
        <v>3412</v>
      </c>
      <c r="B1506" s="31" t="s">
        <v>3413</v>
      </c>
      <c r="C1506" s="31" t="s">
        <v>3414</v>
      </c>
      <c r="D1506" s="37" t="s">
        <v>14</v>
      </c>
      <c r="E1506" s="38">
        <v>2.0</v>
      </c>
      <c r="F1506" s="40">
        <v>0.35</v>
      </c>
      <c r="G1506" s="11">
        <v>145385.0</v>
      </c>
      <c r="H1506" s="34" t="str">
        <f>IFERROR(__xludf.DUMMYFUNCTION("LOWER(REGEXREPLACE(B1506&amp;"" ""&amp;C1506,""[^а-яa-z0-9 ]"","" ""))"),"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р"&amp;"егулировки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кач"&amp;"ественной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покрыти"&amp;"я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f>
        <v>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v>
      </c>
    </row>
    <row r="1507">
      <c r="A1507" s="35" t="s">
        <v>3415</v>
      </c>
      <c r="B1507" s="31" t="s">
        <v>3416</v>
      </c>
      <c r="C1507" s="31"/>
      <c r="D1507" s="36"/>
      <c r="E1507" s="10"/>
      <c r="F1507" s="36"/>
      <c r="G1507" s="11"/>
      <c r="H1507" s="34" t="str">
        <f>IFERROR(__xludf.DUMMYFUNCTION("LOWER(REGEXREPLACE(B1507&amp;"" ""&amp;C1507,""[^а-яa-z0-9 ]"","" ""))")," ехнология приготовления пищи ")</f>
        <v> ехнология приготовления пищи </v>
      </c>
    </row>
    <row r="1508">
      <c r="A1508" s="35" t="s">
        <v>3417</v>
      </c>
      <c r="B1508" s="31" t="s">
        <v>3418</v>
      </c>
      <c r="C1508" s="31"/>
      <c r="D1508" s="37" t="s">
        <v>14</v>
      </c>
      <c r="E1508" s="10"/>
      <c r="F1508" s="36"/>
      <c r="G1508" s="11"/>
      <c r="H1508" s="34" t="str">
        <f>IFERROR(__xludf.DUMMYFUNCTION("LOWER(REGEXREPLACE(B1508&amp;"" ""&amp;C1508,""[^а-яa-z0-9 ]"","" ""))")," тол тумба кухонный ")</f>
        <v> тол тумба кухонный </v>
      </c>
    </row>
    <row r="1509">
      <c r="A1509" s="35" t="s">
        <v>3419</v>
      </c>
      <c r="B1509" s="31" t="s">
        <v>3420</v>
      </c>
      <c r="C1509" s="31"/>
      <c r="D1509" s="37" t="s">
        <v>14</v>
      </c>
      <c r="E1509" s="10"/>
      <c r="F1509" s="36"/>
      <c r="G1509" s="11">
        <v>326250.0</v>
      </c>
      <c r="H1509" s="34" t="str">
        <f>IFERROR(__xludf.DUMMYFUNCTION("LOWER(REGEXREPLACE(B1509&amp;"" ""&amp;C1509,""[^а-яa-z0-9 ]"","" ""))")," тол тумба купе       8 6     800 600 850 870 мм  ")</f>
        <v> тол тумба купе       8 6     800 600 850 870 мм  </v>
      </c>
    </row>
    <row r="1510">
      <c r="A1510" s="35" t="s">
        <v>3421</v>
      </c>
      <c r="B1510" s="31" t="s">
        <v>3422</v>
      </c>
      <c r="C1510" s="31"/>
      <c r="D1510" s="37" t="s">
        <v>14</v>
      </c>
      <c r="E1510" s="10"/>
      <c r="F1510" s="36"/>
      <c r="G1510" s="11">
        <v>341429.0</v>
      </c>
      <c r="H1510" s="34" t="str">
        <f>IFERROR(__xludf.DUMMYFUNCTION("LOWER(REGEXREPLACE(B1510&amp;"" ""&amp;C1510,""[^а-яa-z0-9 ]"","" ""))")," тол тумба купе       8 7     800 700 850 870 мм  ")</f>
        <v> тол тумба купе       8 7     800 700 850 870 мм  </v>
      </c>
    </row>
    <row r="1511">
      <c r="A1511" s="35" t="s">
        <v>3423</v>
      </c>
      <c r="B1511" s="31" t="s">
        <v>3424</v>
      </c>
      <c r="C1511" s="31"/>
      <c r="D1511" s="37" t="s">
        <v>14</v>
      </c>
      <c r="E1511" s="10"/>
      <c r="F1511" s="36"/>
      <c r="G1511" s="11">
        <v>347857.0</v>
      </c>
      <c r="H1511" s="34" t="str">
        <f>IFERROR(__xludf.DUMMYFUNCTION("LOWER(REGEXREPLACE(B1511&amp;"" ""&amp;C1511,""[^а-яa-z0-9 ]"","" ""))")," тол тумба купе       10 6     1000 600 850 870 мм  ")</f>
        <v> тол тумба купе       10 6     1000 600 850 870 мм  </v>
      </c>
    </row>
    <row r="1512">
      <c r="A1512" s="35" t="s">
        <v>3425</v>
      </c>
      <c r="B1512" s="31" t="s">
        <v>3426</v>
      </c>
      <c r="C1512" s="31"/>
      <c r="D1512" s="37" t="s">
        <v>14</v>
      </c>
      <c r="E1512" s="10"/>
      <c r="F1512" s="36"/>
      <c r="G1512" s="11">
        <v>314554.0</v>
      </c>
      <c r="H1512" s="34" t="str">
        <f>IFERROR(__xludf.DUMMYFUNCTION("LOWER(REGEXREPLACE(B1512&amp;"" ""&amp;C1512,""[^а-яa-z0-9 ]"","" ""))")," тол тумба купе      6 2 островной  1000 600 900 860  мм  ")</f>
        <v> тол тумба купе      6 2 островной  1000 600 900 860  мм  </v>
      </c>
    </row>
    <row r="1513">
      <c r="A1513" s="35" t="s">
        <v>3427</v>
      </c>
      <c r="B1513" s="31" t="s">
        <v>3428</v>
      </c>
      <c r="C1513" s="31"/>
      <c r="D1513" s="37" t="s">
        <v>14</v>
      </c>
      <c r="E1513" s="10"/>
      <c r="F1513" s="36"/>
      <c r="G1513" s="11">
        <v>416786.0</v>
      </c>
      <c r="H1513" s="34" t="str">
        <f>IFERROR(__xludf.DUMMYFUNCTION("LOWER(REGEXREPLACE(B1513&amp;"" ""&amp;C1513,""[^а-яa-z0-9 ]"","" ""))")," тол пристенный        9 7  купе  900 700 850мм  с бортом  ")</f>
        <v> тол пристенный        9 7  купе  900 700 850мм  с бортом  </v>
      </c>
    </row>
    <row r="1514">
      <c r="A1514" s="35" t="s">
        <v>3429</v>
      </c>
      <c r="B1514" s="31" t="s">
        <v>3430</v>
      </c>
      <c r="C1514" s="31"/>
      <c r="D1514" s="37" t="s">
        <v>14</v>
      </c>
      <c r="E1514" s="10"/>
      <c r="F1514" s="36"/>
      <c r="G1514" s="11">
        <v>321607.0</v>
      </c>
      <c r="H1514" s="34" t="str">
        <f>IFERROR(__xludf.DUMMYFUNCTION("LOWER(REGEXREPLACE(B1514&amp;"" ""&amp;C1514,""[^а-яa-z0-9 ]"","" ""))")," тол тумба купе      6 2 пристенный с бортом  1000 600 900 860  мм  ")</f>
        <v> тол тумба купе      6 2 пристенный с бортом  1000 600 900 860  мм  </v>
      </c>
    </row>
    <row r="1515">
      <c r="A1515" s="35" t="s">
        <v>3431</v>
      </c>
      <c r="B1515" s="31" t="s">
        <v>3432</v>
      </c>
      <c r="C1515" s="31"/>
      <c r="D1515" s="37" t="s">
        <v>14</v>
      </c>
      <c r="E1515" s="10"/>
      <c r="F1515" s="36"/>
      <c r="G1515" s="11">
        <v>331607.0</v>
      </c>
      <c r="H1515" s="34" t="str">
        <f>IFERROR(__xludf.DUMMYFUNCTION("LOWER(REGEXREPLACE(B1515&amp;"" ""&amp;C1515,""[^а-яa-z0-9 ]"","" ""))")," тол тумба купе      7 2 островной  1000 700 900 860  мм  ")</f>
        <v> тол тумба купе      7 2 островной  1000 700 900 860  мм  </v>
      </c>
    </row>
    <row r="1516">
      <c r="A1516" s="35" t="s">
        <v>3433</v>
      </c>
      <c r="B1516" s="31" t="s">
        <v>3434</v>
      </c>
      <c r="C1516" s="31"/>
      <c r="D1516" s="37" t="s">
        <v>14</v>
      </c>
      <c r="E1516" s="10"/>
      <c r="F1516" s="36"/>
      <c r="G1516" s="11">
        <v>338929.0</v>
      </c>
      <c r="H1516" s="34" t="str">
        <f>IFERROR(__xludf.DUMMYFUNCTION("LOWER(REGEXREPLACE(B1516&amp;"" ""&amp;C1516,""[^а-яa-z0-9 ]"","" ""))")," тол тумба купе      7 2 пристенный с бортом  1000 700 900 860  мм  ")</f>
        <v> тол тумба купе      7 2 пристенный с бортом  1000 700 900 860  мм  </v>
      </c>
    </row>
    <row r="1517">
      <c r="A1517" s="35" t="s">
        <v>3435</v>
      </c>
      <c r="B1517" s="31" t="s">
        <v>3436</v>
      </c>
      <c r="C1517" s="31"/>
      <c r="D1517" s="37" t="s">
        <v>14</v>
      </c>
      <c r="E1517" s="10"/>
      <c r="F1517" s="36"/>
      <c r="G1517" s="11">
        <v>342054.0</v>
      </c>
      <c r="H1517" s="34" t="str">
        <f>IFERROR(__xludf.DUMMYFUNCTION("LOWER(REGEXREPLACE(B1517&amp;"" ""&amp;C1517,""[^а-яa-z0-9 ]"","" ""))")," тол тумба купе      6 3 островной  1200 600 900 860  мм  ")</f>
        <v> тол тумба купе      6 3 островной  1200 600 900 860  мм  </v>
      </c>
    </row>
    <row r="1518">
      <c r="A1518" s="35" t="s">
        <v>3437</v>
      </c>
      <c r="B1518" s="31" t="s">
        <v>3438</v>
      </c>
      <c r="C1518" s="31"/>
      <c r="D1518" s="37" t="s">
        <v>14</v>
      </c>
      <c r="E1518" s="10"/>
      <c r="F1518" s="36"/>
      <c r="G1518" s="11">
        <v>392679.0</v>
      </c>
      <c r="H1518" s="34" t="str">
        <f>IFERROR(__xludf.DUMMYFUNCTION("LOWER(REGEXREPLACE(B1518&amp;"" ""&amp;C1518,""[^а-яa-z0-9 ]"","" ""))")," тол тумба купе       12 6     1200 600 850 870 мм  ")</f>
        <v> тол тумба купе       12 6     1200 600 850 870 мм  </v>
      </c>
    </row>
    <row r="1519">
      <c r="A1519" s="35" t="s">
        <v>3439</v>
      </c>
      <c r="B1519" s="31" t="s">
        <v>3440</v>
      </c>
      <c r="C1519" s="31"/>
      <c r="D1519" s="37" t="s">
        <v>14</v>
      </c>
      <c r="E1519" s="10"/>
      <c r="F1519" s="36"/>
      <c r="G1519" s="11">
        <v>350536.0</v>
      </c>
      <c r="H1519" s="34" t="str">
        <f>IFERROR(__xludf.DUMMYFUNCTION("LOWER(REGEXREPLACE(B1519&amp;"" ""&amp;C1519,""[^а-яa-z0-9 ]"","" ""))")," тол тумба купе      6 3 пристенный с бортом  1200 600 900 860 мм  ")</f>
        <v> тол тумба купе      6 3 пристенный с бортом  1200 600 900 860 мм  </v>
      </c>
    </row>
    <row r="1520">
      <c r="A1520" s="35" t="s">
        <v>3441</v>
      </c>
      <c r="B1520" s="31" t="s">
        <v>3442</v>
      </c>
      <c r="C1520" s="31"/>
      <c r="D1520" s="37" t="s">
        <v>14</v>
      </c>
      <c r="E1520" s="10"/>
      <c r="F1520" s="36"/>
      <c r="G1520" s="11">
        <v>410179.0</v>
      </c>
      <c r="H1520" s="34" t="str">
        <f>IFERROR(__xludf.DUMMYFUNCTION("LOWER(REGEXREPLACE(B1520&amp;"" ""&amp;C1520,""[^а-яa-z0-9 ]"","" ""))")," тол тумба купе       12 7     1200 700 850 870 мм  ")</f>
        <v> тол тумба купе       12 7     1200 700 850 870 мм  </v>
      </c>
    </row>
    <row r="1521">
      <c r="A1521" s="35" t="s">
        <v>3443</v>
      </c>
      <c r="B1521" s="31" t="s">
        <v>3444</v>
      </c>
      <c r="C1521" s="31"/>
      <c r="D1521" s="37" t="s">
        <v>14</v>
      </c>
      <c r="E1521" s="10"/>
      <c r="F1521" s="36"/>
      <c r="G1521" s="11">
        <v>363304.0</v>
      </c>
      <c r="H1521" s="34" t="str">
        <f>IFERROR(__xludf.DUMMYFUNCTION("LOWER(REGEXREPLACE(B1521&amp;"" ""&amp;C1521,""[^а-яa-z0-9 ]"","" ""))")," тол тумба купе      7 3 островной  1200 700 900 860  мм  ")</f>
        <v> тол тумба купе      7 3 островной  1200 700 900 860  мм  </v>
      </c>
    </row>
    <row r="1522">
      <c r="A1522" s="35" t="s">
        <v>3445</v>
      </c>
      <c r="B1522" s="31" t="s">
        <v>3446</v>
      </c>
      <c r="C1522" s="31"/>
      <c r="D1522" s="37" t="s">
        <v>14</v>
      </c>
      <c r="E1522" s="10"/>
      <c r="F1522" s="36"/>
      <c r="G1522" s="11">
        <v>370625.0</v>
      </c>
      <c r="H1522" s="34" t="str">
        <f>IFERROR(__xludf.DUMMYFUNCTION("LOWER(REGEXREPLACE(B1522&amp;"" ""&amp;C1522,""[^а-яa-z0-9 ]"","" ""))")," тол тумба купе      7 3 пристенный с бортом  1200 700 900 860  мм  ")</f>
        <v> тол тумба купе      7 3 пристенный с бортом  1200 700 900 860  мм  </v>
      </c>
    </row>
    <row r="1523">
      <c r="A1523" s="35" t="s">
        <v>3447</v>
      </c>
      <c r="B1523" s="31" t="s">
        <v>3448</v>
      </c>
      <c r="C1523" s="31"/>
      <c r="D1523" s="37" t="s">
        <v>14</v>
      </c>
      <c r="E1523" s="10"/>
      <c r="F1523" s="36"/>
      <c r="G1523" s="11">
        <v>441518.0</v>
      </c>
      <c r="H1523" s="34" t="str">
        <f>IFERROR(__xludf.DUMMYFUNCTION("LOWER(REGEXREPLACE(B1523&amp;"" ""&amp;C1523,""[^а-яa-z0-9 ]"","" ""))")," тол тумба купе       15 6     1500 600 850 870 мм  ")</f>
        <v> тол тумба купе       15 6     1500 600 850 870 мм  </v>
      </c>
    </row>
    <row r="1524">
      <c r="A1524" s="35" t="s">
        <v>3449</v>
      </c>
      <c r="B1524" s="31" t="s">
        <v>3450</v>
      </c>
      <c r="C1524" s="31"/>
      <c r="D1524" s="37" t="s">
        <v>14</v>
      </c>
      <c r="E1524" s="10"/>
      <c r="F1524" s="36"/>
      <c r="G1524" s="11">
        <v>461161.0</v>
      </c>
      <c r="H1524" s="34" t="str">
        <f>IFERROR(__xludf.DUMMYFUNCTION("LOWER(REGEXREPLACE(B1524&amp;"" ""&amp;C1524,""[^а-яa-z0-9 ]"","" ""))")," тол тумба купе       15 7     1500 700 850 870 мм  ")</f>
        <v> тол тумба купе       15 7     1500 700 850 870 мм  </v>
      </c>
    </row>
    <row r="1525">
      <c r="A1525" s="35" t="s">
        <v>3451</v>
      </c>
      <c r="B1525" s="31" t="s">
        <v>3452</v>
      </c>
      <c r="C1525" s="31"/>
      <c r="D1525" s="37" t="s">
        <v>14</v>
      </c>
      <c r="E1525" s="10"/>
      <c r="F1525" s="36"/>
      <c r="G1525" s="11">
        <v>404732.0</v>
      </c>
      <c r="H1525" s="34" t="str">
        <f>IFERROR(__xludf.DUMMYFUNCTION("LOWER(REGEXREPLACE(B1525&amp;"" ""&amp;C1525,""[^а-яa-z0-9 ]"","" ""))")," тол тумба купе     2  корпус нерж  ")</f>
        <v> тол тумба купе     2  корпус нерж  </v>
      </c>
    </row>
    <row r="1526">
      <c r="A1526" s="35" t="s">
        <v>3453</v>
      </c>
      <c r="B1526" s="31" t="s">
        <v>3454</v>
      </c>
      <c r="C1526" s="31"/>
      <c r="D1526" s="37" t="s">
        <v>14</v>
      </c>
      <c r="E1526" s="10"/>
      <c r="F1526" s="36"/>
      <c r="G1526" s="11"/>
      <c r="H1526" s="34" t="str">
        <f>IFERROR(__xludf.DUMMYFUNCTION("LOWER(REGEXREPLACE(B1526&amp;"" ""&amp;C1526,""[^а-яa-z0-9 ]"","" ""))")," тол мойка ")</f>
        <v> тол мойка </v>
      </c>
    </row>
    <row r="1527">
      <c r="A1527" s="35" t="s">
        <v>3455</v>
      </c>
      <c r="B1527" s="31" t="s">
        <v>3456</v>
      </c>
      <c r="C1527" s="31" t="s">
        <v>3457</v>
      </c>
      <c r="D1527" s="37" t="s">
        <v>14</v>
      </c>
      <c r="E1527" s="10"/>
      <c r="F1527" s="38">
        <v>30.0</v>
      </c>
      <c r="G1527" s="11">
        <v>343750.0</v>
      </c>
      <c r="H1527" s="34" t="str">
        <f>IFERROR(__xludf.DUMMYFUNCTION("LOWER(REGEXREPLACE(B1527&amp;"" ""&amp;C1527,""[^а-яa-z0-9 ]"","" ""))")," тол мойка со смесителем 500х500х850 мм  тол мойка производственный со смесителем   азмеры 500х500х850мм")</f>
        <v> тол мойка со смесителем 500х500х850 мм  тол мойка производственный со смесителем   азмеры 500х500х850мм</v>
      </c>
    </row>
    <row r="1528">
      <c r="A1528" s="35" t="s">
        <v>3458</v>
      </c>
      <c r="B1528" s="31" t="s">
        <v>3459</v>
      </c>
      <c r="C1528" s="31"/>
      <c r="D1528" s="37" t="s">
        <v>14</v>
      </c>
      <c r="E1528" s="10"/>
      <c r="F1528" s="36"/>
      <c r="G1528" s="11"/>
      <c r="H1528" s="34" t="str">
        <f>IFERROR(__xludf.DUMMYFUNCTION("LOWER(REGEXREPLACE(B1528&amp;"" ""&amp;C1528,""[^а-яa-z0-9 ]"","" ""))")," тол кухонный рабочий ")</f>
        <v> тол кухонный рабочий </v>
      </c>
    </row>
    <row r="1529">
      <c r="A1529" s="35" t="s">
        <v>3460</v>
      </c>
      <c r="B1529" s="9" t="s">
        <v>3461</v>
      </c>
      <c r="C1529" s="31"/>
      <c r="D1529" s="37" t="s">
        <v>14</v>
      </c>
      <c r="E1529" s="10"/>
      <c r="F1529" s="36"/>
      <c r="G1529" s="11">
        <v>28021.0</v>
      </c>
      <c r="H1529" s="34" t="str">
        <f>IFERROR(__xludf.DUMMYFUNCTION("LOWER(REGEXREPLACE(B1529&amp;"" ""&amp;C1529,""[^а-яa-z0-9 ]"","" ""))")," тол разделочный               6 6    600 600 мм  полка решетка ")</f>
        <v> тол разделочный               6 6    600 600 мм  полка решетка </v>
      </c>
    </row>
    <row r="1530">
      <c r="A1530" s="35" t="s">
        <v>3462</v>
      </c>
      <c r="B1530" s="9" t="s">
        <v>3463</v>
      </c>
      <c r="C1530" s="31"/>
      <c r="D1530" s="37" t="s">
        <v>14</v>
      </c>
      <c r="E1530" s="10"/>
      <c r="F1530" s="36"/>
      <c r="G1530" s="11">
        <v>30548.0</v>
      </c>
      <c r="H1530" s="34" t="str">
        <f>IFERROR(__xludf.DUMMYFUNCTION("LOWER(REGEXREPLACE(B1530&amp;"" ""&amp;C1530,""[^а-яa-z0-9 ]"","" ""))")," тол разделочный           с бортом    б 6 6     600 600 915 935  мм  полка решетка ")</f>
        <v> тол разделочный           с бортом    б 6 6     600 600 915 935  мм  полка решетка </v>
      </c>
    </row>
    <row r="1531">
      <c r="A1531" s="35" t="s">
        <v>3464</v>
      </c>
      <c r="B1531" s="9" t="s">
        <v>3465</v>
      </c>
      <c r="C1531" s="31"/>
      <c r="D1531" s="37" t="s">
        <v>14</v>
      </c>
      <c r="E1531" s="10"/>
      <c r="F1531" s="36"/>
      <c r="G1531" s="11">
        <v>32214.0</v>
      </c>
      <c r="H1531" s="34" t="str">
        <f>IFERROR(__xludf.DUMMYFUNCTION("LOWER(REGEXREPLACE(B1531&amp;"" ""&amp;C1531,""[^а-яa-z0-9 ]"","" ""))")," тол разделочный             с бортом    б 6 6    600 600 915 935  мм  полка решетка ")</f>
        <v> тол разделочный             с бортом    б 6 6    600 600 915 935  мм  полка решетка </v>
      </c>
    </row>
    <row r="1532">
      <c r="A1532" s="35" t="s">
        <v>3466</v>
      </c>
      <c r="B1532" s="9" t="s">
        <v>3467</v>
      </c>
      <c r="C1532" s="31"/>
      <c r="D1532" s="37" t="s">
        <v>14</v>
      </c>
      <c r="E1532" s="10"/>
      <c r="F1532" s="36"/>
      <c r="G1532" s="11">
        <v>31966.0</v>
      </c>
      <c r="H1532" s="34" t="str">
        <f>IFERROR(__xludf.DUMMYFUNCTION("LOWER(REGEXREPLACE(B1532&amp;"" ""&amp;C1532,""[^а-яa-z0-9 ]"","" ""))")," тол разделочный               8 6    800 600 мм  полка решетка ")</f>
        <v> тол разделочный               8 6    800 600 мм  полка решетка </v>
      </c>
    </row>
    <row r="1533">
      <c r="A1533" s="35" t="s">
        <v>3468</v>
      </c>
      <c r="B1533" s="31" t="s">
        <v>3469</v>
      </c>
      <c r="C1533" s="31"/>
      <c r="D1533" s="37" t="s">
        <v>14</v>
      </c>
      <c r="E1533" s="10"/>
      <c r="F1533" s="36"/>
      <c r="G1533" s="11">
        <v>33604.0</v>
      </c>
      <c r="H1533" s="34" t="str">
        <f>IFERROR(__xludf.DUMMYFUNCTION("LOWER(REGEXREPLACE(B1533&amp;"" ""&amp;C1533,""[^а-яa-z0-9 ]"","" ""))")," тол разделочный           с бортом    б 8 6    800 600 мм  полка решетка ")</f>
        <v> тол разделочный           с бортом    б 8 6    800 600 мм  полка решетка </v>
      </c>
    </row>
    <row r="1534">
      <c r="A1534" s="35" t="s">
        <v>3470</v>
      </c>
      <c r="B1534" s="9" t="s">
        <v>3471</v>
      </c>
      <c r="C1534" s="31"/>
      <c r="D1534" s="37" t="s">
        <v>14</v>
      </c>
      <c r="E1534" s="10"/>
      <c r="F1534" s="36"/>
      <c r="G1534" s="11">
        <v>36927.0</v>
      </c>
      <c r="H1534" s="34" t="str">
        <f>IFERROR(__xludf.DUMMYFUNCTION("LOWER(REGEXREPLACE(B1534&amp;"" ""&amp;C1534,""[^а-яa-z0-9 ]"","" ""))")," тол разделочный               10 6    1000 600 мм  полка решетка ")</f>
        <v> тол разделочный               10 6    1000 600 мм  полка решетка </v>
      </c>
    </row>
    <row r="1535">
      <c r="A1535" s="35" t="s">
        <v>3472</v>
      </c>
      <c r="B1535" s="31" t="s">
        <v>3473</v>
      </c>
      <c r="C1535" s="31"/>
      <c r="D1535" s="37" t="s">
        <v>14</v>
      </c>
      <c r="E1535" s="10"/>
      <c r="F1535" s="36"/>
      <c r="G1535" s="11">
        <v>39190.0</v>
      </c>
      <c r="H1535" s="34" t="str">
        <f>IFERROR(__xludf.DUMMYFUNCTION("LOWER(REGEXREPLACE(B1535&amp;"" ""&amp;C1535,""[^а-яa-z0-9 ]"","" ""))")," тол разделочный           с бортом    б 10 6    1000 600 мм  полка решетка ")</f>
        <v> тол разделочный           с бортом    б 10 6    1000 600 мм  полка решетка </v>
      </c>
    </row>
    <row r="1536">
      <c r="A1536" s="35" t="s">
        <v>3474</v>
      </c>
      <c r="B1536" s="9" t="s">
        <v>3475</v>
      </c>
      <c r="C1536" s="31"/>
      <c r="D1536" s="37" t="s">
        <v>14</v>
      </c>
      <c r="E1536" s="10"/>
      <c r="F1536" s="36"/>
      <c r="G1536" s="11">
        <v>42939.0</v>
      </c>
      <c r="H1536" s="34" t="str">
        <f>IFERROR(__xludf.DUMMYFUNCTION("LOWER(REGEXREPLACE(B1536&amp;"" ""&amp;C1536,""[^а-яa-z0-9 ]"","" ""))")," тол разделочный             с бортом    б 10 6     1000 600 915 935  мм  полка решетка ")</f>
        <v> тол разделочный             с бортом    б 10 6     1000 600 915 935  мм  полка решетка </v>
      </c>
    </row>
    <row r="1537">
      <c r="A1537" s="35" t="s">
        <v>3476</v>
      </c>
      <c r="B1537" s="9" t="s">
        <v>3477</v>
      </c>
      <c r="C1537" s="31"/>
      <c r="D1537" s="37" t="s">
        <v>14</v>
      </c>
      <c r="E1537" s="10"/>
      <c r="F1537" s="36"/>
      <c r="G1537" s="11">
        <v>41535.0</v>
      </c>
      <c r="H1537" s="34" t="str">
        <f>IFERROR(__xludf.DUMMYFUNCTION("LOWER(REGEXREPLACE(B1537&amp;"" ""&amp;C1537,""[^а-яa-z0-9 ]"","" ""))")," тол разделочный               12 6    1200 600 870 890  мм  полка решетка ")</f>
        <v> тол разделочный               12 6    1200 600 870 890  мм  полка решетка </v>
      </c>
    </row>
    <row r="1538">
      <c r="A1538" s="35" t="s">
        <v>3478</v>
      </c>
      <c r="B1538" s="9" t="s">
        <v>3479</v>
      </c>
      <c r="C1538" s="31"/>
      <c r="D1538" s="37" t="s">
        <v>14</v>
      </c>
      <c r="E1538" s="10"/>
      <c r="F1538" s="36"/>
      <c r="G1538" s="11">
        <v>44218.0</v>
      </c>
      <c r="H1538" s="34" t="str">
        <f>IFERROR(__xludf.DUMMYFUNCTION("LOWER(REGEXREPLACE(B1538&amp;"" ""&amp;C1538,""[^а-яa-z0-9 ]"","" ""))")," тол разделочный           с бортом    б 12 6    1200 600 915 935  мм  полка решетка ")</f>
        <v> тол разделочный           с бортом    б 12 6    1200 600 915 935  мм  полка решетка </v>
      </c>
    </row>
    <row r="1539">
      <c r="A1539" s="35" t="s">
        <v>3480</v>
      </c>
      <c r="B1539" s="9" t="s">
        <v>3481</v>
      </c>
      <c r="C1539" s="31"/>
      <c r="D1539" s="37" t="s">
        <v>14</v>
      </c>
      <c r="E1539" s="10"/>
      <c r="F1539" s="36"/>
      <c r="G1539" s="11">
        <v>46500.0</v>
      </c>
      <c r="H1539" s="34" t="str">
        <f>IFERROR(__xludf.DUMMYFUNCTION("LOWER(REGEXREPLACE(B1539&amp;"" ""&amp;C1539,""[^а-яa-z0-9 ]"","" ""))")," тол разделочный                 12 6    1200 600 870 890  мм  полка решетка ")</f>
        <v> тол разделочный                 12 6    1200 600 870 890  мм  полка решетка </v>
      </c>
    </row>
    <row r="1540">
      <c r="A1540" s="35" t="s">
        <v>3482</v>
      </c>
      <c r="B1540" s="9" t="s">
        <v>3483</v>
      </c>
      <c r="C1540" s="31"/>
      <c r="D1540" s="37" t="s">
        <v>14</v>
      </c>
      <c r="E1540" s="10"/>
      <c r="F1540" s="36"/>
      <c r="G1540" s="11">
        <v>47364.0</v>
      </c>
      <c r="H1540" s="34" t="str">
        <f>IFERROR(__xludf.DUMMYFUNCTION("LOWER(REGEXREPLACE(B1540&amp;"" ""&amp;C1540,""[^а-яa-z0-9 ]"","" ""))")," тол разделочный             с бортом    б 12 6    1200 600 915 935  мм  полка решетка ")</f>
        <v> тол разделочный             с бортом    б 12 6    1200 600 915 935  мм  полка решетка </v>
      </c>
    </row>
    <row r="1541">
      <c r="A1541" s="35" t="s">
        <v>3484</v>
      </c>
      <c r="B1541" s="9" t="s">
        <v>3485</v>
      </c>
      <c r="C1541" s="31"/>
      <c r="D1541" s="37" t="s">
        <v>14</v>
      </c>
      <c r="E1541" s="10"/>
      <c r="F1541" s="36"/>
      <c r="G1541" s="11">
        <v>45239.0</v>
      </c>
      <c r="H1541" s="34" t="str">
        <f>IFERROR(__xludf.DUMMYFUNCTION("LOWER(REGEXREPLACE(B1541&amp;"" ""&amp;C1541,""[^а-яa-z0-9 ]"","" ""))")," тол разделочный               15 6    1500 600 870 890  мм  полка решетка ")</f>
        <v> тол разделочный               15 6    1500 600 870 890  мм  полка решетка </v>
      </c>
    </row>
    <row r="1542">
      <c r="A1542" s="35" t="s">
        <v>3486</v>
      </c>
      <c r="B1542" s="9" t="s">
        <v>3487</v>
      </c>
      <c r="C1542" s="31"/>
      <c r="D1542" s="37" t="s">
        <v>14</v>
      </c>
      <c r="E1542" s="10"/>
      <c r="F1542" s="36"/>
      <c r="G1542" s="11">
        <v>48090.0</v>
      </c>
      <c r="H1542" s="34" t="str">
        <f>IFERROR(__xludf.DUMMYFUNCTION("LOWER(REGEXREPLACE(B1542&amp;"" ""&amp;C1542,""[^а-яa-z0-9 ]"","" ""))")," тол разделочный           с бортом    б 15 6    1500 600 915 935  мм  полка решетка ")</f>
        <v> тол разделочный           с бортом    б 15 6    1500 600 915 935  мм  полка решетка </v>
      </c>
    </row>
    <row r="1543">
      <c r="A1543" s="35" t="s">
        <v>3488</v>
      </c>
      <c r="B1543" s="9" t="s">
        <v>3489</v>
      </c>
      <c r="C1543" s="31"/>
      <c r="D1543" s="37" t="s">
        <v>14</v>
      </c>
      <c r="E1543" s="10"/>
      <c r="F1543" s="36"/>
      <c r="G1543" s="11">
        <v>48782.0</v>
      </c>
      <c r="H1543" s="34" t="str">
        <f>IFERROR(__xludf.DUMMYFUNCTION("LOWER(REGEXREPLACE(B1543&amp;"" ""&amp;C1543,""[^а-яa-z0-9 ]"","" ""))")," тол разделочный               12 7    1200 700 мм  полка решетка ")</f>
        <v> тол разделочный               12 7    1200 700 мм  полка решетка </v>
      </c>
    </row>
    <row r="1544">
      <c r="A1544" s="35" t="s">
        <v>3490</v>
      </c>
      <c r="B1544" s="31" t="s">
        <v>3491</v>
      </c>
      <c r="C1544" s="31"/>
      <c r="D1544" s="37" t="s">
        <v>14</v>
      </c>
      <c r="E1544" s="10"/>
      <c r="F1544" s="36"/>
      <c r="G1544" s="11">
        <v>51452.0</v>
      </c>
      <c r="H1544" s="34" t="str">
        <f>IFERROR(__xludf.DUMMYFUNCTION("LOWER(REGEXREPLACE(B1544&amp;"" ""&amp;C1544,""[^а-яa-z0-9 ]"","" ""))")," тол разделочный           с бортом    б 12 7    1200 700 мм  полка решетка ")</f>
        <v> тол разделочный           с бортом    б 12 7    1200 700 мм  полка решетка </v>
      </c>
    </row>
    <row r="1545">
      <c r="A1545" s="35" t="s">
        <v>3492</v>
      </c>
      <c r="B1545" s="9" t="s">
        <v>3493</v>
      </c>
      <c r="C1545" s="31"/>
      <c r="D1545" s="37" t="s">
        <v>14</v>
      </c>
      <c r="E1545" s="10"/>
      <c r="F1545" s="36"/>
      <c r="G1545" s="11">
        <v>51055.0</v>
      </c>
      <c r="H1545" s="34" t="str">
        <f>IFERROR(__xludf.DUMMYFUNCTION("LOWER(REGEXREPLACE(B1545&amp;"" ""&amp;C1545,""[^а-яa-z0-9 ]"","" ""))")," тол разделочный               18 6    1800 600 870 890  мм  полка решетка ")</f>
        <v> тол разделочный               18 6    1800 600 870 890  мм  полка решетка </v>
      </c>
    </row>
    <row r="1546">
      <c r="A1546" s="35" t="s">
        <v>3494</v>
      </c>
      <c r="B1546" s="9" t="s">
        <v>3495</v>
      </c>
      <c r="C1546" s="31"/>
      <c r="D1546" s="37" t="s">
        <v>14</v>
      </c>
      <c r="E1546" s="10"/>
      <c r="F1546" s="36"/>
      <c r="G1546" s="11">
        <v>54345.0</v>
      </c>
      <c r="H1546" s="34" t="str">
        <f>IFERROR(__xludf.DUMMYFUNCTION("LOWER(REGEXREPLACE(B1546&amp;"" ""&amp;C1546,""[^а-яa-z0-9 ]"","" ""))")," тол разделочный           с бортом    б 18 6    1800 600 915 935  мм  полка решетка ")</f>
        <v> тол разделочный           с бортом    б 18 6    1800 600 915 935  мм  полка решетка </v>
      </c>
    </row>
    <row r="1547">
      <c r="A1547" s="35" t="s">
        <v>3496</v>
      </c>
      <c r="B1547" s="9" t="s">
        <v>3497</v>
      </c>
      <c r="C1547" s="31"/>
      <c r="D1547" s="37" t="s">
        <v>14</v>
      </c>
      <c r="E1547" s="10"/>
      <c r="F1547" s="36"/>
      <c r="G1547" s="11">
        <v>61020.0</v>
      </c>
      <c r="H1547" s="34" t="str">
        <f>IFERROR(__xludf.DUMMYFUNCTION("LOWER(REGEXREPLACE(B1547&amp;"" ""&amp;C1547,""[^а-яa-z0-9 ]"","" ""))")," тол разделочный               18 7    1800 700 870 890  мм  полка решетка ")</f>
        <v> тол разделочный               18 7    1800 700 870 890  мм  полка решетка </v>
      </c>
    </row>
    <row r="1548">
      <c r="A1548" s="35" t="s">
        <v>3498</v>
      </c>
      <c r="B1548" s="9" t="s">
        <v>3499</v>
      </c>
      <c r="C1548" s="31"/>
      <c r="D1548" s="37" t="s">
        <v>14</v>
      </c>
      <c r="E1548" s="10"/>
      <c r="F1548" s="36"/>
      <c r="G1548" s="11">
        <v>65527.0</v>
      </c>
      <c r="H1548" s="34" t="str">
        <f>IFERROR(__xludf.DUMMYFUNCTION("LOWER(REGEXREPLACE(B1548&amp;"" ""&amp;C1548,""[^а-яa-z0-9 ]"","" ""))")," тол разделочный           с бортом    б 15 7    1500 700 915 935  мм  полка решетка ")</f>
        <v> тол разделочный           с бортом    б 15 7    1500 700 915 935  мм  полка решетка </v>
      </c>
    </row>
    <row r="1549">
      <c r="A1549" s="35" t="s">
        <v>3500</v>
      </c>
      <c r="B1549" s="31" t="s">
        <v>3501</v>
      </c>
      <c r="C1549" s="31"/>
      <c r="D1549" s="37" t="s">
        <v>14</v>
      </c>
      <c r="E1549" s="10"/>
      <c r="F1549" s="36"/>
      <c r="G1549" s="11"/>
      <c r="H1549" s="34" t="str">
        <f>IFERROR(__xludf.DUMMYFUNCTION("LOWER(REGEXREPLACE(B1549&amp;"" ""&amp;C1549,""[^а-яa-z0-9 ]"","" ""))")," абурет ")</f>
        <v> абурет </v>
      </c>
    </row>
    <row r="1550">
      <c r="A1550" s="35" t="s">
        <v>3502</v>
      </c>
      <c r="B1550" s="31" t="s">
        <v>3503</v>
      </c>
      <c r="C1550" s="31" t="s">
        <v>3503</v>
      </c>
      <c r="D1550" s="37" t="s">
        <v>14</v>
      </c>
      <c r="E1550" s="38">
        <v>2.0</v>
      </c>
      <c r="F1550" s="38">
        <v>1.0</v>
      </c>
      <c r="G1550" s="11">
        <v>7195.0</v>
      </c>
      <c r="H1550" s="34" t="str">
        <f>IFERROR(__xludf.DUMMYFUNCTION("LOWER(REGEXREPLACE(B1550&amp;"" ""&amp;C1550,""[^а-яa-z0-9 ]"","" ""))")," абурет   снование металлокаркас  сиденье из      16мм  размеры 300х300х420мм  абурет   снование металлокаркас  сиденье из      16мм  размеры 300х300х420мм")</f>
        <v> абурет   снование металлокаркас  сиденье из      16мм  размеры 300х300х420мм  абурет   снование металлокаркас  сиденье из      16мм  размеры 300х300х420мм</v>
      </c>
    </row>
    <row r="1551">
      <c r="A1551" s="35" t="s">
        <v>3504</v>
      </c>
      <c r="B1551" s="31" t="s">
        <v>3505</v>
      </c>
      <c r="C1551" s="31" t="s">
        <v>3506</v>
      </c>
      <c r="D1551" s="37" t="s">
        <v>14</v>
      </c>
      <c r="E1551" s="38">
        <v>2.0</v>
      </c>
      <c r="F1551" s="38">
        <v>5.0</v>
      </c>
      <c r="G1551" s="11">
        <v>15176.0</v>
      </c>
      <c r="H1551" s="34" t="str">
        <f>IFERROR(__xludf.DUMMYFUNCTION("LOWER(REGEXREPLACE(B1551&amp;"" ""&amp;C1551,""[^а-яa-z0-9 ]"","" ""))"),"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зак"&amp;"реплена к металлическому каркасу при помощи самореза 4х16 мм  в основании опор пластиковая заглушка для избежания порчи полового покрытия ")</f>
        <v>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 </v>
      </c>
    </row>
    <row r="1552">
      <c r="A1552" s="35" t="s">
        <v>3507</v>
      </c>
      <c r="B1552" s="31" t="s">
        <v>3508</v>
      </c>
      <c r="C1552" s="31"/>
      <c r="D1552" s="37" t="s">
        <v>14</v>
      </c>
      <c r="E1552" s="10"/>
      <c r="F1552" s="36"/>
      <c r="G1552" s="11">
        <v>7446.0</v>
      </c>
      <c r="H1552" s="34" t="str">
        <f>IFERROR(__xludf.DUMMYFUNCTION("LOWER(REGEXREPLACE(B1552&amp;"" ""&amp;C1552,""[^а-яa-z0-9 ]"","" ""))")," есы бытовые настольные ")</f>
        <v> есы бытовые настольные </v>
      </c>
    </row>
    <row r="1553">
      <c r="A1553" s="35" t="s">
        <v>3509</v>
      </c>
      <c r="B1553" s="31" t="s">
        <v>3510</v>
      </c>
      <c r="C1553" s="31"/>
      <c r="D1553" s="37" t="s">
        <v>14</v>
      </c>
      <c r="E1553" s="10"/>
      <c r="F1553" s="36"/>
      <c r="G1553" s="11"/>
      <c r="H1553" s="34" t="str">
        <f>IFERROR(__xludf.DUMMYFUNCTION("LOWER(REGEXREPLACE(B1553&amp;"" ""&amp;C1553,""[^а-яa-z0-9 ]"","" ""))")," офеварка ")</f>
        <v> офеварка </v>
      </c>
    </row>
    <row r="1554">
      <c r="A1554" s="35" t="s">
        <v>3511</v>
      </c>
      <c r="B1554" s="9" t="s">
        <v>3512</v>
      </c>
      <c r="C1554" s="31"/>
      <c r="D1554" s="37" t="s">
        <v>14</v>
      </c>
      <c r="E1554" s="10"/>
      <c r="F1554" s="36"/>
      <c r="G1554" s="11">
        <v>135446.0</v>
      </c>
      <c r="H1554" s="34" t="str">
        <f>IFERROR(__xludf.DUMMYFUNCTION("LOWER(REGEXREPLACE(B1554&amp;"" ""&amp;C1554,""[^а-яa-z0-9 ]"","" ""))")," офеварка электрическая  1     кофе на песке   305 280 190 мм  ")</f>
        <v> офеварка электрическая  1     кофе на песке   305 280 190 мм  </v>
      </c>
    </row>
    <row r="1555">
      <c r="A1555" s="35" t="s">
        <v>3513</v>
      </c>
      <c r="B1555" s="9" t="s">
        <v>3514</v>
      </c>
      <c r="C1555" s="31"/>
      <c r="D1555" s="37" t="s">
        <v>14</v>
      </c>
      <c r="E1555" s="10"/>
      <c r="F1555" s="36"/>
      <c r="G1555" s="11">
        <v>235357.0</v>
      </c>
      <c r="H1555" s="34" t="str">
        <f>IFERROR(__xludf.DUMMYFUNCTION("LOWER(REGEXREPLACE(B1555&amp;"" ""&amp;C1555,""[^а-яa-z0-9 ]"","" ""))")," офеварка               709  415 315 355 мм  ")</f>
        <v> офеварка               709  415 315 355 мм  </v>
      </c>
    </row>
    <row r="1556">
      <c r="A1556" s="35" t="s">
        <v>3515</v>
      </c>
      <c r="B1556" s="31" t="s">
        <v>3516</v>
      </c>
      <c r="C1556" s="31"/>
      <c r="D1556" s="37" t="s">
        <v>14</v>
      </c>
      <c r="E1556" s="10"/>
      <c r="F1556" s="36"/>
      <c r="G1556" s="11"/>
      <c r="H1556" s="34" t="str">
        <f>IFERROR(__xludf.DUMMYFUNCTION("LOWER(REGEXREPLACE(B1556&amp;"" ""&amp;C1556,""[^а-яa-z0-9 ]"","" ""))")," офемолка ")</f>
        <v> офемолка </v>
      </c>
    </row>
    <row r="1557">
      <c r="A1557" s="35" t="s">
        <v>3517</v>
      </c>
      <c r="B1557" s="31" t="s">
        <v>3518</v>
      </c>
      <c r="C1557" s="31"/>
      <c r="D1557" s="37" t="s">
        <v>14</v>
      </c>
      <c r="E1557" s="10"/>
      <c r="F1557" s="36"/>
      <c r="G1557" s="11">
        <v>48393.0</v>
      </c>
      <c r="H1557" s="34" t="str">
        <f>IFERROR(__xludf.DUMMYFUNCTION("LOWER(REGEXREPLACE(B1557&amp;"" ""&amp;C1557,""[^а-яa-z0-9 ]"","" ""))")," офемолка            3000  220 120 360 мм  ")</f>
        <v> офемолка            3000  220 120 360 мм  </v>
      </c>
    </row>
    <row r="1558">
      <c r="A1558" s="35" t="s">
        <v>3519</v>
      </c>
      <c r="B1558" s="31" t="s">
        <v>3520</v>
      </c>
      <c r="C1558" s="31"/>
      <c r="D1558" s="37" t="s">
        <v>14</v>
      </c>
      <c r="E1558" s="10"/>
      <c r="F1558" s="36"/>
      <c r="G1558" s="11">
        <v>91607.0</v>
      </c>
      <c r="H1558" s="34" t="str">
        <f>IFERROR(__xludf.DUMMYFUNCTION("LOWER(REGEXREPLACE(B1558&amp;"" ""&amp;C1558,""[^а-яa-z0-9 ]"","" ""))")," офемолка            1800  230 140 430 мм  ")</f>
        <v> офемолка            1800  230 140 430 мм  </v>
      </c>
    </row>
    <row r="1559">
      <c r="A1559" s="35" t="s">
        <v>3521</v>
      </c>
      <c r="B1559" s="31" t="s">
        <v>3522</v>
      </c>
      <c r="C1559" s="31"/>
      <c r="D1559" s="37" t="s">
        <v>14</v>
      </c>
      <c r="E1559" s="10"/>
      <c r="F1559" s="36"/>
      <c r="G1559" s="11">
        <v>249018.0</v>
      </c>
      <c r="H1559" s="34" t="str">
        <f>IFERROR(__xludf.DUMMYFUNCTION("LOWER(REGEXREPLACE(B1559&amp;"" ""&amp;C1559,""[^а-яa-z0-9 ]"","" ""))")," офемолка  acap   6  черная серебро  230x370x600 мм  ")</f>
        <v> офемолка  acap   6  черная серебро  230x370x600 мм  </v>
      </c>
    </row>
    <row r="1560">
      <c r="A1560" s="35" t="s">
        <v>3523</v>
      </c>
      <c r="B1560" s="31" t="s">
        <v>3524</v>
      </c>
      <c r="C1560" s="31"/>
      <c r="D1560" s="37" t="s">
        <v>14</v>
      </c>
      <c r="E1560" s="10"/>
      <c r="F1560" s="36"/>
      <c r="G1560" s="11">
        <v>276607.0</v>
      </c>
      <c r="H1560" s="34" t="str">
        <f>IFERROR(__xludf.DUMMYFUNCTION("LOWER(REGEXREPLACE(B1560&amp;"" ""&amp;C1560,""[^а-яa-z0-9 ]"","" ""))")," офемолка  acap     черная серебро  230x370x600 мм  ")</f>
        <v> офемолка  acap     черная серебро  230x370x600 мм  </v>
      </c>
    </row>
    <row r="1561">
      <c r="A1561" s="35" t="s">
        <v>3525</v>
      </c>
      <c r="B1561" s="31" t="s">
        <v>3526</v>
      </c>
      <c r="C1561" s="31"/>
      <c r="D1561" s="37" t="s">
        <v>14</v>
      </c>
      <c r="E1561" s="10"/>
      <c r="F1561" s="36"/>
      <c r="G1561" s="11">
        <v>281607.0</v>
      </c>
      <c r="H1561" s="34" t="str">
        <f>IFERROR(__xludf.DUMMYFUNCTION("LOWER(REGEXREPLACE(B1561&amp;"" ""&amp;C1561,""[^а-яa-z0-9 ]"","" ""))")," офемолка  irman     230 360 700 мм  ")</f>
        <v> офемолка  irman     230 360 700 мм  </v>
      </c>
    </row>
    <row r="1562">
      <c r="A1562" s="35" t="s">
        <v>3527</v>
      </c>
      <c r="B1562" s="31" t="s">
        <v>3528</v>
      </c>
      <c r="C1562" s="31"/>
      <c r="D1562" s="37" t="s">
        <v>14</v>
      </c>
      <c r="E1562" s="10"/>
      <c r="F1562" s="36"/>
      <c r="G1562" s="11">
        <v>455357.0</v>
      </c>
      <c r="H1562" s="34" t="str">
        <f>IFERROR(__xludf.DUMMYFUNCTION("LOWER(REGEXREPLACE(B1562&amp;"" ""&amp;C1562,""[^а-яa-z0-9 ]"","" ""))")," офемолка дозатор  uova  imonelli     on        190 360 590 мм  ")</f>
        <v> офемолка дозатор  uova  imonelli     on        190 360 590 мм  </v>
      </c>
    </row>
    <row r="1563">
      <c r="A1563" s="35" t="s">
        <v>3529</v>
      </c>
      <c r="B1563" s="31" t="s">
        <v>3530</v>
      </c>
      <c r="C1563" s="31"/>
      <c r="D1563" s="37" t="s">
        <v>14</v>
      </c>
      <c r="E1563" s="10"/>
      <c r="F1563" s="36"/>
      <c r="G1563" s="11">
        <v>785893.0</v>
      </c>
      <c r="H1563" s="34" t="str">
        <f>IFERROR(__xludf.DUMMYFUNCTION("LOWER(REGEXREPLACE(B1563&amp;"" ""&amp;C1563,""[^а-яa-z0-9 ]"","" ""))")," офемолка  iorenzato  64   черная  230 270 615 мм  ")</f>
        <v> офемолка  iorenzato  64   черная  230 270 615 мм  </v>
      </c>
    </row>
    <row r="1564">
      <c r="A1564" s="35" t="s">
        <v>3531</v>
      </c>
      <c r="B1564" s="31" t="s">
        <v>3532</v>
      </c>
      <c r="C1564" s="31"/>
      <c r="D1564" s="37" t="s">
        <v>14</v>
      </c>
      <c r="E1564" s="10"/>
      <c r="F1564" s="36"/>
      <c r="G1564" s="11">
        <v>553571.0</v>
      </c>
      <c r="H1564" s="34" t="str">
        <f>IFERROR(__xludf.DUMMYFUNCTION("LOWER(REGEXREPLACE(B1564&amp;"" ""&amp;C1564,""[^а-яa-z0-9 ]"","" ""))")," офемолка дозатор  uova  imonelli      on         212 290 585 мм  ")</f>
        <v> офемолка дозатор  uova  imonelli      on         212 290 585 мм  </v>
      </c>
    </row>
    <row r="1565">
      <c r="A1565" s="35" t="s">
        <v>3533</v>
      </c>
      <c r="B1565" s="31" t="s">
        <v>3534</v>
      </c>
      <c r="C1565" s="31"/>
      <c r="D1565" s="37" t="s">
        <v>14</v>
      </c>
      <c r="E1565" s="10"/>
      <c r="F1565" s="36"/>
      <c r="G1565" s="11"/>
      <c r="H1565" s="34" t="str">
        <f>IFERROR(__xludf.DUMMYFUNCTION("LOWER(REGEXREPLACE(B1565&amp;"" ""&amp;C1565,""[^а-яa-z0-9 ]"","" ""))")," икроволновая печь ")</f>
        <v> икроволновая печь </v>
      </c>
    </row>
    <row r="1566">
      <c r="A1566" s="35" t="s">
        <v>3535</v>
      </c>
      <c r="B1566" s="31" t="s">
        <v>3534</v>
      </c>
      <c r="C1566" s="31" t="s">
        <v>3536</v>
      </c>
      <c r="D1566" s="37" t="s">
        <v>14</v>
      </c>
      <c r="E1566" s="38">
        <v>2.0</v>
      </c>
      <c r="F1566" s="38">
        <v>12.0</v>
      </c>
      <c r="G1566" s="11">
        <v>31522.0</v>
      </c>
      <c r="H1566" s="34" t="str">
        <f>IFERROR(__xludf.DUMMYFUNCTION("LOWER(REGEXREPLACE(B1566&amp;"" ""&amp;C1566,""[^а-яa-z0-9 ]"","" ""))")," икроволновая печь  икроволновая печь   ощность 700 т  внутренний объем не менее 20л  тип управления механическое")</f>
        <v> икроволновая печь  икроволновая печь   ощность 700 т  внутренний объем не менее 20л  тип управления механическое</v>
      </c>
    </row>
    <row r="1567">
      <c r="A1567" s="35" t="s">
        <v>3537</v>
      </c>
      <c r="B1567" s="31" t="s">
        <v>3538</v>
      </c>
      <c r="C1567" s="31" t="s">
        <v>3539</v>
      </c>
      <c r="D1567" s="37" t="s">
        <v>14</v>
      </c>
      <c r="E1567" s="38">
        <v>2.0</v>
      </c>
      <c r="F1567" s="39">
        <v>1.2</v>
      </c>
      <c r="G1567" s="11">
        <v>13287.0</v>
      </c>
      <c r="H1567" s="34" t="str">
        <f>IFERROR(__xludf.DUMMYFUNCTION("LOWER(REGEXREPLACE(B1567&amp;"" ""&amp;C1567,""[^а-яa-z0-9 ]"","" ""))"),"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f>
        <v>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v>
      </c>
    </row>
    <row r="1568">
      <c r="A1568" s="35" t="s">
        <v>3540</v>
      </c>
      <c r="B1568" s="31" t="s">
        <v>3541</v>
      </c>
      <c r="C1568" s="31"/>
      <c r="D1568" s="37" t="s">
        <v>14</v>
      </c>
      <c r="E1568" s="10"/>
      <c r="F1568" s="36"/>
      <c r="G1568" s="11"/>
      <c r="H1568" s="34" t="str">
        <f>IFERROR(__xludf.DUMMYFUNCTION("LOWER(REGEXREPLACE(B1568&amp;"" ""&amp;C1568,""[^а-яa-z0-9 ]"","" ""))")," остер ")</f>
        <v> остер </v>
      </c>
    </row>
    <row r="1569">
      <c r="A1569" s="35" t="s">
        <v>3542</v>
      </c>
      <c r="B1569" s="31" t="s">
        <v>3543</v>
      </c>
      <c r="C1569" s="31"/>
      <c r="D1569" s="37" t="s">
        <v>14</v>
      </c>
      <c r="E1569" s="10"/>
      <c r="F1569" s="36"/>
      <c r="G1569" s="11">
        <v>26777.0</v>
      </c>
      <c r="H1569" s="34" t="str">
        <f>IFERROR(__xludf.DUMMYFUNCTION("LOWER(REGEXREPLACE(B1569&amp;"" ""&amp;C1569,""[^а-яa-z0-9 ]"","" ""))")," остер           3 424  мощностью 970  т ")</f>
        <v> остер           3 424  мощностью 970  т </v>
      </c>
    </row>
    <row r="1570">
      <c r="A1570" s="35" t="s">
        <v>3544</v>
      </c>
      <c r="B1570" s="31" t="s">
        <v>3545</v>
      </c>
      <c r="C1570" s="31"/>
      <c r="D1570" s="37" t="s">
        <v>14</v>
      </c>
      <c r="E1570" s="10"/>
      <c r="F1570" s="36"/>
      <c r="G1570" s="11">
        <v>33027.0</v>
      </c>
      <c r="H1570" s="34" t="str">
        <f>IFERROR(__xludf.DUMMYFUNCTION("LOWER(REGEXREPLACE(B1570&amp;"" ""&amp;C1570,""[^а-яa-z0-9 ]"","" ""))")," остер            2635 90  мощностью 240  т ")</f>
        <v> остер            2635 90  мощностью 240  т </v>
      </c>
    </row>
    <row r="1571">
      <c r="A1571" s="35" t="s">
        <v>3546</v>
      </c>
      <c r="B1571" s="9" t="s">
        <v>3547</v>
      </c>
      <c r="C1571" s="31"/>
      <c r="D1571" s="37" t="s">
        <v>14</v>
      </c>
      <c r="E1571" s="10"/>
      <c r="F1571" s="36"/>
      <c r="G1571" s="11">
        <v>44634.0</v>
      </c>
      <c r="H1571" s="34" t="str">
        <f>IFERROR(__xludf.DUMMYFUNCTION("LOWER(REGEXREPLACE(B1571&amp;"" ""&amp;C1571,""[^а-яa-z0-9 ]"","" ""))")," остер             3 1 3    мощностью 800  т ")</f>
        <v> остер             3 1 3    мощностью 800  т </v>
      </c>
    </row>
    <row r="1572">
      <c r="A1572" s="35" t="s">
        <v>3548</v>
      </c>
      <c r="B1572" s="31" t="s">
        <v>3549</v>
      </c>
      <c r="C1572" s="31"/>
      <c r="D1572" s="37" t="s">
        <v>14</v>
      </c>
      <c r="E1572" s="10"/>
      <c r="F1572" s="36"/>
      <c r="G1572" s="11">
        <v>93830.0</v>
      </c>
      <c r="H1572" s="34" t="str">
        <f>IFERROR(__xludf.DUMMYFUNCTION("LOWER(REGEXREPLACE(B1572&amp;"" ""&amp;C1572,""[^а-яa-z0-9 ]"","" ""))")," остер       702  мощностью 1000  т ")</f>
        <v> остер       702  мощностью 1000  т </v>
      </c>
    </row>
    <row r="1573">
      <c r="A1573" s="35" t="s">
        <v>3550</v>
      </c>
      <c r="B1573" s="9" t="s">
        <v>3551</v>
      </c>
      <c r="C1573" s="31"/>
      <c r="D1573" s="37" t="s">
        <v>14</v>
      </c>
      <c r="E1573" s="10"/>
      <c r="F1573" s="36"/>
      <c r="G1573" s="11">
        <v>84813.0</v>
      </c>
      <c r="H1573" s="34" t="str">
        <f>IFERROR(__xludf.DUMMYFUNCTION("LOWER(REGEXREPLACE(B1573&amp;"" ""&amp;C1573,""[^а-яa-z0-9 ]"","" ""))")," остер             5   221     мощностью 1100  т ")</f>
        <v> остер             5   221     мощностью 1100  т </v>
      </c>
    </row>
    <row r="1574">
      <c r="A1574" s="35" t="s">
        <v>3552</v>
      </c>
      <c r="B1574" s="31" t="s">
        <v>3553</v>
      </c>
      <c r="C1574" s="31" t="s">
        <v>3554</v>
      </c>
      <c r="D1574" s="37" t="s">
        <v>14</v>
      </c>
      <c r="E1574" s="38">
        <v>2.0</v>
      </c>
      <c r="F1574" s="38">
        <v>4.0</v>
      </c>
      <c r="G1574" s="11">
        <v>125781.0</v>
      </c>
      <c r="H1574" s="34" t="str">
        <f>IFERROR(__xludf.DUMMYFUNCTION("LOWER(REGEXREPLACE(B1574&amp;"" ""&amp;C1574,""[^а-яa-z0-9 ]"","" ""))"),"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f>
        <v>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v>
      </c>
    </row>
    <row r="1575">
      <c r="A1575" s="35" t="s">
        <v>3555</v>
      </c>
      <c r="B1575" s="31" t="s">
        <v>3556</v>
      </c>
      <c r="C1575" s="31"/>
      <c r="D1575" s="37" t="s">
        <v>14</v>
      </c>
      <c r="E1575" s="10"/>
      <c r="F1575" s="36"/>
      <c r="G1575" s="11">
        <v>19504.0</v>
      </c>
      <c r="H1575" s="34" t="str">
        <f>IFERROR(__xludf.DUMMYFUNCTION("LOWER(REGEXREPLACE(B1575&amp;"" ""&amp;C1575,""[^а-яa-z0-9 ]"","" ""))")," иксер ")</f>
        <v> иксер </v>
      </c>
    </row>
    <row r="1576">
      <c r="A1576" s="35" t="s">
        <v>3557</v>
      </c>
      <c r="B1576" s="31" t="s">
        <v>3558</v>
      </c>
      <c r="C1576" s="31"/>
      <c r="D1576" s="37" t="s">
        <v>14</v>
      </c>
      <c r="E1576" s="10"/>
      <c r="F1576" s="36"/>
      <c r="G1576" s="11"/>
      <c r="H1576" s="34" t="str">
        <f>IFERROR(__xludf.DUMMYFUNCTION("LOWER(REGEXREPLACE(B1576&amp;"" ""&amp;C1576,""[^а-яa-z0-9 ]"","" ""))")," ясорубка электрическая ")</f>
        <v> ясорубка электрическая </v>
      </c>
    </row>
    <row r="1577">
      <c r="A1577" s="35" t="s">
        <v>3559</v>
      </c>
      <c r="B1577" s="31" t="s">
        <v>3560</v>
      </c>
      <c r="C1577" s="31"/>
      <c r="D1577" s="37" t="s">
        <v>14</v>
      </c>
      <c r="E1577" s="10"/>
      <c r="F1577" s="36"/>
      <c r="G1577" s="11">
        <v>123065.0</v>
      </c>
      <c r="H1577" s="34" t="str">
        <f>IFERROR(__xludf.DUMMYFUNCTION("LOWER(REGEXREPLACE(B1577&amp;"" ""&amp;C1577,""[^а-яa-z0-9 ]"","" ""))")," ясорубка     12  385 220 430 мм  ")</f>
        <v> ясорубка     12  385 220 430 мм  </v>
      </c>
    </row>
    <row r="1578">
      <c r="A1578" s="35" t="s">
        <v>3561</v>
      </c>
      <c r="B1578" s="31" t="s">
        <v>3562</v>
      </c>
      <c r="C1578" s="31"/>
      <c r="D1578" s="37" t="s">
        <v>14</v>
      </c>
      <c r="E1578" s="10"/>
      <c r="F1578" s="36"/>
      <c r="G1578" s="11">
        <v>184749.0</v>
      </c>
      <c r="H1578" s="34" t="str">
        <f>IFERROR(__xludf.DUMMYFUNCTION("LOWER(REGEXREPLACE(B1578&amp;"" ""&amp;C1578,""[^а-яa-z0-9 ]"","" ""))")," ясорубка     22  440 220 450 мм  ")</f>
        <v> ясорубка     22  440 220 450 мм  </v>
      </c>
    </row>
    <row r="1579">
      <c r="A1579" s="35" t="s">
        <v>3563</v>
      </c>
      <c r="B1579" s="31" t="s">
        <v>3564</v>
      </c>
      <c r="C1579" s="31"/>
      <c r="D1579" s="37" t="s">
        <v>14</v>
      </c>
      <c r="E1579" s="10"/>
      <c r="F1579" s="36"/>
      <c r="G1579" s="11">
        <v>202175.0</v>
      </c>
      <c r="H1579" s="34" t="str">
        <f>IFERROR(__xludf.DUMMYFUNCTION("LOWER(REGEXREPLACE(B1579&amp;"" ""&amp;C1579,""[^а-яa-z0-9 ]"","" ""))")," ясорубка настольная    12   500 460 350 мм  ")</f>
        <v> ясорубка настольная    12   500 460 350 мм  </v>
      </c>
    </row>
    <row r="1580">
      <c r="A1580" s="35" t="s">
        <v>3565</v>
      </c>
      <c r="B1580" s="31" t="s">
        <v>3566</v>
      </c>
      <c r="C1580" s="31"/>
      <c r="D1580" s="37" t="s">
        <v>14</v>
      </c>
      <c r="E1580" s="10"/>
      <c r="F1580" s="36"/>
      <c r="G1580" s="11">
        <v>241444.0</v>
      </c>
      <c r="H1580" s="34" t="str">
        <f>IFERROR(__xludf.DUMMYFUNCTION("LOWER(REGEXREPLACE(B1580&amp;"" ""&amp;C1580,""[^а-яa-z0-9 ]"","" ""))")," ясорубка настольная    32  560 460 430 мм  ")</f>
        <v> ясорубка настольная    32  560 460 430 мм  </v>
      </c>
    </row>
    <row r="1581">
      <c r="A1581" s="35" t="s">
        <v>3567</v>
      </c>
      <c r="B1581" s="31" t="s">
        <v>3568</v>
      </c>
      <c r="C1581" s="31"/>
      <c r="D1581" s="37" t="s">
        <v>14</v>
      </c>
      <c r="E1581" s="10"/>
      <c r="F1581" s="36"/>
      <c r="G1581" s="11">
        <v>261155.0</v>
      </c>
      <c r="H1581" s="34" t="str">
        <f>IFERROR(__xludf.DUMMYFUNCTION("LOWER(REGEXREPLACE(B1581&amp;"" ""&amp;C1581,""[^а-яa-z0-9 ]"","" ""))")," ясорубка настольная    32   560 460 430 мм  ")</f>
        <v> ясорубка настольная    32   560 460 430 мм  </v>
      </c>
    </row>
    <row r="1582">
      <c r="A1582" s="35" t="s">
        <v>3569</v>
      </c>
      <c r="B1582" s="31" t="s">
        <v>3570</v>
      </c>
      <c r="C1582" s="31"/>
      <c r="D1582" s="37" t="s">
        <v>14</v>
      </c>
      <c r="E1582" s="10"/>
      <c r="F1582" s="36"/>
      <c r="G1582" s="11">
        <v>316472.0</v>
      </c>
      <c r="H1582" s="34" t="str">
        <f>IFERROR(__xludf.DUMMYFUNCTION("LOWER(REGEXREPLACE(B1582&amp;"" ""&amp;C1582,""[^а-яa-z0-9 ]"","" ""))")," ясорубка настольная     300   560 460 420 мм  ")</f>
        <v> ясорубка настольная     300   560 460 420 мм  </v>
      </c>
    </row>
    <row r="1583">
      <c r="A1583" s="35" t="s">
        <v>3571</v>
      </c>
      <c r="B1583" s="31" t="s">
        <v>3572</v>
      </c>
      <c r="C1583" s="31"/>
      <c r="D1583" s="37" t="s">
        <v>14</v>
      </c>
      <c r="E1583" s="10"/>
      <c r="F1583" s="36"/>
      <c r="G1583" s="11"/>
      <c r="H1583" s="34" t="str">
        <f>IFERROR(__xludf.DUMMYFUNCTION("LOWER(REGEXREPLACE(B1583&amp;"" ""&amp;C1583,""[^а-яa-z0-9 ]"","" ""))")," лита электрическая ")</f>
        <v> лита электрическая </v>
      </c>
    </row>
    <row r="1584">
      <c r="A1584" s="35" t="s">
        <v>3573</v>
      </c>
      <c r="B1584" s="9" t="s">
        <v>3574</v>
      </c>
      <c r="C1584" s="31"/>
      <c r="D1584" s="37" t="s">
        <v>14</v>
      </c>
      <c r="E1584" s="10"/>
      <c r="F1584" s="39">
        <v>31.8</v>
      </c>
      <c r="G1584" s="11">
        <v>85528.0</v>
      </c>
      <c r="H1584" s="34" t="str">
        <f>IFERROR(__xludf.DUMMYFUNCTION("LOWER(REGEXREPLACE(B1584&amp;"" ""&amp;C1584,""[^а-яa-z0-9 ]"","" ""))"),"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f>
        <v>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v>
      </c>
    </row>
    <row r="1585">
      <c r="A1585" s="35" t="s">
        <v>3575</v>
      </c>
      <c r="B1585" s="31" t="s">
        <v>3576</v>
      </c>
      <c r="C1585" s="31"/>
      <c r="D1585" s="37" t="s">
        <v>14</v>
      </c>
      <c r="E1585" s="10"/>
      <c r="F1585" s="40">
        <v>40.65</v>
      </c>
      <c r="G1585" s="11">
        <v>103543.0</v>
      </c>
      <c r="H1585" s="34" t="str">
        <f>IFERROR(__xludf.DUMMYFUNCTION("LOWER(REGEXREPLACE(B1585&amp;"" ""&amp;C1585,""[^а-яa-z0-9 ]"","" ""))"),"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f>
        <v>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v>
      </c>
    </row>
    <row r="1586">
      <c r="A1586" s="35" t="s">
        <v>3577</v>
      </c>
      <c r="B1586" s="31" t="s">
        <v>3578</v>
      </c>
      <c r="C1586" s="31"/>
      <c r="D1586" s="37" t="s">
        <v>14</v>
      </c>
      <c r="E1586" s="10"/>
      <c r="F1586" s="39">
        <v>41.7</v>
      </c>
      <c r="G1586" s="11">
        <v>148510.0</v>
      </c>
      <c r="H1586" s="34" t="str">
        <f>IFERROR(__xludf.DUMMYFUNCTION("LOWER(REGEXREPLACE(B1586&amp;"" ""&amp;C1586,""[^а-яa-z0-9 ]"","" ""))"),"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f>
        <v>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v>
      </c>
    </row>
    <row r="1587">
      <c r="A1587" s="35" t="s">
        <v>3579</v>
      </c>
      <c r="B1587" s="31" t="s">
        <v>3580</v>
      </c>
      <c r="C1587" s="31"/>
      <c r="D1587" s="37" t="s">
        <v>14</v>
      </c>
      <c r="E1587" s="10"/>
      <c r="F1587" s="40">
        <v>34.75</v>
      </c>
      <c r="G1587" s="11">
        <v>161977.0</v>
      </c>
      <c r="H1587" s="34" t="str">
        <f>IFERROR(__xludf.DUMMYFUNCTION("LOWER(REGEXREPLACE(B1587&amp;"" ""&amp;C1587,""[^а-яa-z0-9 ]"","" ""))"),"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f>
        <v>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v>
      </c>
    </row>
    <row r="1588">
      <c r="A1588" s="35" t="s">
        <v>3581</v>
      </c>
      <c r="B1588" s="9" t="s">
        <v>3582</v>
      </c>
      <c r="C1588" s="31"/>
      <c r="D1588" s="37" t="s">
        <v>14</v>
      </c>
      <c r="E1588" s="10"/>
      <c r="F1588" s="38">
        <v>50.0</v>
      </c>
      <c r="G1588" s="11">
        <v>135049.0</v>
      </c>
      <c r="H1588" s="34" t="str">
        <f>IFERROR(__xludf.DUMMYFUNCTION("LOWER(REGEXREPLACE(B1588&amp;"" ""&amp;C1588,""[^а-яa-z0-9 ]"","" ""))"),"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f>
        <v>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v>
      </c>
    </row>
    <row r="1589">
      <c r="A1589" s="35" t="s">
        <v>3583</v>
      </c>
      <c r="B1589" s="31" t="s">
        <v>3584</v>
      </c>
      <c r="C1589" s="31"/>
      <c r="D1589" s="37" t="s">
        <v>14</v>
      </c>
      <c r="E1589" s="10"/>
      <c r="F1589" s="36"/>
      <c r="G1589" s="11"/>
      <c r="H1589" s="34" t="str">
        <f>IFERROR(__xludf.DUMMYFUNCTION("LOWER(REGEXREPLACE(B1589&amp;"" ""&amp;C1589,""[^а-яa-z0-9 ]"","" ""))")," ытяжка над плитой ")</f>
        <v> ытяжка над плитой </v>
      </c>
    </row>
    <row r="1590">
      <c r="A1590" s="35" t="s">
        <v>3585</v>
      </c>
      <c r="B1590" s="31" t="s">
        <v>3586</v>
      </c>
      <c r="C1590" s="31"/>
      <c r="D1590" s="37" t="s">
        <v>14</v>
      </c>
      <c r="E1590" s="10"/>
      <c r="F1590" s="36"/>
      <c r="G1590" s="11">
        <v>707232.0</v>
      </c>
      <c r="H1590" s="34" t="str">
        <f>IFERROR(__xludf.DUMMYFUNCTION("LOWER(REGEXREPLACE(B1590&amp;"" ""&amp;C1590,""[^а-яa-z0-9 ]"","" ""))")," онт вытяжной       вентилируемый         980 1040 340 мм  ")</f>
        <v> онт вытяжной       вентилируемый         980 1040 340 мм  </v>
      </c>
    </row>
    <row r="1591">
      <c r="A1591" s="35" t="s">
        <v>3587</v>
      </c>
      <c r="B1591" s="31" t="s">
        <v>3588</v>
      </c>
      <c r="C1591" s="31"/>
      <c r="D1591" s="37" t="s">
        <v>14</v>
      </c>
      <c r="E1591" s="10"/>
      <c r="F1591" s="36"/>
      <c r="G1591" s="11">
        <v>801518.0</v>
      </c>
      <c r="H1591" s="34" t="str">
        <f>IFERROR(__xludf.DUMMYFUNCTION("LOWER(REGEXREPLACE(B1591&amp;"" ""&amp;C1591,""[^а-яa-z0-9 ]"","" ""))")," онт вытяжной       конденсируемый      60  930 840 220 мм  ")</f>
        <v> онт вытяжной       конденсируемый      60  930 840 220 мм  </v>
      </c>
    </row>
    <row r="1592">
      <c r="A1592" s="35" t="s">
        <v>3589</v>
      </c>
      <c r="B1592" s="31" t="s">
        <v>3590</v>
      </c>
      <c r="C1592" s="31"/>
      <c r="D1592" s="37" t="s">
        <v>14</v>
      </c>
      <c r="E1592" s="10"/>
      <c r="F1592" s="36"/>
      <c r="G1592" s="11">
        <v>801518.0</v>
      </c>
      <c r="H1592" s="34" t="str">
        <f>IFERROR(__xludf.DUMMYFUNCTION("LOWER(REGEXREPLACE(B1592&amp;"" ""&amp;C1592,""[^а-яa-z0-9 ]"","" ""))")," онт вытяжной       конденсируемый      40  730 840 220 мм  ")</f>
        <v> онт вытяжной       конденсируемый      40  730 840 220 мм  </v>
      </c>
    </row>
    <row r="1593">
      <c r="A1593" s="35" t="s">
        <v>3591</v>
      </c>
      <c r="B1593" s="31" t="s">
        <v>3592</v>
      </c>
      <c r="C1593" s="31"/>
      <c r="D1593" s="37" t="s">
        <v>14</v>
      </c>
      <c r="E1593" s="10"/>
      <c r="F1593" s="36"/>
      <c r="G1593" s="11">
        <v>812054.0</v>
      </c>
      <c r="H1593" s="34" t="str">
        <f>IFERROR(__xludf.DUMMYFUNCTION("LOWER(REGEXREPLACE(B1593&amp;"" ""&amp;C1593,""[^а-яa-z0-9 ]"","" ""))")," онт вытяжной       вентилируемый    86  1165 1080 340 мм  ")</f>
        <v> онт вытяжной       вентилируемый    86  1165 1080 340 мм  </v>
      </c>
    </row>
    <row r="1594">
      <c r="A1594" s="35" t="s">
        <v>3593</v>
      </c>
      <c r="B1594" s="31" t="s">
        <v>3594</v>
      </c>
      <c r="C1594" s="31"/>
      <c r="D1594" s="37" t="s">
        <v>14</v>
      </c>
      <c r="E1594" s="10"/>
      <c r="F1594" s="36"/>
      <c r="G1594" s="11">
        <v>1068661.0</v>
      </c>
      <c r="H1594" s="34" t="str">
        <f>IFERROR(__xludf.DUMMYFUNCTION("LOWER(REGEXREPLACE(B1594&amp;"" ""&amp;C1594,""[^а-яa-z0-9 ]"","" ""))")," онт вытяжной       конденсируемый         980 880 340 мм  ")</f>
        <v> онт вытяжной       конденсируемый         980 880 340 мм  </v>
      </c>
    </row>
    <row r="1595">
      <c r="A1595" s="35" t="s">
        <v>3595</v>
      </c>
      <c r="B1595" s="31" t="s">
        <v>3596</v>
      </c>
      <c r="C1595" s="31"/>
      <c r="D1595" s="37" t="s">
        <v>14</v>
      </c>
      <c r="E1595" s="10"/>
      <c r="F1595" s="36"/>
      <c r="G1595" s="11">
        <v>1173482.0</v>
      </c>
      <c r="H1595" s="34" t="str">
        <f>IFERROR(__xludf.DUMMYFUNCTION("LOWER(REGEXREPLACE(B1595&amp;"" ""&amp;C1595,""[^а-яa-z0-9 ]"","" ""))")," онт вытяжной       конденсируемый    86  1165 880 340 мм  ")</f>
        <v> онт вытяжной       конденсируемый    86  1165 880 340 мм  </v>
      </c>
    </row>
    <row r="1596">
      <c r="A1596" s="35" t="s">
        <v>3597</v>
      </c>
      <c r="B1596" s="31" t="s">
        <v>3598</v>
      </c>
      <c r="C1596" s="31"/>
      <c r="D1596" s="37" t="s">
        <v>14</v>
      </c>
      <c r="E1596" s="10"/>
      <c r="F1596" s="36"/>
      <c r="G1596" s="11">
        <v>93165.0</v>
      </c>
      <c r="H1596" s="34" t="str">
        <f>IFERROR(__xludf.DUMMYFUNCTION("LOWER(REGEXREPLACE(B1596&amp;"" ""&amp;C1596,""[^а-яa-z0-9 ]"","" ""))")," онт вытяжной пристенный с жироулавливающим лабиринтным фильтром     08 08  800 800 350 мм  ")</f>
        <v> онт вытяжной пристенный с жироулавливающим лабиринтным фильтром     08 08  800 800 350 мм  </v>
      </c>
    </row>
    <row r="1597">
      <c r="A1597" s="35" t="s">
        <v>3599</v>
      </c>
      <c r="B1597" s="31" t="s">
        <v>3600</v>
      </c>
      <c r="C1597" s="31"/>
      <c r="D1597" s="37" t="s">
        <v>14</v>
      </c>
      <c r="E1597" s="10"/>
      <c r="F1597" s="36"/>
      <c r="G1597" s="11">
        <v>93645.0</v>
      </c>
      <c r="H1597" s="34" t="str">
        <f>IFERROR(__xludf.DUMMYFUNCTION("LOWER(REGEXREPLACE(B1597&amp;"" ""&amp;C1597,""[^а-яa-z0-9 ]"","" ""))")," онт вытяжной пристенный с жироулавливающим лабиринтным фильтром     09 09  900 900 350 мм  ")</f>
        <v> онт вытяжной пристенный с жироулавливающим лабиринтным фильтром     09 09  900 900 350 мм  </v>
      </c>
    </row>
    <row r="1598">
      <c r="A1598" s="35" t="s">
        <v>3601</v>
      </c>
      <c r="B1598" s="31" t="s">
        <v>3602</v>
      </c>
      <c r="C1598" s="31"/>
      <c r="D1598" s="37" t="s">
        <v>14</v>
      </c>
      <c r="E1598" s="10"/>
      <c r="F1598" s="36"/>
      <c r="G1598" s="11">
        <v>121095.0</v>
      </c>
      <c r="H1598" s="34" t="str">
        <f>IFERROR(__xludf.DUMMYFUNCTION("LOWER(REGEXREPLACE(B1598&amp;"" ""&amp;C1598,""[^а-яa-z0-9 ]"","" ""))")," онт вытяжной пристенный с жироулавливающим лабиринтным фильтром     12 09  1200 900 350 мм  ")</f>
        <v> онт вытяжной пристенный с жироулавливающим лабиринтным фильтром     12 09  1200 900 350 мм  </v>
      </c>
    </row>
    <row r="1599">
      <c r="A1599" s="35" t="s">
        <v>3603</v>
      </c>
      <c r="B1599" s="31" t="s">
        <v>3604</v>
      </c>
      <c r="C1599" s="31"/>
      <c r="D1599" s="37" t="s">
        <v>14</v>
      </c>
      <c r="E1599" s="10"/>
      <c r="F1599" s="36"/>
      <c r="G1599" s="11">
        <v>38384.0</v>
      </c>
      <c r="H1599" s="34" t="str">
        <f>IFERROR(__xludf.DUMMYFUNCTION("LOWER(REGEXREPLACE(B1599&amp;"" ""&amp;C1599,""[^а-яa-z0-9 ]"","" ""))")," ытяжка над плитой              60  производительностью 420 м3 ч ")</f>
        <v> ытяжка над плитой              60  производительностью 420 м3 ч </v>
      </c>
    </row>
    <row r="1600">
      <c r="A1600" s="35" t="s">
        <v>3605</v>
      </c>
      <c r="B1600" s="9" t="s">
        <v>3606</v>
      </c>
      <c r="C1600" s="31"/>
      <c r="D1600" s="37" t="s">
        <v>14</v>
      </c>
      <c r="E1600" s="10"/>
      <c r="F1600" s="36"/>
      <c r="G1600" s="11">
        <v>49098.0</v>
      </c>
      <c r="H1600" s="34" t="str">
        <f>IFERROR(__xludf.DUMMYFUNCTION("LOWER(REGEXREPLACE(B1600&amp;"" ""&amp;C1600,""[^а-яa-z0-9 ]"","" ""))")," ытяжка над плитой              1560    производительностью 500 м3 ч ")</f>
        <v> ытяжка над плитой              1560    производительностью 500 м3 ч </v>
      </c>
    </row>
    <row r="1601">
      <c r="A1601" s="35" t="s">
        <v>3607</v>
      </c>
      <c r="B1601" s="31" t="s">
        <v>3608</v>
      </c>
      <c r="C1601" s="31"/>
      <c r="D1601" s="37" t="s">
        <v>14</v>
      </c>
      <c r="E1601" s="10"/>
      <c r="F1601" s="36"/>
      <c r="G1601" s="11">
        <v>53563.0</v>
      </c>
      <c r="H1601" s="34" t="str">
        <f>IFERROR(__xludf.DUMMYFUNCTION("LOWER(REGEXREPLACE(B1601&amp;"" ""&amp;C1601,""[^а-яa-z0-9 ]"","" ""))")," ытяжка над плитой           160        производительностью 100 399 м3 ч ")</f>
        <v> ытяжка над плитой           160        производительностью 100 399 м3 ч </v>
      </c>
    </row>
    <row r="1602">
      <c r="A1602" s="35" t="s">
        <v>3609</v>
      </c>
      <c r="B1602" s="31" t="s">
        <v>3610</v>
      </c>
      <c r="C1602" s="31"/>
      <c r="D1602" s="37" t="s">
        <v>14</v>
      </c>
      <c r="E1602" s="10"/>
      <c r="F1602" s="36"/>
      <c r="G1602" s="11">
        <v>49366.0</v>
      </c>
      <c r="H1602" s="34" t="str">
        <f>IFERROR(__xludf.DUMMYFUNCTION("LOWER(REGEXREPLACE(B1602&amp;"" ""&amp;C1602,""[^а-яa-z0-9 ]"","" ""))")," ытяжка над плитой               60        производительностью 620 м3 ч ")</f>
        <v> ытяжка над плитой               60        производительностью 620 м3 ч </v>
      </c>
    </row>
    <row r="1603">
      <c r="A1603" s="35" t="s">
        <v>3611</v>
      </c>
      <c r="B1603" s="31" t="s">
        <v>3612</v>
      </c>
      <c r="C1603" s="31"/>
      <c r="D1603" s="37" t="s">
        <v>14</v>
      </c>
      <c r="E1603" s="10"/>
      <c r="F1603" s="36"/>
      <c r="G1603" s="11">
        <v>44634.0</v>
      </c>
      <c r="H1603" s="34" t="str">
        <f>IFERROR(__xludf.DUMMYFUNCTION("LOWER(REGEXREPLACE(B1603&amp;"" ""&amp;C1603,""[^а-яa-z0-9 ]"","" ""))")," ытяжка над плитой           6233     производительностью 350 м3 ч ")</f>
        <v> ытяжка над плитой           6233     производительностью 350 м3 ч </v>
      </c>
    </row>
    <row r="1604">
      <c r="A1604" s="35" t="s">
        <v>3613</v>
      </c>
      <c r="B1604" s="31" t="s">
        <v>3614</v>
      </c>
      <c r="C1604" s="31"/>
      <c r="D1604" s="37" t="s">
        <v>14</v>
      </c>
      <c r="E1604" s="10"/>
      <c r="F1604" s="36"/>
      <c r="G1604" s="11">
        <v>41063.0</v>
      </c>
      <c r="H1604" s="34" t="str">
        <f>IFERROR(__xludf.DUMMYFUNCTION("LOWER(REGEXREPLACE(B1604&amp;"" ""&amp;C1604,""[^а-яa-z0-9 ]"","" ""))")," ытяжка над плитой             160        производительностью 650 м3 ч ")</f>
        <v> ытяжка над плитой             160        производительностью 650 м3 ч </v>
      </c>
    </row>
    <row r="1605">
      <c r="A1605" s="35" t="s">
        <v>3615</v>
      </c>
      <c r="B1605" s="31" t="s">
        <v>3616</v>
      </c>
      <c r="C1605" s="31"/>
      <c r="D1605" s="37" t="s">
        <v>14</v>
      </c>
      <c r="E1605" s="10"/>
      <c r="F1605" s="36"/>
      <c r="G1605" s="11">
        <v>66955.0</v>
      </c>
      <c r="H1605" s="34" t="str">
        <f>IFERROR(__xludf.DUMMYFUNCTION("LOWER(REGEXREPLACE(B1605&amp;"" ""&amp;C1605,""[^а-яa-z0-9 ]"","" ""))")," ытяжка над плитой           632     производительностью 210 м3 ч ")</f>
        <v> ытяжка над плитой           632     производительностью 210 м3 ч </v>
      </c>
    </row>
    <row r="1606">
      <c r="A1606" s="35" t="s">
        <v>3617</v>
      </c>
      <c r="B1606" s="31" t="s">
        <v>3618</v>
      </c>
      <c r="C1606" s="31"/>
      <c r="D1606" s="37" t="s">
        <v>14</v>
      </c>
      <c r="E1606" s="10"/>
      <c r="F1606" s="36"/>
      <c r="G1606" s="11">
        <v>39277.0</v>
      </c>
      <c r="H1606" s="34" t="str">
        <f>IFERROR(__xludf.DUMMYFUNCTION("LOWER(REGEXREPLACE(B1606&amp;"" ""&amp;C1606,""[^а-яa-z0-9 ]"","" ""))")," ытяжка над плитой             160        производительностью 500 м3 ч ")</f>
        <v> ытяжка над плитой             160        производительностью 500 м3 ч </v>
      </c>
    </row>
    <row r="1607">
      <c r="A1607" s="35" t="s">
        <v>3619</v>
      </c>
      <c r="B1607" s="31" t="s">
        <v>3620</v>
      </c>
      <c r="C1607" s="31"/>
      <c r="D1607" s="37" t="s">
        <v>14</v>
      </c>
      <c r="E1607" s="10"/>
      <c r="F1607" s="36"/>
      <c r="G1607" s="11">
        <v>62491.0</v>
      </c>
      <c r="H1607" s="34" t="str">
        <f>IFERROR(__xludf.DUMMYFUNCTION("LOWER(REGEXREPLACE(B1607&amp;"" ""&amp;C1607,""[^а-яa-z0-9 ]"","" ""))")," ытяжка над плитой          51311     производительностью 381 м3 ч ")</f>
        <v> ытяжка над плитой          51311     производительностью 381 м3 ч </v>
      </c>
    </row>
    <row r="1608">
      <c r="A1608" s="35" t="s">
        <v>3621</v>
      </c>
      <c r="B1608" s="31" t="s">
        <v>3622</v>
      </c>
      <c r="C1608" s="31"/>
      <c r="D1608" s="37" t="s">
        <v>14</v>
      </c>
      <c r="E1608" s="10"/>
      <c r="F1608" s="36"/>
      <c r="G1608" s="11">
        <v>44634.0</v>
      </c>
      <c r="H1608" s="34" t="str">
        <f>IFERROR(__xludf.DUMMYFUNCTION("LOWER(REGEXREPLACE(B1608&amp;"" ""&amp;C1608,""[^а-яa-z0-9 ]"","" ""))")," ытяжка над плитой             160        производительностью 100 399 м3 ч ")</f>
        <v> ытяжка над плитой             160        производительностью 100 399 м3 ч </v>
      </c>
    </row>
    <row r="1609">
      <c r="A1609" s="35" t="s">
        <v>3623</v>
      </c>
      <c r="B1609" s="31" t="s">
        <v>3624</v>
      </c>
      <c r="C1609" s="31"/>
      <c r="D1609" s="37" t="s">
        <v>14</v>
      </c>
      <c r="E1609" s="10"/>
      <c r="F1609" s="36"/>
      <c r="G1609" s="11">
        <v>128563.0</v>
      </c>
      <c r="H1609" s="34" t="str">
        <f>IFERROR(__xludf.DUMMYFUNCTION("LOWER(REGEXREPLACE(B1609&amp;"" ""&amp;C1609,""[^а-яa-z0-9 ]"","" ""))")," ытяжка над плитой                516    производительностью 530 м3 ч ")</f>
        <v> ытяжка над плитой                516    производительностью 530 м3 ч </v>
      </c>
    </row>
    <row r="1610">
      <c r="A1610" s="35" t="s">
        <v>3625</v>
      </c>
      <c r="B1610" s="31" t="s">
        <v>3626</v>
      </c>
      <c r="C1610" s="31"/>
      <c r="D1610" s="37" t="s">
        <v>14</v>
      </c>
      <c r="E1610" s="10"/>
      <c r="F1610" s="36"/>
      <c r="G1610" s="11">
        <v>245527.0</v>
      </c>
      <c r="H1610" s="34" t="str">
        <f>IFERROR(__xludf.DUMMYFUNCTION("LOWER(REGEXREPLACE(B1610&amp;"" ""&amp;C1610,""[^а-яa-z0-9 ]"","" ""))")," ытяжка над плитой           67  60  производительностью 700 м3 ч ")</f>
        <v> ытяжка над плитой           67  60  производительностью 700 м3 ч </v>
      </c>
    </row>
    <row r="1611">
      <c r="A1611" s="35" t="s">
        <v>3627</v>
      </c>
      <c r="B1611" s="31" t="s">
        <v>3628</v>
      </c>
      <c r="C1611" s="31"/>
      <c r="D1611" s="37" t="s">
        <v>14</v>
      </c>
      <c r="E1611" s="10"/>
      <c r="F1611" s="36"/>
      <c r="G1611" s="11">
        <v>116063.0</v>
      </c>
      <c r="H1611" s="34" t="str">
        <f>IFERROR(__xludf.DUMMYFUNCTION("LOWER(REGEXREPLACE(B1611&amp;"" ""&amp;C1611,""[^а-яa-z0-9 ]"","" ""))")," ытяжка над плитой           135       производительностью 1030 м3 ч ")</f>
        <v> ытяжка над плитой           135       производительностью 1030 м3 ч </v>
      </c>
    </row>
    <row r="1612">
      <c r="A1612" s="35" t="s">
        <v>3629</v>
      </c>
      <c r="B1612" s="31" t="s">
        <v>3630</v>
      </c>
      <c r="C1612" s="31"/>
      <c r="D1612" s="37" t="s">
        <v>14</v>
      </c>
      <c r="E1612" s="10"/>
      <c r="F1612" s="36"/>
      <c r="G1612" s="11">
        <v>111598.0</v>
      </c>
      <c r="H1612" s="34" t="str">
        <f>IFERROR(__xludf.DUMMYFUNCTION("LOWER(REGEXREPLACE(B1612&amp;"" ""&amp;C1612,""[^а-яa-z0-9 ]"","" ""))")," ытяжка над плитой          6410     производительностью 400 699 м3 ч ")</f>
        <v> ытяжка над плитой          6410     производительностью 400 699 м3 ч </v>
      </c>
    </row>
    <row r="1613">
      <c r="A1613" s="35" t="s">
        <v>3631</v>
      </c>
      <c r="B1613" s="31" t="s">
        <v>3632</v>
      </c>
      <c r="C1613" s="31"/>
      <c r="D1613" s="37" t="s">
        <v>14</v>
      </c>
      <c r="E1613" s="10"/>
      <c r="F1613" s="36"/>
      <c r="G1613" s="11">
        <v>137491.0</v>
      </c>
      <c r="H1613" s="34" t="str">
        <f>IFERROR(__xludf.DUMMYFUNCTION("LOWER(REGEXREPLACE(B1613&amp;"" ""&amp;C1613,""[^а-яa-z0-9 ]"","" ""))")," ытяжка над плитой         2415    производительностью 800 м3 ч ")</f>
        <v> ытяжка над плитой         2415    производительностью 800 м3 ч </v>
      </c>
    </row>
    <row r="1614">
      <c r="A1614" s="35" t="s">
        <v>3633</v>
      </c>
      <c r="B1614" s="31" t="s">
        <v>3634</v>
      </c>
      <c r="C1614" s="31"/>
      <c r="D1614" s="37" t="s">
        <v>14</v>
      </c>
      <c r="E1614" s="10"/>
      <c r="F1614" s="36"/>
      <c r="G1614" s="11"/>
      <c r="H1614" s="34" t="str">
        <f>IFERROR(__xludf.DUMMYFUNCTION("LOWER(REGEXREPLACE(B1614&amp;"" ""&amp;C1614,""[^а-яa-z0-9 ]"","" ""))")," олодильник ")</f>
        <v> олодильник </v>
      </c>
    </row>
    <row r="1615">
      <c r="A1615" s="35" t="s">
        <v>3635</v>
      </c>
      <c r="B1615" s="9" t="s">
        <v>3636</v>
      </c>
      <c r="C1615" s="31" t="s">
        <v>3637</v>
      </c>
      <c r="D1615" s="37" t="s">
        <v>14</v>
      </c>
      <c r="E1615" s="38">
        <v>2.0</v>
      </c>
      <c r="F1615" s="38">
        <v>23.0</v>
      </c>
      <c r="G1615" s="11">
        <v>89119.0</v>
      </c>
      <c r="H1615" s="34" t="str">
        <f>IFERROR(__xludf.DUMMYFUNCTION("LOWER(REGEXREPLACE(B1615&amp;"" ""&amp;C1615,""[^а-яa-z0-9 ]"","" ""))")," олодильник  общий объем не менее 94л  однокамерный  ип холодильника  однокамерный   бщий объем не менее 94л   ласс энергопотребления   ")</f>
        <v> олодильник  общий объем не менее 94л  однокамерный  ип холодильника  однокамерный   бщий объем не менее 94л   ласс энергопотребления   </v>
      </c>
    </row>
    <row r="1616">
      <c r="A1616" s="35" t="s">
        <v>3638</v>
      </c>
      <c r="B1616" s="31" t="s">
        <v>3639</v>
      </c>
      <c r="C1616" s="31"/>
      <c r="D1616" s="37" t="s">
        <v>68</v>
      </c>
      <c r="E1616" s="10"/>
      <c r="F1616" s="36"/>
      <c r="G1616" s="11"/>
      <c r="H1616" s="34" t="str">
        <f>IFERROR(__xludf.DUMMYFUNCTION("LOWER(REGEXREPLACE(B1616&amp;"" ""&amp;C1616,""[^а-яa-z0-9 ]"","" ""))")," ухонный гарнитур ")</f>
        <v> ухонный гарнитур </v>
      </c>
    </row>
    <row r="1617">
      <c r="A1617" s="35" t="s">
        <v>3640</v>
      </c>
      <c r="B1617" s="31" t="s">
        <v>3641</v>
      </c>
      <c r="C1617" s="31" t="s">
        <v>3642</v>
      </c>
      <c r="D1617" s="37" t="s">
        <v>68</v>
      </c>
      <c r="E1617" s="38">
        <v>2.0</v>
      </c>
      <c r="F1617" s="38">
        <v>89.0</v>
      </c>
      <c r="G1617" s="11">
        <v>182631.0</v>
      </c>
      <c r="H1617" s="34" t="str">
        <f>IFERROR(__xludf.DUMMYFUNCTION("LOWER(REGEXREPLACE(B1617&amp;"" ""&amp;C1617,""[^а-яa-z0-9 ]"","" ""))"),"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2"&amp;"5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пластиковых"&amp;" элементов  ручка 128мм без острых улов  навес мебельный      ")</f>
        <v>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 элементов  ручка 128мм без острых улов  навес мебельный      </v>
      </c>
    </row>
    <row r="1618">
      <c r="A1618" s="35" t="s">
        <v>3643</v>
      </c>
      <c r="B1618" s="31" t="s">
        <v>3644</v>
      </c>
      <c r="C1618" s="31"/>
      <c r="D1618" s="36"/>
      <c r="E1618" s="10"/>
      <c r="F1618" s="36"/>
      <c r="G1618" s="11"/>
      <c r="H1618" s="34" t="str">
        <f>IFERROR(__xludf.DUMMYFUNCTION("LOWER(REGEXREPLACE(B1618&amp;"" ""&amp;C1618,""[^а-яa-z0-9 ]"","" ""))")," ехнология обработки тканей и художественной обработки материалов ")</f>
        <v> ехнология обработки тканей и художественной обработки материалов </v>
      </c>
    </row>
    <row r="1619">
      <c r="A1619" s="35" t="s">
        <v>3645</v>
      </c>
      <c r="B1619" s="31" t="s">
        <v>3646</v>
      </c>
      <c r="C1619" s="31"/>
      <c r="D1619" s="37" t="s">
        <v>14</v>
      </c>
      <c r="E1619" s="10"/>
      <c r="F1619" s="36"/>
      <c r="G1619" s="11"/>
      <c r="H1619" s="34" t="str">
        <f>IFERROR(__xludf.DUMMYFUNCTION("LOWER(REGEXREPLACE(B1619&amp;"" ""&amp;C1619,""[^а-яa-z0-9 ]"","" ""))")," тол для труда под швейную машину ")</f>
        <v> тол для труда под швейную машину </v>
      </c>
    </row>
    <row r="1620">
      <c r="A1620" s="35" t="s">
        <v>3647</v>
      </c>
      <c r="B1620" s="9" t="s">
        <v>3648</v>
      </c>
      <c r="C1620" s="31" t="s">
        <v>3649</v>
      </c>
      <c r="D1620" s="37" t="s">
        <v>14</v>
      </c>
      <c r="E1620" s="38">
        <v>2.0</v>
      </c>
      <c r="F1620" s="38">
        <v>65.0</v>
      </c>
      <c r="G1620" s="11">
        <v>80874.0</v>
      </c>
      <c r="H1620" s="34" t="str">
        <f>IFERROR(__xludf.DUMMYFUNCTION("LOWER(REGEXREPLACE(B1620&amp;"" ""&amp;C1620,""[^а-яa-z0-9 ]"","" ""))"),"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ча"&amp;"стей  одна размером 700х500 мм и вторая   откидная размером 500х500 мм  столешница      22мм  опоры      16мм ")</f>
        <v>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частей  одна размером 700х500 мм и вторая   откидная размером 500х500 мм  столешница      22мм  опоры      16мм </v>
      </c>
    </row>
    <row r="1621">
      <c r="A1621" s="35" t="s">
        <v>3650</v>
      </c>
      <c r="B1621" s="31" t="s">
        <v>3651</v>
      </c>
      <c r="C1621" s="31" t="s">
        <v>3652</v>
      </c>
      <c r="D1621" s="37" t="s">
        <v>14</v>
      </c>
      <c r="E1621" s="38">
        <v>2.0</v>
      </c>
      <c r="F1621" s="38">
        <v>65.0</v>
      </c>
      <c r="G1621" s="11">
        <v>89893.0</v>
      </c>
      <c r="H1621" s="34" t="str">
        <f>IFERROR(__xludf.DUMMYFUNCTION("LOWER(REGEXREPLACE(B1621&amp;"" ""&amp;C1621,""[^а-яa-z0-9 ]"","" ""))"),"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"&amp;"размером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направля"&amp;"ющих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кана"&amp;"л  в которую монтируется нижняя     деталь   ля предотвращения воздействия воды и влаги на шкаф предусмотрены пластиковые подпятники ")</f>
        <v>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v>
      </c>
    </row>
    <row r="1622">
      <c r="A1622" s="35" t="s">
        <v>3653</v>
      </c>
      <c r="B1622" s="31" t="s">
        <v>3654</v>
      </c>
      <c r="C1622" s="31" t="s">
        <v>3655</v>
      </c>
      <c r="D1622" s="37" t="s">
        <v>14</v>
      </c>
      <c r="E1622" s="38">
        <v>2.0</v>
      </c>
      <c r="F1622" s="38">
        <v>31.0</v>
      </c>
      <c r="G1622" s="11">
        <v>77542.0</v>
      </c>
      <c r="H1622" s="34" t="str">
        <f>IFERROR(__xludf.DUMMYFUNCTION("LOWER(REGEXREPLACE(B1622&amp;"" ""&amp;C1622,""[^а-яa-z0-9 ]"","" ""))"),"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"&amp;"часть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клея"&amp;"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подпятн"&amp;"ики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1623">
      <c r="A1623" s="35" t="s">
        <v>3656</v>
      </c>
      <c r="B1623" s="31" t="s">
        <v>3657</v>
      </c>
      <c r="C1623" s="31" t="s">
        <v>3658</v>
      </c>
      <c r="D1623" s="37" t="s">
        <v>14</v>
      </c>
      <c r="E1623" s="38">
        <v>2.0</v>
      </c>
      <c r="F1623" s="38">
        <v>41.0</v>
      </c>
      <c r="G1623" s="11">
        <v>67283.0</v>
      </c>
      <c r="H1623" s="34" t="str">
        <f>IFERROR(__xludf.DUMMYFUNCTION("LOWER(REGEXREPLACE(B1623&amp;"" ""&amp;C1623,""[^а-яa-z0-9 ]"","" ""))"),"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принадле"&amp;"жностей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"&amp;"должна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стенк"&amp;"а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фурни"&amp;"туры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4х"&amp;"50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f>
        <v>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v>
      </c>
    </row>
    <row r="1624">
      <c r="A1624" s="35" t="s">
        <v>3659</v>
      </c>
      <c r="B1624" s="31" t="s">
        <v>3660</v>
      </c>
      <c r="C1624" s="31" t="s">
        <v>3661</v>
      </c>
      <c r="D1624" s="37" t="s">
        <v>14</v>
      </c>
      <c r="E1624" s="38">
        <v>2.0</v>
      </c>
      <c r="F1624" s="38">
        <v>108.0</v>
      </c>
      <c r="G1624" s="11">
        <v>107608.0</v>
      </c>
      <c r="H1624" s="34" t="str">
        <f>IFERROR(__xludf.DUMMYFUNCTION("LOWER(REGEXREPLACE(B1624&amp;"" ""&amp;C1624,""[^а-яa-z0-9 ]"","" ""))"),"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мм"&amp;"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прое"&amp;"м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толщиной"&amp;" не менее 1 2 мм  и оснащено не менее 6 колесными опорами для свободного перемещения стола ")</f>
        <v>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 не менее 1 2 мм  и оснащено не менее 6 колесными опорами для свободного перемещения стола </v>
      </c>
    </row>
    <row r="1625">
      <c r="A1625" s="35" t="s">
        <v>3662</v>
      </c>
      <c r="B1625" s="9" t="s">
        <v>3663</v>
      </c>
      <c r="C1625" s="31" t="s">
        <v>3664</v>
      </c>
      <c r="D1625" s="37" t="s">
        <v>14</v>
      </c>
      <c r="E1625" s="10"/>
      <c r="F1625" s="38">
        <v>45.0</v>
      </c>
      <c r="G1625" s="11">
        <v>43314.0</v>
      </c>
      <c r="H1625" s="34" t="str">
        <f>IFERROR(__xludf.DUMMYFUNCTION("LOWER(REGEXREPLACE(B1625&amp;"" ""&amp;C1625,""[^а-яa-z0-9 ]"","" ""))")," тол для раскроя ткани   толешница 32мм  опоры      16мм   азмеры 1000х800мм   тол для раскроя ткани   толешница      32мм  опоры      16мм   азмеры 1000х800мм ")</f>
        <v> тол для раскроя ткани   толешница 32мм  опоры      16мм   азмеры 1000х800мм   тол для раскроя ткани   толешница      32мм  опоры      16мм   азмеры 1000х800мм </v>
      </c>
    </row>
    <row r="1626">
      <c r="A1626" s="35" t="s">
        <v>3665</v>
      </c>
      <c r="B1626" s="31" t="s">
        <v>3666</v>
      </c>
      <c r="C1626" s="31"/>
      <c r="D1626" s="37" t="s">
        <v>14</v>
      </c>
      <c r="E1626" s="10"/>
      <c r="F1626" s="36"/>
      <c r="G1626" s="11"/>
      <c r="H1626" s="34" t="str">
        <f>IFERROR(__xludf.DUMMYFUNCTION("LOWER(REGEXREPLACE(B1626&amp;"" ""&amp;C1626,""[^а-яa-z0-9 ]"","" ""))")," верлок ")</f>
        <v> верлок </v>
      </c>
    </row>
    <row r="1627">
      <c r="A1627" s="35" t="s">
        <v>3667</v>
      </c>
      <c r="B1627" s="31" t="s">
        <v>3668</v>
      </c>
      <c r="C1627" s="31"/>
      <c r="D1627" s="37" t="s">
        <v>14</v>
      </c>
      <c r="E1627" s="10"/>
      <c r="F1627" s="38">
        <v>9.0</v>
      </c>
      <c r="G1627" s="11">
        <v>103563.0</v>
      </c>
      <c r="H1627" s="34" t="str">
        <f>IFERROR(__xludf.DUMMYFUNCTION("LOWER(REGEXREPLACE(B1627&amp;"" ""&amp;C1627,""[^а-яa-z0-9 ]"","" ""))")," верлок швейный             4   потребляемая мощность 90 т  количество швейных операций   7  максимальная скорость шитья 1200 ст мин ")</f>
        <v> верлок швейный             4   потребляемая мощность 90 т  количество швейных операций   7  максимальная скорость шитья 1200 ст мин </v>
      </c>
    </row>
    <row r="1628">
      <c r="A1628" s="35" t="s">
        <v>3669</v>
      </c>
      <c r="B1628" s="31" t="s">
        <v>3670</v>
      </c>
      <c r="C1628" s="31"/>
      <c r="D1628" s="37" t="s">
        <v>14</v>
      </c>
      <c r="E1628" s="10"/>
      <c r="F1628" s="38">
        <v>8.0</v>
      </c>
      <c r="G1628" s="11">
        <v>107134.0</v>
      </c>
      <c r="H1628" s="34" t="str">
        <f>IFERROR(__xludf.DUMMYFUNCTION("LOWER(REGEXREPLACE(B1628&amp;"" ""&amp;C1628,""[^а-яa-z0-9 ]"","" ""))")," верлок швейный              649  потребляемая мощность 100  т  количество швейных операций   12  максимальная скорость шитья 1300 ст мин ")</f>
        <v> верлок швейный              649  потребляемая мощность 100  т  количество швейных операций   12  максимальная скорость шитья 1300 ст мин </v>
      </c>
    </row>
    <row r="1629">
      <c r="A1629" s="35" t="s">
        <v>3671</v>
      </c>
      <c r="B1629" s="31" t="s">
        <v>3672</v>
      </c>
      <c r="C1629" s="31"/>
      <c r="D1629" s="37" t="s">
        <v>14</v>
      </c>
      <c r="E1629" s="10"/>
      <c r="F1629" s="39">
        <v>8.6</v>
      </c>
      <c r="G1629" s="11">
        <v>114277.0</v>
      </c>
      <c r="H1629" s="34" t="str">
        <f>IFERROR(__xludf.DUMMYFUNCTION("LOWER(REGEXREPLACE(B1629&amp;"" ""&amp;C1629,""[^а-яa-z0-9 ]"","" ""))")," верлок швейный       reamlock 777  потребляемая мощность 135  т  количество швейных операций   8  максимальная скорость шитья 1200 ст мин ")</f>
        <v> верлок швейный       reamlock 777  потребляемая мощность 135  т  количество швейных операций   8  максимальная скорость шитья 1200 ст мин </v>
      </c>
    </row>
    <row r="1630">
      <c r="A1630" s="35" t="s">
        <v>3673</v>
      </c>
      <c r="B1630" s="31" t="s">
        <v>3674</v>
      </c>
      <c r="C1630" s="31"/>
      <c r="D1630" s="37" t="s">
        <v>14</v>
      </c>
      <c r="E1630" s="10"/>
      <c r="F1630" s="39">
        <v>9.5</v>
      </c>
      <c r="G1630" s="11">
        <v>160705.0</v>
      </c>
      <c r="H1630" s="34" t="str">
        <f>IFERROR(__xludf.DUMMYFUNCTION("LOWER(REGEXREPLACE(B1630&amp;"" ""&amp;C1630,""[^а-яa-z0-9 ]"","" ""))")," верлок швейный                 4057  потребляемая мощность 105  т  количество швейных операций   8  максимальная скорость шитья 1300 ст мин ")</f>
        <v> верлок швейный                 4057  потребляемая мощность 105  т  количество швейных операций   8  максимальная скорость шитья 1300 ст мин </v>
      </c>
    </row>
    <row r="1631">
      <c r="A1631" s="35" t="s">
        <v>3675</v>
      </c>
      <c r="B1631" s="31" t="s">
        <v>3676</v>
      </c>
      <c r="C1631" s="31"/>
      <c r="D1631" s="37" t="s">
        <v>14</v>
      </c>
      <c r="E1631" s="10"/>
      <c r="F1631" s="38">
        <v>8.0</v>
      </c>
      <c r="G1631" s="11">
        <v>165170.0</v>
      </c>
      <c r="H1631" s="34" t="str">
        <f>IFERROR(__xludf.DUMMYFUNCTION("LOWER(REGEXREPLACE(B1631&amp;"" ""&amp;C1631,""[^а-яa-z0-9 ]"","" ""))")," верлок швейный               4952  потребляемая мощность 120  т  количество швейных операций   4  максимальная скорость шитья 1300 ст мин ")</f>
        <v> верлок швейный               4952  потребляемая мощность 120  т  количество швейных операций   4  максимальная скорость шитья 1300 ст мин </v>
      </c>
    </row>
    <row r="1632">
      <c r="A1632" s="35" t="s">
        <v>3677</v>
      </c>
      <c r="B1632" s="31" t="s">
        <v>3678</v>
      </c>
      <c r="C1632" s="31"/>
      <c r="D1632" s="37" t="s">
        <v>14</v>
      </c>
      <c r="E1632" s="10"/>
      <c r="F1632" s="39">
        <v>7.5</v>
      </c>
      <c r="G1632" s="11">
        <v>195527.0</v>
      </c>
      <c r="H1632" s="34" t="str">
        <f>IFERROR(__xludf.DUMMYFUNCTION("LOWER(REGEXREPLACE(B1632&amp;"" ""&amp;C1632,""[^а-яa-z0-9 ]"","" ""))")," верлок швейный      664  ro  потребляемая мощность 120  т  количество швейных операций   12  максимальная скорость шитья 1300 ст мин ")</f>
        <v> верлок швейный      664  ro  потребляемая мощность 120  т  количество швейных операций   12  максимальная скорость шитья 1300 ст мин </v>
      </c>
    </row>
    <row r="1633">
      <c r="A1633" s="35" t="s">
        <v>3679</v>
      </c>
      <c r="B1633" s="31" t="s">
        <v>3680</v>
      </c>
      <c r="C1633" s="31"/>
      <c r="D1633" s="37" t="s">
        <v>14</v>
      </c>
      <c r="E1633" s="10"/>
      <c r="F1633" s="39">
        <v>7.2</v>
      </c>
      <c r="G1633" s="11">
        <v>206241.0</v>
      </c>
      <c r="H1633" s="34" t="str">
        <f>IFERROR(__xludf.DUMMYFUNCTION("LOWER(REGEXREPLACE(B1633&amp;"" ""&amp;C1633,""[^а-яa-z0-9 ]"","" ""))")," верлок швейный           44  потребляемая мощность 90  т  количество швейных операций   15  максимальная скорость шитья 1300 ст мин ")</f>
        <v> верлок швейный           44  потребляемая мощность 90  т  количество швейных операций   15  максимальная скорость шитья 1300 ст мин </v>
      </c>
    </row>
    <row r="1634">
      <c r="A1634" s="35" t="s">
        <v>3681</v>
      </c>
      <c r="B1634" s="9" t="s">
        <v>3682</v>
      </c>
      <c r="C1634" s="31"/>
      <c r="D1634" s="37" t="s">
        <v>14</v>
      </c>
      <c r="E1634" s="10"/>
      <c r="F1634" s="39">
        <v>7.6</v>
      </c>
      <c r="G1634" s="11">
        <v>249991.0</v>
      </c>
      <c r="H1634" s="34" t="str">
        <f>IFERROR(__xludf.DUMMYFUNCTION("LOWER(REGEXREPLACE(B1634&amp;"" ""&amp;C1634,""[^а-яa-z0-9 ]"","" ""))")," верлок               944    потребляемая мощность 105  т  количество швейных операций   11  максимальная скорость шитья 1300 ст мин ")</f>
        <v> верлок               944    потребляемая мощность 105  т  количество швейных операций   11  максимальная скорость шитья 1300 ст мин </v>
      </c>
    </row>
    <row r="1635">
      <c r="A1635" s="35" t="s">
        <v>3683</v>
      </c>
      <c r="B1635" s="31" t="s">
        <v>3684</v>
      </c>
      <c r="C1635" s="31" t="s">
        <v>3685</v>
      </c>
      <c r="D1635" s="37" t="s">
        <v>14</v>
      </c>
      <c r="E1635" s="10"/>
      <c r="F1635" s="38">
        <v>17.0</v>
      </c>
      <c r="G1635" s="11">
        <v>338967.0</v>
      </c>
      <c r="H1635" s="34" t="str">
        <f>IFERROR(__xludf.DUMMYFUNCTION("LOWER(REGEXREPLACE(B1635&amp;"" ""&amp;C1635,""[^а-яa-z0-9 ]"","" ""))"),"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f>
        <v>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v>
      </c>
    </row>
    <row r="1636">
      <c r="A1636" s="35" t="s">
        <v>3686</v>
      </c>
      <c r="B1636" s="31" t="s">
        <v>3687</v>
      </c>
      <c r="C1636" s="31"/>
      <c r="D1636" s="37" t="s">
        <v>14</v>
      </c>
      <c r="E1636" s="38">
        <v>2.0</v>
      </c>
      <c r="F1636" s="38">
        <v>8.0</v>
      </c>
      <c r="G1636" s="11">
        <v>250824.0</v>
      </c>
      <c r="H1636" s="34" t="str">
        <f>IFERROR(__xludf.DUMMYFUNCTION("LOWER(REGEXREPLACE(B1636&amp;"" ""&amp;C1636,""[^а-яa-z0-9 ]"","" ""))")," верлок швейный типа bernette         44  потребляемая мощность 90 т  количество швейных операций   15  максимальная скорость шитья 1300 ст мин ")</f>
        <v> верлок швейный типа bernette         44  потребляемая мощность 90 т  количество швейных операций   15  максимальная скорость шитья 1300 ст мин </v>
      </c>
    </row>
    <row r="1637">
      <c r="A1637" s="35" t="s">
        <v>3688</v>
      </c>
      <c r="B1637" s="31" t="s">
        <v>3689</v>
      </c>
      <c r="C1637" s="31"/>
      <c r="D1637" s="37" t="s">
        <v>14</v>
      </c>
      <c r="E1637" s="10"/>
      <c r="F1637" s="36"/>
      <c r="G1637" s="11">
        <v>14277.0</v>
      </c>
      <c r="H1637" s="34" t="str">
        <f>IFERROR(__xludf.DUMMYFUNCTION("LOWER(REGEXREPLACE(B1637&amp;"" ""&amp;C1637,""[^а-яa-z0-9 ]"","" ""))")," оска гладильная напольная ")</f>
        <v> оска гладильная напольная </v>
      </c>
    </row>
    <row r="1638">
      <c r="A1638" s="35" t="s">
        <v>3690</v>
      </c>
      <c r="B1638" s="31" t="s">
        <v>3691</v>
      </c>
      <c r="C1638" s="31"/>
      <c r="D1638" s="37" t="s">
        <v>14</v>
      </c>
      <c r="E1638" s="10"/>
      <c r="F1638" s="36"/>
      <c r="G1638" s="11">
        <v>31643.0</v>
      </c>
      <c r="H1638" s="34" t="str">
        <f>IFERROR(__xludf.DUMMYFUNCTION("LOWER(REGEXREPLACE(B1638&amp;"" ""&amp;C1638,""[^а-яa-z0-9 ]"","" ""))")," анекен женский ")</f>
        <v> анекен женский </v>
      </c>
    </row>
    <row r="1639">
      <c r="A1639" s="35" t="s">
        <v>3692</v>
      </c>
      <c r="B1639" s="31" t="s">
        <v>3693</v>
      </c>
      <c r="C1639" s="31"/>
      <c r="D1639" s="37" t="s">
        <v>14</v>
      </c>
      <c r="E1639" s="10"/>
      <c r="F1639" s="36"/>
      <c r="G1639" s="11">
        <v>31643.0</v>
      </c>
      <c r="H1639" s="34" t="str">
        <f>IFERROR(__xludf.DUMMYFUNCTION("LOWER(REGEXREPLACE(B1639&amp;"" ""&amp;C1639,""[^а-яa-z0-9 ]"","" ""))")," анекен мужской ")</f>
        <v> анекен мужской </v>
      </c>
    </row>
    <row r="1640">
      <c r="A1640" s="35" t="s">
        <v>3694</v>
      </c>
      <c r="B1640" s="31" t="s">
        <v>3695</v>
      </c>
      <c r="C1640" s="31"/>
      <c r="D1640" s="37" t="s">
        <v>14</v>
      </c>
      <c r="E1640" s="10"/>
      <c r="F1640" s="36"/>
      <c r="G1640" s="11"/>
      <c r="H1640" s="34" t="str">
        <f>IFERROR(__xludf.DUMMYFUNCTION("LOWER(REGEXREPLACE(B1640&amp;"" ""&amp;C1640,""[^а-яa-z0-9 ]"","" ""))")," танок ткацкий ")</f>
        <v> танок ткацкий </v>
      </c>
    </row>
    <row r="1641">
      <c r="A1641" s="35" t="s">
        <v>3696</v>
      </c>
      <c r="B1641" s="31" t="s">
        <v>3697</v>
      </c>
      <c r="C1641" s="31" t="s">
        <v>3698</v>
      </c>
      <c r="D1641" s="37" t="s">
        <v>14</v>
      </c>
      <c r="E1641" s="38">
        <v>2.0</v>
      </c>
      <c r="F1641" s="39">
        <v>7.9</v>
      </c>
      <c r="G1641" s="11">
        <v>243562.0</v>
      </c>
      <c r="H1641" s="34" t="str">
        <f>IFERROR(__xludf.DUMMYFUNCTION("LOWER(REGEXREPLACE(B1641&amp;"" ""&amp;C1641,""[^а-яa-z0-9 ]"","" ""))"),"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f>
        <v>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v>
      </c>
    </row>
    <row r="1642">
      <c r="A1642" s="35" t="s">
        <v>3699</v>
      </c>
      <c r="B1642" s="31" t="s">
        <v>3700</v>
      </c>
      <c r="C1642" s="31"/>
      <c r="D1642" s="37" t="s">
        <v>14</v>
      </c>
      <c r="E1642" s="10"/>
      <c r="F1642" s="36"/>
      <c r="G1642" s="11"/>
      <c r="H1642" s="34" t="str">
        <f>IFERROR(__xludf.DUMMYFUNCTION("LOWER(REGEXREPLACE(B1642&amp;"" ""&amp;C1642,""[^а-яa-z0-9 ]"","" ""))")," ашина вышивальная ")</f>
        <v> ашина вышивальная </v>
      </c>
    </row>
    <row r="1643">
      <c r="A1643" s="35" t="s">
        <v>3701</v>
      </c>
      <c r="B1643" s="31" t="s">
        <v>3702</v>
      </c>
      <c r="C1643" s="31"/>
      <c r="D1643" s="37" t="s">
        <v>14</v>
      </c>
      <c r="E1643" s="38">
        <v>2.0</v>
      </c>
      <c r="F1643" s="38">
        <v>19.0</v>
      </c>
      <c r="G1643" s="11">
        <v>836598.0</v>
      </c>
      <c r="H1643" s="34" t="str">
        <f>IFERROR(__xludf.DUMMYFUNCTION("LOWER(REGEXREPLACE(B1643&amp;"" ""&amp;C1643,""[^а-яa-z0-9 ]"","" ""))")," ашина вышивальная         emory  raft 550   количество вышивальных дизайнов   180  потребляемая мощность 55  т  максимальная скорость шитья 860 ст мин ")</f>
        <v> ашина вышивальная         emory  raft 550   количество вышивальных дизайнов   180  потребляемая мощность 55  т  максимальная скорость шитья 860 ст мин </v>
      </c>
    </row>
    <row r="1644">
      <c r="A1644" s="35" t="s">
        <v>3703</v>
      </c>
      <c r="B1644" s="31" t="s">
        <v>3704</v>
      </c>
      <c r="C1644" s="31" t="s">
        <v>3705</v>
      </c>
      <c r="D1644" s="37" t="s">
        <v>14</v>
      </c>
      <c r="E1644" s="38">
        <v>2.0</v>
      </c>
      <c r="F1644" s="38">
        <v>17.0</v>
      </c>
      <c r="G1644" s="11">
        <v>1075913.0</v>
      </c>
      <c r="H1644" s="34" t="str">
        <f>IFERROR(__xludf.DUMMYFUNCTION("LOWER(REGEXREPLACE(B1644&amp;"" ""&amp;C1644,""[^а-яa-z0-9 ]"","" ""))"),"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им"&amp;"порта дополнительных дизайнов вышивки")</f>
        <v>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импорта дополнительных дизайнов вышивки</v>
      </c>
    </row>
    <row r="1645">
      <c r="A1645" s="35" t="s">
        <v>3706</v>
      </c>
      <c r="B1645" s="31" t="s">
        <v>3707</v>
      </c>
      <c r="C1645" s="31"/>
      <c r="D1645" s="37" t="s">
        <v>14</v>
      </c>
      <c r="E1645" s="10"/>
      <c r="F1645" s="36"/>
      <c r="G1645" s="11"/>
      <c r="H1645" s="34" t="str">
        <f>IFERROR(__xludf.DUMMYFUNCTION("LOWER(REGEXREPLACE(B1645&amp;"" ""&amp;C1645,""[^а-яa-z0-9 ]"","" ""))")," ашина швейная ")</f>
        <v> ашина швейная </v>
      </c>
    </row>
    <row r="1646">
      <c r="A1646" s="35" t="s">
        <v>3708</v>
      </c>
      <c r="B1646" s="31" t="s">
        <v>3709</v>
      </c>
      <c r="C1646" s="31"/>
      <c r="D1646" s="37" t="s">
        <v>14</v>
      </c>
      <c r="E1646" s="10"/>
      <c r="F1646" s="38">
        <v>7.0</v>
      </c>
      <c r="G1646" s="11">
        <v>202670.0</v>
      </c>
      <c r="H1646" s="34" t="str">
        <f>IFERROR(__xludf.DUMMYFUNCTION("LOWER(REGEXREPLACE(B1646&amp;"" ""&amp;C1646,""[^а-яa-z0-9 ]"","" ""))")," ашина швейная компьютеризированная электронная           37  количество швейных операций   50  потребляемая мощность 42  т  максимальная скорость шитья 700 ст мин ")</f>
        <v> ашина швейная компьютеризированная электронная           37  количество швейных операций   50  потребляемая мощность 42  т  максимальная скорость шитья 700 ст мин </v>
      </c>
    </row>
    <row r="1647">
      <c r="A1647" s="35" t="s">
        <v>3710</v>
      </c>
      <c r="B1647" s="31" t="s">
        <v>3711</v>
      </c>
      <c r="C1647" s="31"/>
      <c r="D1647" s="37" t="s">
        <v>14</v>
      </c>
      <c r="E1647" s="10"/>
      <c r="F1647" s="38">
        <v>9.0</v>
      </c>
      <c r="G1647" s="11">
        <v>274098.0</v>
      </c>
      <c r="H1647" s="34" t="str">
        <f>IFERROR(__xludf.DUMMYFUNCTION("LOWER(REGEXREPLACE(B1647&amp;"" ""&amp;C1647,""[^а-яa-z0-9 ]"","" ""))")," ашина швейная электронная           38 с прикладным столиком  количество швейных операций   394  потребляемая мощность 42  т  максимальная скорость шитья 820 ст мин ")</f>
        <v> ашина швейная электронная           38 с прикладным столиком  количество швейных операций   394  потребляемая мощность 42  т  максимальная скорость шитья 820 ст мин </v>
      </c>
    </row>
    <row r="1648">
      <c r="A1648" s="35" t="s">
        <v>3712</v>
      </c>
      <c r="B1648" s="31" t="s">
        <v>3713</v>
      </c>
      <c r="C1648" s="31"/>
      <c r="D1648" s="37" t="s">
        <v>14</v>
      </c>
      <c r="E1648" s="10"/>
      <c r="F1648" s="38">
        <v>5.0</v>
      </c>
      <c r="G1648" s="11">
        <v>59813.0</v>
      </c>
      <c r="H1648" s="34" t="str">
        <f>IFERROR(__xludf.DUMMYFUNCTION("LOWER(REGEXREPLACE(B1648&amp;"" ""&amp;C1648,""[^а-яa-z0-9 ]"","" ""))")," ашина швейная электромеханическая          anis  количество швейных операций   9  потребляемая мощность 70  т  максимальная скорость шитья 750 ст мин ")</f>
        <v> ашина швейная электромеханическая          anis  количество швейных операций   9  потребляемая мощность 70  т  максимальная скорость шитья 750 ст мин </v>
      </c>
    </row>
    <row r="1649">
      <c r="A1649" s="35" t="s">
        <v>3714</v>
      </c>
      <c r="B1649" s="31" t="s">
        <v>3715</v>
      </c>
      <c r="C1649" s="31"/>
      <c r="D1649" s="37" t="s">
        <v>14</v>
      </c>
      <c r="E1649" s="10"/>
      <c r="F1649" s="38">
        <v>8.0</v>
      </c>
      <c r="G1649" s="11">
        <v>66955.0</v>
      </c>
      <c r="H1649" s="34" t="str">
        <f>IFERROR(__xludf.DUMMYFUNCTION("LOWER(REGEXREPLACE(B1649&amp;"" ""&amp;C1649,""[^а-яa-z0-9 ]"","" ""))")," ашина швейная            650  количество швейных операций   80  потребляемая мощность 85  т  максимальная скорость шитья 750 ст мин ")</f>
        <v> ашина швейная            650  количество швейных операций   80  потребляемая мощность 85  т  максимальная скорость шитья 750 ст мин </v>
      </c>
    </row>
    <row r="1650">
      <c r="A1650" s="35" t="s">
        <v>3716</v>
      </c>
      <c r="B1650" s="31" t="s">
        <v>3717</v>
      </c>
      <c r="C1650" s="31"/>
      <c r="D1650" s="37" t="s">
        <v>14</v>
      </c>
      <c r="E1650" s="10"/>
      <c r="F1650" s="38">
        <v>5.0</v>
      </c>
      <c r="G1650" s="11">
        <v>80348.0</v>
      </c>
      <c r="H1650" s="34" t="str">
        <f>IFERROR(__xludf.DUMMYFUNCTION("LOWER(REGEXREPLACE(B1650&amp;"" ""&amp;C1650,""[^а-яa-z0-9 ]"","" ""))")," ашина швейная электромеханическая                34  количество швейных операций   34  потребляемая мощность 65  т  максимальная скорость шитья 700 ст мин ")</f>
        <v> ашина швейная электромеханическая                34  количество швейных операций   34  потребляемая мощность 65  т  максимальная скорость шитья 700 ст мин </v>
      </c>
    </row>
    <row r="1651">
      <c r="A1651" s="35" t="s">
        <v>3718</v>
      </c>
      <c r="B1651" s="31" t="s">
        <v>3719</v>
      </c>
      <c r="C1651" s="31"/>
      <c r="D1651" s="37" t="s">
        <v>14</v>
      </c>
      <c r="E1651" s="10"/>
      <c r="F1651" s="39">
        <v>5.8</v>
      </c>
      <c r="G1651" s="11">
        <v>82134.0</v>
      </c>
      <c r="H1651" s="34" t="str">
        <f>IFERROR(__xludf.DUMMYFUNCTION("LOWER(REGEXREPLACE(B1651&amp;"" ""&amp;C1651,""[^а-яa-z0-9 ]"","" ""))")," ашина швейная электромеханическая         herry 20  количество швейных операций   20  потребляемая мощность 60  т  максимальная скорость шитья 600 ст мин ")</f>
        <v> ашина швейная электромеханическая         herry 20  количество швейных операций   20  потребляемая мощность 60  т  максимальная скорость шитья 600 ст мин </v>
      </c>
    </row>
    <row r="1652">
      <c r="A1652" s="35" t="s">
        <v>3720</v>
      </c>
      <c r="B1652" s="31" t="s">
        <v>3721</v>
      </c>
      <c r="C1652" s="31"/>
      <c r="D1652" s="37" t="s">
        <v>14</v>
      </c>
      <c r="E1652" s="10"/>
      <c r="F1652" s="38">
        <v>6.0</v>
      </c>
      <c r="G1652" s="11">
        <v>89277.0</v>
      </c>
      <c r="H1652" s="34" t="str">
        <f>IFERROR(__xludf.DUMMYFUNCTION("LOWER(REGEXREPLACE(B1652&amp;"" ""&amp;C1652,""[^а-яa-z0-9 ]"","" ""))")," ашина швейная электромеханическая         igh tyle 1818  количество швейных операций   19  потребляемая мощность 65  т  максимальная скорость шитья 400 ст мин ")</f>
        <v> ашина швейная электромеханическая         igh tyle 1818  количество швейных операций   19  потребляемая мощность 65  т  максимальная скорость шитья 400 ст мин </v>
      </c>
    </row>
    <row r="1653">
      <c r="A1653" s="35" t="s">
        <v>3722</v>
      </c>
      <c r="B1653" s="31" t="s">
        <v>3723</v>
      </c>
      <c r="C1653" s="31"/>
      <c r="D1653" s="37" t="s">
        <v>14</v>
      </c>
      <c r="E1653" s="10"/>
      <c r="F1653" s="38">
        <v>7.0</v>
      </c>
      <c r="G1653" s="11">
        <v>93741.0</v>
      </c>
      <c r="H1653" s="34" t="str">
        <f>IFERROR(__xludf.DUMMYFUNCTION("LOWER(REGEXREPLACE(B1653&amp;"" ""&amp;C1653,""[^а-яa-z0-9 ]"","" ""))")," ашина швейная электромеханическая           ublime  ilan 3  количество швейных операций   21  потребляемая мощность 80  т  максимальная скорость шитья 800 ст мин ")</f>
        <v> ашина швейная электромеханическая           ublime  ilan 3  количество швейных операций   21  потребляемая мощность 80  т  максимальная скорость шитья 800 ст мин </v>
      </c>
    </row>
    <row r="1654">
      <c r="A1654" s="35" t="s">
        <v>3724</v>
      </c>
      <c r="B1654" s="31" t="s">
        <v>3725</v>
      </c>
      <c r="C1654" s="31"/>
      <c r="D1654" s="37" t="s">
        <v>14</v>
      </c>
      <c r="E1654" s="10"/>
      <c r="F1654" s="39">
        <v>6.3</v>
      </c>
      <c r="G1654" s="11">
        <v>100884.0</v>
      </c>
      <c r="H1654" s="34" t="str">
        <f>IFERROR(__xludf.DUMMYFUNCTION("LOWER(REGEXREPLACE(B1654&amp;"" ""&amp;C1654,""[^а-яa-z0-9 ]"","" ""))")," ашина швейная электромеханическая        1225s  количество швейных операций   25  потребляемая мощность 85  т  максимальная скорость шитья 700 ст мин ")</f>
        <v> ашина швейная электромеханическая        1225s  количество швейных операций   25  потребляемая мощность 85  т  максимальная скорость шитья 700 ст мин </v>
      </c>
    </row>
    <row r="1655">
      <c r="A1655" s="35" t="s">
        <v>3726</v>
      </c>
      <c r="B1655" s="31" t="s">
        <v>3727</v>
      </c>
      <c r="C1655" s="31"/>
      <c r="D1655" s="37" t="s">
        <v>14</v>
      </c>
      <c r="E1655" s="10"/>
      <c r="F1655" s="38">
        <v>8.0</v>
      </c>
      <c r="G1655" s="11">
        <v>107134.0</v>
      </c>
      <c r="H1655" s="34" t="str">
        <f>IFERROR(__xludf.DUMMYFUNCTION("LOWER(REGEXREPLACE(B1655&amp;"" ""&amp;C1655,""[^а-яa-z0-9 ]"","" ""))")," ашина швейная электромеханическая           ublime  ilan 5  количество швейных операций   28  потребляемая мощность 85  т  максимальная скорость шитья 800 ст мин ")</f>
        <v> ашина швейная электромеханическая           ublime  ilan 5  количество швейных операций   28  потребляемая мощность 85  т  максимальная скорость шитья 800 ст мин </v>
      </c>
    </row>
    <row r="1656">
      <c r="A1656" s="35" t="s">
        <v>3728</v>
      </c>
      <c r="B1656" s="31" t="s">
        <v>3729</v>
      </c>
      <c r="C1656" s="31"/>
      <c r="D1656" s="37" t="s">
        <v>14</v>
      </c>
      <c r="E1656" s="10"/>
      <c r="F1656" s="39">
        <v>6.1</v>
      </c>
      <c r="G1656" s="11">
        <v>124098.0</v>
      </c>
      <c r="H1656" s="34" t="str">
        <f>IFERROR(__xludf.DUMMYFUNCTION("LOWER(REGEXREPLACE(B1656&amp;"" ""&amp;C1656,""[^а-яa-z0-9 ]"","" ""))")," ашина швейная электромеханическая           35  количество швейных операций   23  потребляемая мощность 85  т  максимальная скорость шитья 860 ст мин ")</f>
        <v> ашина швейная электромеханическая           35  количество швейных операций   23  потребляемая мощность 85  т  максимальная скорость шитья 860 ст мин </v>
      </c>
    </row>
    <row r="1657">
      <c r="A1657" s="35" t="s">
        <v>3730</v>
      </c>
      <c r="B1657" s="31" t="s">
        <v>3731</v>
      </c>
      <c r="C1657" s="31"/>
      <c r="D1657" s="37" t="s">
        <v>14</v>
      </c>
      <c r="E1657" s="10"/>
      <c r="F1657" s="38">
        <v>9.0</v>
      </c>
      <c r="G1657" s="11">
        <v>128563.0</v>
      </c>
      <c r="H1657" s="34" t="str">
        <f>IFERROR(__xludf.DUMMYFUNCTION("LOWER(REGEXREPLACE(B1657&amp;"" ""&amp;C1657,""[^а-яa-z0-9 ]"","" ""))")," ашина швейная электромеханическая        7515  количество швейных операций   15  потребляемая мощность 85  т  максимальная скорость шитья 860 ст мин ")</f>
        <v> ашина швейная электромеханическая        7515  количество швейных операций   15  потребляемая мощность 85  т  максимальная скорость шитья 860 ст мин </v>
      </c>
    </row>
    <row r="1658">
      <c r="A1658" s="35" t="s">
        <v>3732</v>
      </c>
      <c r="B1658" s="31" t="s">
        <v>3733</v>
      </c>
      <c r="C1658" s="31"/>
      <c r="D1658" s="37" t="s">
        <v>14</v>
      </c>
      <c r="E1658" s="10"/>
      <c r="F1658" s="39">
        <v>6.3</v>
      </c>
      <c r="G1658" s="11">
        <v>138384.0</v>
      </c>
      <c r="H1658" s="34" t="str">
        <f>IFERROR(__xludf.DUMMYFUNCTION("LOWER(REGEXREPLACE(B1658&amp;"" ""&amp;C1658,""[^а-яa-z0-9 ]"","" ""))")," ашина швейная электронная                       877  количество швейных операций   100  потребляемая мощность 51  т  максимальная скорость шитья 1000 ст мин ")</f>
        <v> ашина швейная электронная                       877  количество швейных операций   100  потребляемая мощность 51  т  максимальная скорость шитья 1000 ст мин </v>
      </c>
    </row>
    <row r="1659">
      <c r="A1659" s="35" t="s">
        <v>3734</v>
      </c>
      <c r="B1659" s="31" t="s">
        <v>3735</v>
      </c>
      <c r="C1659" s="31"/>
      <c r="D1659" s="37" t="s">
        <v>14</v>
      </c>
      <c r="E1659" s="10"/>
      <c r="F1659" s="38">
        <v>7.0</v>
      </c>
      <c r="G1659" s="11">
        <v>163384.0</v>
      </c>
      <c r="H1659" s="34" t="str">
        <f>IFERROR(__xludf.DUMMYFUNCTION("LOWER(REGEXREPLACE(B1659&amp;"" ""&amp;C1659,""[^а-яa-z0-9 ]"","" ""))")," ашина швейная электромеханическая          05  cademy  количество швейных операций   30  потребляемая мощность 60  т  максимальная скорость шитья 1100 ст мин ")</f>
        <v> ашина швейная электромеханическая          05  cademy  количество швейных операций   30  потребляемая мощность 60  т  максимальная скорость шитья 1100 ст мин </v>
      </c>
    </row>
    <row r="1660">
      <c r="A1660" s="35" t="s">
        <v>3736</v>
      </c>
      <c r="B1660" s="31" t="s">
        <v>3737</v>
      </c>
      <c r="C1660" s="31" t="s">
        <v>3738</v>
      </c>
      <c r="D1660" s="37" t="s">
        <v>14</v>
      </c>
      <c r="E1660" s="38">
        <v>2.0</v>
      </c>
      <c r="F1660" s="38">
        <v>36.0</v>
      </c>
      <c r="G1660" s="11">
        <v>260769.0</v>
      </c>
      <c r="H1660" s="34" t="str">
        <f>IFERROR(__xludf.DUMMYFUNCTION("LOWER(REGEXREPLACE(B1660&amp;"" ""&amp;C1660,""[^а-яa-z0-9 ]"","" ""))"),"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f>
        <v>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v>
      </c>
    </row>
    <row r="1661">
      <c r="A1661" s="35" t="s">
        <v>3739</v>
      </c>
      <c r="B1661" s="31" t="s">
        <v>3740</v>
      </c>
      <c r="C1661" s="31" t="s">
        <v>3741</v>
      </c>
      <c r="D1661" s="37" t="s">
        <v>14</v>
      </c>
      <c r="E1661" s="38">
        <v>2.0</v>
      </c>
      <c r="F1661" s="38">
        <v>35.0</v>
      </c>
      <c r="G1661" s="11">
        <v>299556.0</v>
      </c>
      <c r="H1661" s="34" t="str">
        <f>IFERROR(__xludf.DUMMYFUNCTION("LOWER(REGEXREPLACE(B1661&amp;"" ""&amp;C1661,""[^а-яa-z0-9 ]"","" ""))")," ашина швейная электрическая   ni raft    95   размер 580мм х 250мм х 540мм  аксимальная скорость шитья  не менее 4 100 стежков в минуту")</f>
        <v> ашина швейная электрическая   ni raft    95   размер 580мм х 250мм х 540мм  аксимальная скорость шитья  не менее 4 100 стежков в минуту</v>
      </c>
    </row>
    <row r="1662">
      <c r="A1662" s="35" t="s">
        <v>3742</v>
      </c>
      <c r="B1662" s="31" t="s">
        <v>3743</v>
      </c>
      <c r="C1662" s="31"/>
      <c r="D1662" s="37" t="s">
        <v>14</v>
      </c>
      <c r="E1662" s="38">
        <v>2.0</v>
      </c>
      <c r="F1662" s="39">
        <v>7.5</v>
      </c>
      <c r="G1662" s="11">
        <v>124292.0</v>
      </c>
      <c r="H1662" s="34" t="str">
        <f>IFERROR(__xludf.DUMMYFUNCTION("LOWER(REGEXREPLACE(B1662&amp;"" ""&amp;C1662,""[^а-яa-z0-9 ]"","" ""))")," ашина швейная типа bernette  ew and  o 5  электромеханическая  количество швейных операций   23  потребляемая мощность 70  т ")</f>
        <v> ашина швейная типа bernette  ew and  o 5  электромеханическая  количество швейных операций   23  потребляемая мощность 70  т </v>
      </c>
    </row>
    <row r="1663">
      <c r="A1663" s="35" t="s">
        <v>3744</v>
      </c>
      <c r="B1663" s="31" t="s">
        <v>3745</v>
      </c>
      <c r="C1663" s="31"/>
      <c r="D1663" s="37" t="s">
        <v>14</v>
      </c>
      <c r="E1663" s="38">
        <v>2.0</v>
      </c>
      <c r="F1663" s="38">
        <v>9.0</v>
      </c>
      <c r="G1663" s="11">
        <v>219714.0</v>
      </c>
      <c r="H1663" s="34" t="str">
        <f>IFERROR(__xludf.DUMMYFUNCTION("LOWER(REGEXREPLACE(B1663&amp;"" ""&amp;C1663,""[^а-яa-z0-9 ]"","" ""))")," ашина швейная типа bernette  ew and  o 8  компьютерная  количество швейных операций   197  потребляемая мощность 70  т ")</f>
        <v> ашина швейная типа bernette  ew and  o 8  компьютерная  количество швейных операций   197  потребляемая мощность 70  т </v>
      </c>
    </row>
    <row r="1664">
      <c r="A1664" s="35" t="s">
        <v>3746</v>
      </c>
      <c r="B1664" s="9" t="s">
        <v>3747</v>
      </c>
      <c r="C1664" s="31"/>
      <c r="D1664" s="37" t="s">
        <v>14</v>
      </c>
      <c r="E1664" s="38">
        <v>2.0</v>
      </c>
      <c r="F1664" s="38">
        <v>15.0</v>
      </c>
      <c r="G1664" s="11">
        <v>750962.0</v>
      </c>
      <c r="H1664" s="34" t="str">
        <f>IFERROR(__xludf.DUMMYFUNCTION("LOWER(REGEXREPLACE(B1664&amp;"" ""&amp;C1664,""[^а-яa-z0-9 ]"","" ""))")," ашина швейная типа bernette b70       электронная  количество швейных операций   208  потребляемая мощность 90  т ")</f>
        <v> ашина швейная типа bernette b70       электронная  количество швейных операций   208  потребляемая мощность 90  т </v>
      </c>
    </row>
    <row r="1665">
      <c r="A1665" s="35" t="s">
        <v>3748</v>
      </c>
      <c r="B1665" s="31" t="s">
        <v>3749</v>
      </c>
      <c r="C1665" s="31"/>
      <c r="D1665" s="37" t="s">
        <v>14</v>
      </c>
      <c r="E1665" s="10"/>
      <c r="F1665" s="36"/>
      <c r="G1665" s="11"/>
      <c r="H1665" s="34" t="str">
        <f>IFERROR(__xludf.DUMMYFUNCTION("LOWER(REGEXREPLACE(B1665&amp;"" ""&amp;C1665,""[^а-яa-z0-9 ]"","" ""))")," абина примерочная ")</f>
        <v> абина примерочная </v>
      </c>
    </row>
    <row r="1666">
      <c r="A1666" s="35" t="s">
        <v>3750</v>
      </c>
      <c r="B1666" s="31" t="s">
        <v>3751</v>
      </c>
      <c r="C1666" s="31" t="s">
        <v>3752</v>
      </c>
      <c r="D1666" s="37" t="s">
        <v>14</v>
      </c>
      <c r="E1666" s="38">
        <v>2.0</v>
      </c>
      <c r="F1666" s="38">
        <v>60.0</v>
      </c>
      <c r="G1666" s="11">
        <v>61818.0</v>
      </c>
      <c r="H1666" s="34" t="str">
        <f>IFERROR(__xludf.DUMMYFUNCTION("LOWER(REGEXREPLACE(B1666&amp;"" ""&amp;C1666,""[^а-яa-z0-9 ]"","" ""))")," абина примерочная прямоугольная с занавесом  абина примерочная со шторкой       16 мм  размеры не менее 1500 1500 1800мм")</f>
        <v> абина примерочная прямоугольная с занавесом  абина примерочная со шторкой       16 мм  размеры не менее 1500 1500 1800мм</v>
      </c>
    </row>
    <row r="1667">
      <c r="A1667" s="35" t="s">
        <v>3753</v>
      </c>
      <c r="B1667" s="31" t="s">
        <v>3754</v>
      </c>
      <c r="C1667" s="31"/>
      <c r="D1667" s="37" t="s">
        <v>14</v>
      </c>
      <c r="E1667" s="10"/>
      <c r="F1667" s="36"/>
      <c r="G1667" s="11"/>
      <c r="H1667" s="34" t="str">
        <f>IFERROR(__xludf.DUMMYFUNCTION("LOWER(REGEXREPLACE(B1667&amp;"" ""&amp;C1667,""[^а-яa-z0-9 ]"","" ""))")," каф для швейных инструментов ")</f>
        <v> каф для швейных инструментов </v>
      </c>
    </row>
    <row r="1668">
      <c r="A1668" s="35" t="s">
        <v>3755</v>
      </c>
      <c r="B1668" s="31" t="s">
        <v>3756</v>
      </c>
      <c r="C1668" s="31" t="s">
        <v>3757</v>
      </c>
      <c r="D1668" s="37" t="s">
        <v>14</v>
      </c>
      <c r="E1668" s="38">
        <v>2.0</v>
      </c>
      <c r="F1668" s="38">
        <v>100.0</v>
      </c>
      <c r="G1668" s="11">
        <v>1177573.0</v>
      </c>
      <c r="H1668" s="34" t="str">
        <f>IFERROR(__xludf.DUMMYFUNCTION("LOWER(REGEXREPLACE(B1668&amp;"" ""&amp;C1668,""[^а-яa-z0-9 ]"","" ""))"),"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окрашенн"&amp;"ой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669">
      <c r="A1669" s="35" t="s">
        <v>3758</v>
      </c>
      <c r="B1669" s="31" t="s">
        <v>3759</v>
      </c>
      <c r="C1669" s="31"/>
      <c r="D1669" s="36"/>
      <c r="E1669" s="10"/>
      <c r="F1669" s="36"/>
      <c r="G1669" s="11"/>
      <c r="H1669" s="34" t="str">
        <f>IFERROR(__xludf.DUMMYFUNCTION("LOWER(REGEXREPLACE(B1669&amp;"" ""&amp;C1669,""[^а-яa-z0-9 ]"","" ""))")," омещение для хранения оружия и военно технического имущества ")</f>
        <v> омещение для хранения оружия и военно технического имущества </v>
      </c>
    </row>
    <row r="1670">
      <c r="A1670" s="35" t="s">
        <v>3760</v>
      </c>
      <c r="B1670" s="31" t="s">
        <v>3761</v>
      </c>
      <c r="C1670" s="31" t="s">
        <v>3762</v>
      </c>
      <c r="D1670" s="37" t="s">
        <v>14</v>
      </c>
      <c r="E1670" s="10"/>
      <c r="F1670" s="36"/>
      <c r="G1670" s="11">
        <v>43661.0</v>
      </c>
      <c r="H1670" s="34" t="str">
        <f>IFERROR(__xludf.DUMMYFUNCTION("LOWER(REGEXREPLACE(B1670&amp;"" ""&amp;C1670,""[^а-яa-z0-9 ]"","" ""))"),"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f>
        <v>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v>
      </c>
    </row>
    <row r="1671">
      <c r="A1671" s="35" t="s">
        <v>3763</v>
      </c>
      <c r="B1671" s="31" t="s">
        <v>3764</v>
      </c>
      <c r="C1671" s="31"/>
      <c r="D1671" s="37" t="s">
        <v>14</v>
      </c>
      <c r="E1671" s="10"/>
      <c r="F1671" s="36"/>
      <c r="G1671" s="11"/>
      <c r="H1671" s="34" t="str">
        <f>IFERROR(__xludf.DUMMYFUNCTION("LOWER(REGEXREPLACE(B1671&amp;"" ""&amp;C1671,""[^а-яa-z0-9 ]"","" ""))")," каф  пирамида  для хранения оружия ")</f>
        <v> каф  пирамида  для хранения оружия </v>
      </c>
    </row>
    <row r="1672">
      <c r="A1672" s="35" t="s">
        <v>3765</v>
      </c>
      <c r="B1672" s="31" t="s">
        <v>3766</v>
      </c>
      <c r="C1672" s="31"/>
      <c r="D1672" s="37" t="s">
        <v>14</v>
      </c>
      <c r="E1672" s="10"/>
      <c r="F1672" s="36"/>
      <c r="G1672" s="11">
        <v>382452.0</v>
      </c>
      <c r="H1672" s="34" t="str">
        <f>IFERROR(__xludf.DUMMYFUNCTION("LOWER(REGEXREPLACE(B1672&amp;"" ""&amp;C1672,""[^а-яa-z0-9 ]"","" ""))")," ирамида 1054 530 360 1822  из 3мм  20 единиц оружия ")</f>
        <v> ирамида 1054 530 360 1822  из 3мм  20 единиц оружия </v>
      </c>
    </row>
    <row r="1673">
      <c r="A1673" s="35" t="s">
        <v>3767</v>
      </c>
      <c r="B1673" s="31" t="s">
        <v>3768</v>
      </c>
      <c r="C1673" s="31"/>
      <c r="D1673" s="37" t="s">
        <v>14</v>
      </c>
      <c r="E1673" s="10"/>
      <c r="F1673" s="36"/>
      <c r="G1673" s="11">
        <v>429138.0</v>
      </c>
      <c r="H1673" s="34" t="str">
        <f>IFERROR(__xludf.DUMMYFUNCTION("LOWER(REGEXREPLACE(B1673&amp;"" ""&amp;C1673,""[^а-яa-z0-9 ]"","" ""))")," ирамида 1190 450 1920  из 3мм  14 единиц оружия ")</f>
        <v> ирамида 1190 450 1920  из 3мм  14 единиц оружия </v>
      </c>
    </row>
    <row r="1674">
      <c r="A1674" s="35" t="s">
        <v>3769</v>
      </c>
      <c r="B1674" s="31" t="s">
        <v>3770</v>
      </c>
      <c r="C1674" s="31" t="s">
        <v>3771</v>
      </c>
      <c r="D1674" s="37" t="s">
        <v>14</v>
      </c>
      <c r="E1674" s="38">
        <v>2.0</v>
      </c>
      <c r="F1674" s="38">
        <v>68.0</v>
      </c>
      <c r="G1674" s="11">
        <v>161320.0</v>
      </c>
      <c r="H1674" s="34" t="str">
        <f>IFERROR(__xludf.DUMMYFUNCTION("LOWER(REGEXREPLACE(B1674&amp;"" ""&amp;C1674,""[^а-яa-z0-9 ]"","" ""))"),"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материал"&amp;"      не менее 16 мм   торцы закатаны кромочным материалом     не менее 1 0 мм ")</f>
        <v>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      не менее 16 мм   торцы закатаны кромочным материалом     не менее 1 0 мм </v>
      </c>
    </row>
    <row r="1675">
      <c r="A1675" s="35" t="s">
        <v>3772</v>
      </c>
      <c r="B1675" s="9" t="s">
        <v>3773</v>
      </c>
      <c r="C1675" s="31" t="s">
        <v>3774</v>
      </c>
      <c r="D1675" s="37" t="s">
        <v>14</v>
      </c>
      <c r="E1675" s="38">
        <v>2.0</v>
      </c>
      <c r="F1675" s="38">
        <v>26.0</v>
      </c>
      <c r="G1675" s="11">
        <v>63325.0</v>
      </c>
      <c r="H1675" s="34" t="str">
        <f>IFERROR(__xludf.DUMMYFUNCTION("LOWER(REGEXREPLACE(B1675&amp;"" ""&amp;C1675,""[^а-яa-z0-9 ]"","" ""))"),"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мен"&amp;"ее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1"&amp;"200х750х120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"&amp;"покрытия ")</f>
        <v>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покрытия </v>
      </c>
    </row>
    <row r="1676">
      <c r="A1676" s="35" t="s">
        <v>3775</v>
      </c>
      <c r="B1676" s="9" t="s">
        <v>3776</v>
      </c>
      <c r="C1676" s="31"/>
      <c r="D1676" s="37" t="s">
        <v>14</v>
      </c>
      <c r="E1676" s="10"/>
      <c r="F1676" s="36"/>
      <c r="G1676" s="11">
        <v>486598.0</v>
      </c>
      <c r="H1676" s="34" t="str">
        <f>IFERROR(__xludf.DUMMYFUNCTION("LOWER(REGEXREPLACE(B1676&amp;"" ""&amp;C1676,""[^а-яa-z0-9 ]"","" ""))")," ассогабаритный макет автомата  алашникова ")</f>
        <v> ассогабаритный макет автомата  алашникова </v>
      </c>
    </row>
    <row r="1677">
      <c r="A1677" s="35" t="s">
        <v>3777</v>
      </c>
      <c r="B1677" s="31" t="s">
        <v>3778</v>
      </c>
      <c r="C1677" s="31" t="s">
        <v>3779</v>
      </c>
      <c r="D1677" s="37" t="s">
        <v>68</v>
      </c>
      <c r="E1677" s="38">
        <v>2.0</v>
      </c>
      <c r="F1677" s="39">
        <v>3.2</v>
      </c>
      <c r="G1677" s="11">
        <v>27081.0</v>
      </c>
      <c r="H1677" s="34" t="str">
        <f>IFERROR(__xludf.DUMMYFUNCTION("LOWER(REGEXREPLACE(B1677&amp;"" ""&amp;C1677,""[^а-яa-z0-9 ]"","" ""))"),"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"&amp;"1 пара  со шпеньками  6 шт   и две тесьмы  перчатки летние и зимние ")</f>
        <v>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 </v>
      </c>
    </row>
    <row r="1678">
      <c r="A1678" s="35" t="s">
        <v>3780</v>
      </c>
      <c r="B1678" s="31" t="s">
        <v>3781</v>
      </c>
      <c r="C1678" s="31" t="s">
        <v>3782</v>
      </c>
      <c r="D1678" s="37" t="s">
        <v>14</v>
      </c>
      <c r="E1678" s="38">
        <v>2.0</v>
      </c>
      <c r="F1678" s="40">
        <v>0.85</v>
      </c>
      <c r="G1678" s="11">
        <v>36092.0</v>
      </c>
      <c r="H1678" s="34" t="str">
        <f>IFERROR(__xludf.DUMMYFUNCTION("LOWER(REGEXREPLACE(B1678&amp;"" ""&amp;C1678,""[^а-яa-z0-9 ]"","" ""))"),"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"&amp;"противоаэрозольным фильтром из фильтрующего материала и поглощающим слоем  шихтой  из сорбента ")</f>
        <v>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противоаэрозольным фильтром из фильтрующего материала и поглощающим слоем  шихтой  из сорбента </v>
      </c>
    </row>
    <row r="1679">
      <c r="A1679" s="35" t="s">
        <v>3783</v>
      </c>
      <c r="B1679" s="31" t="s">
        <v>3784</v>
      </c>
      <c r="C1679" s="31" t="s">
        <v>3785</v>
      </c>
      <c r="D1679" s="37" t="s">
        <v>14</v>
      </c>
      <c r="E1679" s="38">
        <v>2.0</v>
      </c>
      <c r="F1679" s="39">
        <v>1.1</v>
      </c>
      <c r="G1679" s="11">
        <v>33934.0</v>
      </c>
      <c r="H1679" s="34" t="str">
        <f>IFERROR(__xludf.DUMMYFUNCTION("LOWER(REGEXREPLACE(B1679&amp;"" ""&amp;C1679,""[^а-яa-z0-9 ]"","" ""))"),"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f>
        <v>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v>
      </c>
    </row>
    <row r="1680">
      <c r="A1680" s="35" t="s">
        <v>3786</v>
      </c>
      <c r="B1680" s="31" t="s">
        <v>3787</v>
      </c>
      <c r="C1680" s="31" t="s">
        <v>3787</v>
      </c>
      <c r="D1680" s="37" t="s">
        <v>14</v>
      </c>
      <c r="E1680" s="10"/>
      <c r="F1680" s="36"/>
      <c r="G1680" s="11">
        <v>1598.0</v>
      </c>
      <c r="H1680" s="34" t="str">
        <f>IFERROR(__xludf.DUMMYFUNCTION("LOWER(REGEXREPLACE(B1680&amp;"" ""&amp;C1680,""[^а-яa-z0-9 ]"","" ""))")," еспиратор  еспиратор")</f>
        <v> еспиратор  еспиратор</v>
      </c>
    </row>
    <row r="1681">
      <c r="A1681" s="35" t="s">
        <v>3788</v>
      </c>
      <c r="B1681" s="31" t="s">
        <v>3789</v>
      </c>
      <c r="C1681" s="31" t="s">
        <v>3790</v>
      </c>
      <c r="D1681" s="37" t="s">
        <v>14</v>
      </c>
      <c r="E1681" s="38">
        <v>2.0</v>
      </c>
      <c r="F1681" s="39">
        <v>2.3</v>
      </c>
      <c r="G1681" s="11">
        <v>72186.0</v>
      </c>
      <c r="H1681" s="34" t="str">
        <f>IFERROR(__xludf.DUMMYFUNCTION("LOWER(REGEXREPLACE(B1681&amp;"" ""&amp;C1681,""[^а-яa-z0-9 ]"","" ""))"),"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индикатор"&amp;"ных трубок      ")</f>
        <v>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индикаторных трубок      </v>
      </c>
    </row>
    <row r="1682">
      <c r="A1682" s="35" t="s">
        <v>3791</v>
      </c>
      <c r="B1682" s="31" t="s">
        <v>3792</v>
      </c>
      <c r="C1682" s="31" t="s">
        <v>3793</v>
      </c>
      <c r="D1682" s="37" t="s">
        <v>68</v>
      </c>
      <c r="E1682" s="38">
        <v>2.0</v>
      </c>
      <c r="F1682" s="39">
        <v>1.5</v>
      </c>
      <c r="G1682" s="11">
        <v>63163.0</v>
      </c>
      <c r="H1682" s="34" t="str">
        <f>IFERROR(__xludf.DUMMYFUNCTION("LOWER(REGEXREPLACE(B1682&amp;"" ""&amp;C1682,""[^а-яa-z0-9 ]"","" ""))"),"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и"&amp;" зарядное устройство на пьезоэлементе ")</f>
        <v>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 зарядное устройство на пьезоэлементе </v>
      </c>
    </row>
    <row r="1683">
      <c r="A1683" s="35" t="s">
        <v>3794</v>
      </c>
      <c r="B1683" s="31" t="s">
        <v>3795</v>
      </c>
      <c r="C1683" s="31" t="s">
        <v>3795</v>
      </c>
      <c r="D1683" s="37" t="s">
        <v>14</v>
      </c>
      <c r="E1683" s="10"/>
      <c r="F1683" s="36"/>
      <c r="G1683" s="11">
        <v>3634.0</v>
      </c>
      <c r="H1683" s="34" t="str">
        <f>IFERROR(__xludf.DUMMYFUNCTION("LOWER(REGEXREPLACE(B1683&amp;"" ""&amp;C1683,""[^а-яa-z0-9 ]"","" ""))")," алая пехотная лопата  алая пехотная лопата")</f>
        <v> алая пехотная лопата  алая пехотная лопата</v>
      </c>
    </row>
    <row r="1684">
      <c r="A1684" s="35" t="s">
        <v>3796</v>
      </c>
      <c r="B1684" s="31" t="s">
        <v>3797</v>
      </c>
      <c r="C1684" s="31" t="s">
        <v>3797</v>
      </c>
      <c r="D1684" s="37" t="s">
        <v>14</v>
      </c>
      <c r="E1684" s="10"/>
      <c r="F1684" s="36"/>
      <c r="G1684" s="11">
        <v>6366.0</v>
      </c>
      <c r="H1684" s="34" t="str">
        <f>IFERROR(__xludf.DUMMYFUNCTION("LOWER(REGEXREPLACE(B1684&amp;"" ""&amp;C1684,""[^а-яa-z0-9 ]"","" ""))")," омпас армейский  омпас армейский")</f>
        <v> омпас армейский  омпас армейский</v>
      </c>
    </row>
    <row r="1685">
      <c r="A1685" s="35" t="s">
        <v>3798</v>
      </c>
      <c r="B1685" s="31" t="s">
        <v>3799</v>
      </c>
      <c r="C1685" s="31" t="s">
        <v>3799</v>
      </c>
      <c r="D1685" s="37" t="s">
        <v>14</v>
      </c>
      <c r="E1685" s="10"/>
      <c r="F1685" s="36"/>
      <c r="G1685" s="11">
        <v>2473.0</v>
      </c>
      <c r="H1685" s="34" t="str">
        <f>IFERROR(__xludf.DUMMYFUNCTION("LOWER(REGEXREPLACE(B1685&amp;"" ""&amp;C1685,""[^а-яa-z0-9 ]"","" ""))")," ндивидуальный перевязочный пакет  ндивидуальный перевязочный пакет")</f>
        <v> ндивидуальный перевязочный пакет  ндивидуальный перевязочный пакет</v>
      </c>
    </row>
    <row r="1686">
      <c r="A1686" s="35" t="s">
        <v>3800</v>
      </c>
      <c r="B1686" s="31" t="s">
        <v>3801</v>
      </c>
      <c r="C1686" s="31" t="s">
        <v>3801</v>
      </c>
      <c r="D1686" s="37" t="s">
        <v>14</v>
      </c>
      <c r="E1686" s="38">
        <v>2.0</v>
      </c>
      <c r="F1686" s="39">
        <v>1.6</v>
      </c>
      <c r="G1686" s="11">
        <v>27075.0</v>
      </c>
      <c r="H1686" s="34" t="str">
        <f>IFERROR(__xludf.DUMMYFUNCTION("LOWER(REGEXREPLACE(B1686&amp;"" ""&amp;C1686,""[^а-яa-z0-9 ]"","" ""))")," умка санитарная со спецукладкой в комплекте  умка санитарная со спецукладкой в комплекте")</f>
        <v> умка санитарная со спецукладкой в комплекте  умка санитарная со спецукладкой в комплекте</v>
      </c>
    </row>
    <row r="1687">
      <c r="A1687" s="35" t="s">
        <v>3802</v>
      </c>
      <c r="B1687" s="31" t="s">
        <v>3803</v>
      </c>
      <c r="C1687" s="31"/>
      <c r="D1687" s="36"/>
      <c r="E1687" s="10"/>
      <c r="F1687" s="36"/>
      <c r="G1687" s="11"/>
      <c r="H1687" s="34" t="str">
        <f>IFERROR(__xludf.DUMMYFUNCTION("LOWER(REGEXREPLACE(B1687&amp;"" ""&amp;C1687,""[^а-яa-z0-9 ]"","" ""))")," ир ")</f>
        <v> ир </v>
      </c>
    </row>
    <row r="1688">
      <c r="A1688" s="35" t="s">
        <v>3804</v>
      </c>
      <c r="B1688" s="31" t="s">
        <v>3805</v>
      </c>
      <c r="C1688" s="31"/>
      <c r="D1688" s="37" t="s">
        <v>14</v>
      </c>
      <c r="E1688" s="10"/>
      <c r="F1688" s="36"/>
      <c r="G1688" s="11"/>
      <c r="H1688" s="34" t="str">
        <f>IFERROR(__xludf.DUMMYFUNCTION("LOWER(REGEXREPLACE(B1688&amp;"" ""&amp;C1688,""[^а-яa-z0-9 ]"","" ""))")," тойка   подставка для стрельбы стоя ")</f>
        <v> тойка   подставка для стрельбы стоя </v>
      </c>
    </row>
    <row r="1689">
      <c r="A1689" s="35" t="s">
        <v>3806</v>
      </c>
      <c r="B1689" s="31" t="s">
        <v>3807</v>
      </c>
      <c r="C1689" s="31" t="s">
        <v>3808</v>
      </c>
      <c r="D1689" s="37" t="s">
        <v>14</v>
      </c>
      <c r="E1689" s="38">
        <v>2.0</v>
      </c>
      <c r="F1689" s="38">
        <v>2.0</v>
      </c>
      <c r="G1689" s="11">
        <v>11567.0</v>
      </c>
      <c r="H1689" s="34" t="str">
        <f>IFERROR(__xludf.DUMMYFUNCTION("LOWER(REGEXREPLACE(B1689&amp;"" ""&amp;C1689,""[^а-яa-z0-9 ]"","" ""))"),"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f>
        <v>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v>
      </c>
    </row>
    <row r="1690">
      <c r="A1690" s="35" t="s">
        <v>3809</v>
      </c>
      <c r="B1690" s="31" t="s">
        <v>3810</v>
      </c>
      <c r="C1690" s="31"/>
      <c r="D1690" s="37" t="s">
        <v>14</v>
      </c>
      <c r="E1690" s="10"/>
      <c r="F1690" s="36"/>
      <c r="G1690" s="11">
        <v>44405.0</v>
      </c>
      <c r="H1690" s="34" t="str">
        <f>IFERROR(__xludf.DUMMYFUNCTION("LOWER(REGEXREPLACE(B1690&amp;"" ""&amp;C1690,""[^а-яa-z0-9 ]"","" ""))")," тол для чистки и смазки стрелкового оружия ")</f>
        <v> тол для чистки и смазки стрелкового оружия </v>
      </c>
    </row>
    <row r="1691">
      <c r="A1691" s="35" t="s">
        <v>3811</v>
      </c>
      <c r="B1691" s="31" t="s">
        <v>3812</v>
      </c>
      <c r="C1691" s="31"/>
      <c r="D1691" s="36"/>
      <c r="E1691" s="10"/>
      <c r="F1691" s="36"/>
      <c r="G1691" s="11"/>
      <c r="H1691" s="34" t="str">
        <f>IFERROR(__xludf.DUMMYFUNCTION("LOWER(REGEXREPLACE(B1691&amp;"" ""&amp;C1691,""[^а-яa-z0-9 ]"","" ""))")," аборы и принадлежности для кабинета биотехнологий ")</f>
        <v> аборы и принадлежности для кабинета биотехнологий </v>
      </c>
    </row>
    <row r="1692">
      <c r="A1692" s="35" t="s">
        <v>3813</v>
      </c>
      <c r="B1692" s="31" t="s">
        <v>3814</v>
      </c>
      <c r="C1692" s="31"/>
      <c r="D1692" s="37" t="s">
        <v>1507</v>
      </c>
      <c r="E1692" s="10"/>
      <c r="F1692" s="36"/>
      <c r="G1692" s="11"/>
      <c r="H1692" s="34" t="str">
        <f>IFERROR(__xludf.DUMMYFUNCTION("LOWER(REGEXREPLACE(B1692&amp;"" ""&amp;C1692,""[^а-яa-z0-9 ]"","" ""))")," абор оборудования для проведения экспериментов электрофореза агароза ")</f>
        <v> абор оборудования для проведения экспериментов электрофореза агароза </v>
      </c>
    </row>
    <row r="1693">
      <c r="A1693" s="35" t="s">
        <v>3815</v>
      </c>
      <c r="B1693" s="31" t="s">
        <v>3816</v>
      </c>
      <c r="C1693" s="31" t="s">
        <v>3817</v>
      </c>
      <c r="D1693" s="37" t="s">
        <v>1507</v>
      </c>
      <c r="E1693" s="38">
        <v>2.0</v>
      </c>
      <c r="F1693" s="40">
        <v>0.74</v>
      </c>
      <c r="G1693" s="11">
        <v>80669.0</v>
      </c>
      <c r="H1693" s="34" t="str">
        <f>IFERROR(__xludf.DUMMYFUNCTION("LOWER(REGEXREPLACE(B1693&amp;"" ""&amp;C1693,""[^а-яa-z0-9 ]"","" ""))"),"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флак"&amp;"он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f>
        <v>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v>
      </c>
    </row>
    <row r="1694">
      <c r="A1694" s="35" t="s">
        <v>3818</v>
      </c>
      <c r="B1694" s="31" t="s">
        <v>3819</v>
      </c>
      <c r="C1694" s="31" t="s">
        <v>3820</v>
      </c>
      <c r="D1694" s="37" t="s">
        <v>1507</v>
      </c>
      <c r="E1694" s="38">
        <v>2.0</v>
      </c>
      <c r="F1694" s="38">
        <v>5.0</v>
      </c>
      <c r="G1694" s="11">
        <v>3223059.0</v>
      </c>
      <c r="H1694" s="34" t="str">
        <f>IFERROR(__xludf.DUMMYFUNCTION("LOWER(REGEXREPLACE(B1694&amp;"" ""&amp;C1694,""[^а-яa-z0-9 ]"","" ""))"),"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"&amp;"шт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un"&amp;"cknown  краситель  2 шт ")</f>
        <v>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uncknown  краситель  2 шт </v>
      </c>
    </row>
    <row r="1695">
      <c r="A1695" s="35" t="s">
        <v>3821</v>
      </c>
      <c r="B1695" s="31" t="s">
        <v>3822</v>
      </c>
      <c r="C1695" s="31"/>
      <c r="D1695" s="37" t="s">
        <v>1507</v>
      </c>
      <c r="E1695" s="10"/>
      <c r="F1695" s="36"/>
      <c r="G1695" s="11"/>
      <c r="H1695" s="34" t="str">
        <f>IFERROR(__xludf.DUMMYFUNCTION("LOWER(REGEXREPLACE(B1695&amp;"" ""&amp;C1695,""[^а-яa-z0-9 ]"","" ""))")," абораторный практикум   нализ отпечатков пальцев  ")</f>
        <v> абораторный практикум   нализ отпечатков пальцев  </v>
      </c>
    </row>
    <row r="1696">
      <c r="A1696" s="35" t="s">
        <v>3823</v>
      </c>
      <c r="B1696" s="31" t="s">
        <v>3824</v>
      </c>
      <c r="C1696" s="31" t="s">
        <v>3825</v>
      </c>
      <c r="D1696" s="37" t="s">
        <v>1507</v>
      </c>
      <c r="E1696" s="38">
        <v>2.0</v>
      </c>
      <c r="F1696" s="40">
        <v>0.85</v>
      </c>
      <c r="G1696" s="11">
        <v>170643.0</v>
      </c>
      <c r="H1696" s="34" t="str">
        <f>IFERROR(__xludf.DUMMYFUNCTION("LOWER(REGEXREPLACE(B1696&amp;"" ""&amp;C1696,""[^а-яa-z0-9 ]"","" ""))"),"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"&amp;"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"&amp;"нструкции по способу работы   1 шт ")</f>
        <v>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нструкции по способу работы   1 шт </v>
      </c>
    </row>
    <row r="1697">
      <c r="A1697" s="35" t="s">
        <v>3826</v>
      </c>
      <c r="B1697" s="31" t="s">
        <v>3827</v>
      </c>
      <c r="C1697" s="31" t="s">
        <v>3828</v>
      </c>
      <c r="D1697" s="37" t="s">
        <v>1507</v>
      </c>
      <c r="E1697" s="38">
        <v>2.0</v>
      </c>
      <c r="F1697" s="39">
        <v>0.8</v>
      </c>
      <c r="G1697" s="11">
        <v>169716.0</v>
      </c>
      <c r="H1697" s="34" t="str">
        <f>IFERROR(__xludf.DUMMYFUNCTION("LOWER(REGEXREPLACE(B1697&amp;"" ""&amp;C1697,""[^а-яa-z0-9 ]"","" ""))"),"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"&amp;" концентрированный электрофорезный раствор   гелевый раствор   синька      stain flash blue   insta stain blue card   1 мл пипетка   трансферные пипетки ")</f>
        <v>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концентрированный электрофорезный раствор   гелевый раствор   синька      stain flash blue   insta stain blue card   1 мл пипетка   трансферные пипетки </v>
      </c>
    </row>
    <row r="1698">
      <c r="A1698" s="35" t="s">
        <v>3829</v>
      </c>
      <c r="B1698" s="31" t="s">
        <v>3830</v>
      </c>
      <c r="C1698" s="31"/>
      <c r="D1698" s="37" t="s">
        <v>1507</v>
      </c>
      <c r="E1698" s="10"/>
      <c r="F1698" s="36"/>
      <c r="G1698" s="11"/>
      <c r="H1698" s="34" t="str">
        <f>IFERROR(__xludf.DUMMYFUNCTION("LOWER(REGEXREPLACE(B1698&amp;"" ""&amp;C1698,""[^а-яa-z0-9 ]"","" ""))")," кспериментальный набор   лектрофорез  ")</f>
        <v> кспериментальный набор   лектрофорез  </v>
      </c>
    </row>
    <row r="1699">
      <c r="A1699" s="35" t="s">
        <v>3831</v>
      </c>
      <c r="B1699" s="31" t="s">
        <v>3832</v>
      </c>
      <c r="C1699" s="31"/>
      <c r="D1699" s="37" t="s">
        <v>1507</v>
      </c>
      <c r="E1699" s="38">
        <v>2.0</v>
      </c>
      <c r="F1699" s="39">
        <v>2.3</v>
      </c>
      <c r="G1699" s="11">
        <v>1069889.0</v>
      </c>
      <c r="H1699" s="34" t="str">
        <f>IFERROR(__xludf.DUMMYFUNCTION("LOWER(REGEXREPLACE(B1699&amp;"" ""&amp;C1699,""[^а-яa-z0-9 ]"","" ""))")," кспериментальный набор   лектрофорез  типа  xperia    17 ")</f>
        <v> кспериментальный набор   лектрофорез  типа  xperia    17 </v>
      </c>
    </row>
    <row r="1700">
      <c r="A1700" s="35" t="s">
        <v>3833</v>
      </c>
      <c r="B1700" s="31" t="s">
        <v>3834</v>
      </c>
      <c r="C1700" s="31"/>
      <c r="D1700" s="37" t="s">
        <v>1507</v>
      </c>
      <c r="E1700" s="38">
        <v>2.0</v>
      </c>
      <c r="F1700" s="39">
        <v>0.8</v>
      </c>
      <c r="G1700" s="11">
        <v>300149.0</v>
      </c>
      <c r="H1700" s="34" t="str">
        <f>IFERROR(__xludf.DUMMYFUNCTION("LOWER(REGEXREPLACE(B1700&amp;"" ""&amp;C1700,""[^а-яa-z0-9 ]"","" ""))")," кспериментальный набор   лектрофорез  типа  ards  cience 4703 ")</f>
        <v> кспериментальный набор   лектрофорез  типа  ards  cience 4703 </v>
      </c>
    </row>
    <row r="1701">
      <c r="A1701" s="35" t="s">
        <v>3835</v>
      </c>
      <c r="B1701" s="31" t="s">
        <v>3836</v>
      </c>
      <c r="C1701" s="31"/>
      <c r="D1701" s="37" t="s">
        <v>1507</v>
      </c>
      <c r="E1701" s="10"/>
      <c r="F1701" s="36"/>
      <c r="G1701" s="11"/>
      <c r="H1701" s="34" t="str">
        <f>IFERROR(__xludf.DUMMYFUNCTION("LOWER(REGEXREPLACE(B1701&amp;"" ""&amp;C1701,""[^а-яa-z0-9 ]"","" ""))")," кспериментальный набор   троение      ")</f>
        <v> кспериментальный набор   троение      </v>
      </c>
    </row>
    <row r="1702">
      <c r="A1702" s="35" t="s">
        <v>3837</v>
      </c>
      <c r="B1702" s="31" t="s">
        <v>3838</v>
      </c>
      <c r="C1702" s="31"/>
      <c r="D1702" s="37" t="s">
        <v>1507</v>
      </c>
      <c r="E1702" s="38">
        <v>2.0</v>
      </c>
      <c r="F1702" s="39">
        <v>3.5</v>
      </c>
      <c r="G1702" s="11">
        <v>131759.0</v>
      </c>
      <c r="H1702" s="34" t="str">
        <f>IFERROR(__xludf.DUMMYFUNCTION("LOWER(REGEXREPLACE(B1702&amp;"" ""&amp;C1702,""[^а-яa-z0-9 ]"","" ""))")," кспериментальный набор   троение      типа  xperia    19 ")</f>
        <v> кспериментальный набор   троение      типа  xperia    19 </v>
      </c>
    </row>
    <row r="1703">
      <c r="A1703" s="35" t="s">
        <v>3839</v>
      </c>
      <c r="B1703" s="31" t="s">
        <v>3840</v>
      </c>
      <c r="C1703" s="31"/>
      <c r="D1703" s="37" t="s">
        <v>1507</v>
      </c>
      <c r="E1703" s="38">
        <v>2.0</v>
      </c>
      <c r="F1703" s="39">
        <v>0.8</v>
      </c>
      <c r="G1703" s="11">
        <v>110795.0</v>
      </c>
      <c r="H1703" s="34" t="str">
        <f>IFERROR(__xludf.DUMMYFUNCTION("LOWER(REGEXREPLACE(B1703&amp;"" ""&amp;C1703,""[^а-яa-z0-9 ]"","" ""))")," кспериментальный набор   троение      типа  ards  cience 4705 ")</f>
        <v> кспериментальный набор   троение      типа  ards  cience 4705 </v>
      </c>
    </row>
    <row r="1704">
      <c r="A1704" s="35" t="s">
        <v>3841</v>
      </c>
      <c r="B1704" s="31" t="s">
        <v>3842</v>
      </c>
      <c r="C1704" s="31"/>
      <c r="D1704" s="37" t="s">
        <v>1507</v>
      </c>
      <c r="E1704" s="10"/>
      <c r="F1704" s="36"/>
      <c r="G1704" s="11"/>
      <c r="H1704" s="34" t="str">
        <f>IFERROR(__xludf.DUMMYFUNCTION("LOWER(REGEXREPLACE(B1704&amp;"" ""&amp;C1704,""[^а-яa-z0-9 ]"","" ""))")," рактикум   лектрофорез     часть 1  ")</f>
        <v> рактикум   лектрофорез     часть 1  </v>
      </c>
    </row>
    <row r="1705">
      <c r="A1705" s="35" t="s">
        <v>3843</v>
      </c>
      <c r="B1705" s="31" t="s">
        <v>3844</v>
      </c>
      <c r="C1705" s="31" t="s">
        <v>3845</v>
      </c>
      <c r="D1705" s="37" t="s">
        <v>1507</v>
      </c>
      <c r="E1705" s="38">
        <v>2.0</v>
      </c>
      <c r="F1705" s="40">
        <v>1.58</v>
      </c>
      <c r="G1705" s="11">
        <v>1140211.0</v>
      </c>
      <c r="H1705" s="34" t="str">
        <f>IFERROR(__xludf.DUMMYFUNCTION("LOWER(REGEXREPLACE(B1705&amp;"" ""&amp;C1705,""[^а-яa-z0-9 ]"","" ""))"),"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"&amp;"ведение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наконе"&amp;"чники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"&amp;"для гребня  2 шт  гребень 6 шт   электродные зажимы    3 шт ")</f>
        <v>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для гребня  2 шт  гребень 6 шт   электродные зажимы    3 шт </v>
      </c>
    </row>
    <row r="1706">
      <c r="A1706" s="35" t="s">
        <v>3846</v>
      </c>
      <c r="B1706" s="31" t="s">
        <v>3847</v>
      </c>
      <c r="C1706" s="31" t="s">
        <v>3848</v>
      </c>
      <c r="D1706" s="37" t="s">
        <v>1507</v>
      </c>
      <c r="E1706" s="38">
        <v>2.0</v>
      </c>
      <c r="F1706" s="38">
        <v>3.0</v>
      </c>
      <c r="G1706" s="11">
        <v>1128076.0</v>
      </c>
      <c r="H1706" s="34" t="str">
        <f>IFERROR(__xludf.DUMMYFUNCTION("LOWER(REGEXREPLACE(B1706&amp;"" ""&amp;C1706,""[^а-яa-z0-9 ]"","" ""))"),"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рактик"&amp;"ум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геля"&amp;"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f>
        <v>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v>
      </c>
    </row>
    <row r="1707">
      <c r="A1707" s="35" t="s">
        <v>3849</v>
      </c>
      <c r="B1707" s="31" t="s">
        <v>3850</v>
      </c>
      <c r="C1707" s="31"/>
      <c r="D1707" s="37" t="s">
        <v>1507</v>
      </c>
      <c r="E1707" s="10"/>
      <c r="F1707" s="36"/>
      <c r="G1707" s="11"/>
      <c r="H1707" s="34" t="str">
        <f>IFERROR(__xludf.DUMMYFUNCTION("LOWER(REGEXREPLACE(B1707&amp;"" ""&amp;C1707,""[^а-яa-z0-9 ]"","" ""))")," рактикум   лектрофорез     часть 2  ")</f>
        <v> рактикум   лектрофорез     часть 2  </v>
      </c>
    </row>
    <row r="1708">
      <c r="A1708" s="35" t="s">
        <v>3851</v>
      </c>
      <c r="B1708" s="31" t="s">
        <v>3852</v>
      </c>
      <c r="C1708" s="31" t="s">
        <v>3853</v>
      </c>
      <c r="D1708" s="37" t="s">
        <v>1507</v>
      </c>
      <c r="E1708" s="38">
        <v>2.0</v>
      </c>
      <c r="F1708" s="39">
        <v>4.3</v>
      </c>
      <c r="G1708" s="11">
        <v>1312794.0</v>
      </c>
      <c r="H1708" s="34" t="str">
        <f>IFERROR(__xludf.DUMMYFUNCTION("LOWER(REGEXREPLACE(B1708&amp;"" ""&amp;C1708,""[^а-яa-z0-9 ]"","" ""))"),"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"&amp;"мкл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об"&amp;"ъемом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f>
        <v>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v>
      </c>
    </row>
    <row r="1709">
      <c r="A1709" s="35" t="s">
        <v>3854</v>
      </c>
      <c r="B1709" s="31" t="s">
        <v>3855</v>
      </c>
      <c r="C1709" s="31" t="s">
        <v>3856</v>
      </c>
      <c r="D1709" s="37" t="s">
        <v>1507</v>
      </c>
      <c r="E1709" s="38">
        <v>2.0</v>
      </c>
      <c r="F1709" s="38">
        <v>4.0</v>
      </c>
      <c r="G1709" s="11">
        <v>1203620.0</v>
      </c>
      <c r="H1709" s="34" t="str">
        <f>IFERROR(__xludf.DUMMYFUNCTION("LOWER(REGEXREPLACE(B1709&amp;"" ""&amp;C1709,""[^а-яa-z0-9 ]"","" ""))"),"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одн"&amp;"оразовых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5"&amp;"ml   1 готовый агароз гель   2 0   200ml   1  еактивы для электрофореза агароза   ris  orate  dta  5x  500m  ")</f>
        <v>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5ml   1 готовый агароз гель   2 0   200ml   1  еактивы для электрофореза агароза   ris  orate  dta  5x  500m  </v>
      </c>
    </row>
    <row r="1710">
      <c r="A1710" s="35" t="s">
        <v>3857</v>
      </c>
      <c r="B1710" s="31" t="s">
        <v>3858</v>
      </c>
      <c r="C1710" s="31"/>
      <c r="D1710" s="37" t="s">
        <v>1507</v>
      </c>
      <c r="E1710" s="10"/>
      <c r="F1710" s="36"/>
      <c r="G1710" s="11"/>
      <c r="H1710" s="34" t="str">
        <f>IFERROR(__xludf.DUMMYFUNCTION("LOWER(REGEXREPLACE(B1710&amp;"" ""&amp;C1710,""[^а-яa-z0-9 ]"","" ""))")," чебный практикум   кстракция     из фруктов и овощей  ")</f>
        <v> чебный практикум   кстракция     из фруктов и овощей  </v>
      </c>
    </row>
    <row r="1711">
      <c r="A1711" s="35" t="s">
        <v>3859</v>
      </c>
      <c r="B1711" s="31" t="s">
        <v>3860</v>
      </c>
      <c r="C1711" s="31" t="s">
        <v>3861</v>
      </c>
      <c r="D1711" s="37" t="s">
        <v>1507</v>
      </c>
      <c r="E1711" s="38">
        <v>2.0</v>
      </c>
      <c r="F1711" s="40">
        <v>0.78</v>
      </c>
      <c r="G1711" s="11">
        <v>70957.0</v>
      </c>
      <c r="H1711" s="34" t="str">
        <f>IFERROR(__xludf.DUMMYFUNCTION("LOWER(REGEXREPLACE(B1711&amp;"" ""&amp;C1711,""[^а-яa-z0-9 ]"","" ""))"),"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"&amp;"  10 шт   зопропиловый спирт  250 мл   1 шт ")</f>
        <v>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10 шт   зопропиловый спирт  250 мл   1 шт </v>
      </c>
    </row>
    <row r="1712">
      <c r="A1712" s="35" t="s">
        <v>3862</v>
      </c>
      <c r="B1712" s="31" t="s">
        <v>3863</v>
      </c>
      <c r="C1712" s="31" t="s">
        <v>3864</v>
      </c>
      <c r="D1712" s="37" t="s">
        <v>1507</v>
      </c>
      <c r="E1712" s="38">
        <v>2.0</v>
      </c>
      <c r="F1712" s="39">
        <v>0.8</v>
      </c>
      <c r="G1712" s="11">
        <v>69500.0</v>
      </c>
      <c r="H1712" s="34" t="str">
        <f>IFERROR(__xludf.DUMMYFUNCTION("LOWER(REGEXREPLACE(B1712&amp;"" ""&amp;C1712,""[^а-яa-z0-9 ]"","" ""))"),"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f>
        <v>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v>
      </c>
    </row>
    <row r="1713">
      <c r="A1713" s="35" t="s">
        <v>3865</v>
      </c>
      <c r="B1713" s="31" t="s">
        <v>3866</v>
      </c>
      <c r="C1713" s="31"/>
      <c r="D1713" s="37" t="s">
        <v>1507</v>
      </c>
      <c r="E1713" s="10"/>
      <c r="F1713" s="36"/>
      <c r="G1713" s="11"/>
      <c r="H1713" s="34" t="str">
        <f>IFERROR(__xludf.DUMMYFUNCTION("LOWER(REGEXREPLACE(B1713&amp;"" ""&amp;C1713,""[^а-яa-z0-9 ]"","" ""))")," абор для лабораторных работ по исследованию     бактерий ")</f>
        <v> абор для лабораторных работ по исследованию     бактерий </v>
      </c>
    </row>
    <row r="1714">
      <c r="A1714" s="35" t="s">
        <v>3867</v>
      </c>
      <c r="B1714" s="31" t="s">
        <v>3868</v>
      </c>
      <c r="C1714" s="31" t="s">
        <v>3869</v>
      </c>
      <c r="D1714" s="37" t="s">
        <v>1507</v>
      </c>
      <c r="E1714" s="38">
        <v>2.0</v>
      </c>
      <c r="F1714" s="39">
        <v>1.1</v>
      </c>
      <c r="G1714" s="11">
        <v>160886.0</v>
      </c>
      <c r="H1714" s="34" t="str">
        <f>IFERROR(__xludf.DUMMYFUNCTION("LOWER(REGEXREPLACE(B1714&amp;"" ""&amp;C1714,""[^а-яa-z0-9 ]"","" ""))"),"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дл"&amp;"я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г"&amp;"радуированная   1 шт   ")</f>
        <v>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градуированная   1 шт   </v>
      </c>
    </row>
    <row r="1715">
      <c r="A1715" s="35" t="s">
        <v>3870</v>
      </c>
      <c r="B1715" s="31" t="s">
        <v>3871</v>
      </c>
      <c r="C1715" s="31" t="s">
        <v>3872</v>
      </c>
      <c r="D1715" s="37" t="s">
        <v>1507</v>
      </c>
      <c r="E1715" s="38">
        <v>2.0</v>
      </c>
      <c r="F1715" s="39">
        <v>0.8</v>
      </c>
      <c r="G1715" s="11">
        <v>158134.0</v>
      </c>
      <c r="H1715" s="34" t="str">
        <f>IFERROR(__xludf.DUMMYFUNCTION("LOWER(REGEXREPLACE(B1715&amp;"" ""&amp;C1715,""[^а-яa-z0-9 ]"","" ""))"),"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halobac"&amp;"terium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"&amp;"  мешок для биологически опасных веществ ")</f>
        <v>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мешок для биологически опасных веществ </v>
      </c>
    </row>
    <row r="1716">
      <c r="A1716" s="35" t="s">
        <v>3873</v>
      </c>
      <c r="B1716" s="31" t="s">
        <v>3874</v>
      </c>
      <c r="C1716" s="31"/>
      <c r="D1716" s="37" t="s">
        <v>1507</v>
      </c>
      <c r="E1716" s="10"/>
      <c r="F1716" s="36"/>
      <c r="G1716" s="11"/>
      <c r="H1716" s="34" t="str">
        <f>IFERROR(__xludf.DUMMYFUNCTION("LOWER(REGEXREPLACE(B1716&amp;"" ""&amp;C1716,""[^а-яa-z0-9 ]"","" ""))")," рактикум   егулирование экспрессии гена  эксперимент по метилированию      ")</f>
        <v> рактикум   егулирование экспрессии гена  эксперимент по метилированию      </v>
      </c>
    </row>
    <row r="1717">
      <c r="A1717" s="35" t="s">
        <v>3875</v>
      </c>
      <c r="B1717" s="31" t="s">
        <v>3876</v>
      </c>
      <c r="C1717" s="31" t="s">
        <v>3877</v>
      </c>
      <c r="D1717" s="37" t="s">
        <v>1507</v>
      </c>
      <c r="E1717" s="38">
        <v>2.0</v>
      </c>
      <c r="F1717" s="40">
        <v>0.84</v>
      </c>
      <c r="G1717" s="11">
        <v>130310.0</v>
      </c>
      <c r="H1717" s="34" t="str">
        <f>IFERROR(__xludf.DUMMYFUNCTION("LOWER(REGEXREPLACE(B1717&amp;"" ""&amp;C1717,""[^а-яa-z0-9 ]"","" ""))"),"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1"&amp;"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10"&amp;" шт   икроцентрифужные пробирки  10 шт   нструкция по эксперименту  1 брошюра   имическая колба конусовидная градуированная   1 шт ")</f>
        <v>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 шт   икроцентрифужные пробирки  10 шт   нструкция по эксперименту  1 брошюра   имическая колба конусовидная градуированная   1 шт </v>
      </c>
    </row>
    <row r="1718">
      <c r="A1718" s="35" t="s">
        <v>3878</v>
      </c>
      <c r="B1718" s="31" t="s">
        <v>3879</v>
      </c>
      <c r="C1718" s="31" t="s">
        <v>3880</v>
      </c>
      <c r="D1718" s="37" t="s">
        <v>1507</v>
      </c>
      <c r="E1718" s="38">
        <v>2.0</v>
      </c>
      <c r="F1718" s="38">
        <v>1.0</v>
      </c>
      <c r="G1718" s="11">
        <v>127918.0</v>
      </c>
      <c r="H1718" s="34" t="str">
        <f>IFERROR(__xludf.DUMMYFUNCTION("LOWER(REGEXREPLACE(B1718&amp;"" ""&amp;C1718,""[^а-яa-z0-9 ]"","" ""))"),"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"&amp;"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м"&amp;"л  1  ottle of      tain concentrate  60ml      реакционные микротрубки   1 лотокдлягеля   1 мешалка")</f>
        <v>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мл  1  ottle of      tain concentrate  60ml      реакционные микротрубки   1 лотокдлягеля   1 мешалка</v>
      </c>
    </row>
    <row r="1719">
      <c r="A1719" s="35" t="s">
        <v>3881</v>
      </c>
      <c r="B1719" s="31" t="s">
        <v>3882</v>
      </c>
      <c r="C1719" s="31"/>
      <c r="D1719" s="37" t="s">
        <v>1507</v>
      </c>
      <c r="E1719" s="10"/>
      <c r="F1719" s="36"/>
      <c r="G1719" s="11"/>
      <c r="H1719" s="34" t="str">
        <f>IFERROR(__xludf.DUMMYFUNCTION("LOWER(REGEXREPLACE(B1719&amp;"" ""&amp;C1719,""[^а-яa-z0-9 ]"","" ""))")," рактикум   асщепление молекул   истема анализа белка и      ")</f>
        <v> рактикум   асщепление молекул   истема анализа белка и      </v>
      </c>
    </row>
    <row r="1720">
      <c r="A1720" s="35" t="s">
        <v>3883</v>
      </c>
      <c r="B1720" s="31" t="s">
        <v>3884</v>
      </c>
      <c r="C1720" s="31" t="s">
        <v>3885</v>
      </c>
      <c r="D1720" s="37" t="s">
        <v>1507</v>
      </c>
      <c r="E1720" s="38">
        <v>2.0</v>
      </c>
      <c r="F1720" s="40">
        <v>1.24</v>
      </c>
      <c r="G1720" s="11">
        <v>131570.0</v>
      </c>
      <c r="H1720" s="34" t="str">
        <f>IFERROR(__xludf.DUMMYFUNCTION("LOWER(REGEXREPLACE(B1720&amp;"" ""&amp;C1720,""[^а-яa-z0-9 ]"","" ""))"),"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ипет"&amp;"ки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геля"&amp;"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l"&amp;"ue  20 мл    1 шт   аствор этидиумбромида      10 мл   1 шт            загрузочный буфер  20 мл   1 шт ")</f>
        <v>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lue  20 мл    1 шт   аствор этидиумбромида      10 мл   1 шт            загрузочный буфер  20 мл   1 шт </v>
      </c>
    </row>
    <row r="1721">
      <c r="A1721" s="35" t="s">
        <v>3886</v>
      </c>
      <c r="B1721" s="31" t="s">
        <v>3887</v>
      </c>
      <c r="C1721" s="31" t="s">
        <v>3888</v>
      </c>
      <c r="D1721" s="37" t="s">
        <v>1507</v>
      </c>
      <c r="E1721" s="38">
        <v>2.0</v>
      </c>
      <c r="F1721" s="38">
        <v>6.0</v>
      </c>
      <c r="G1721" s="11">
        <v>2417807.0</v>
      </c>
      <c r="H1721" s="34" t="str">
        <f>IFERROR(__xludf.DUMMYFUNCTION("LOWER(REGEXREPLACE(B1721&amp;"" ""&amp;C1721,""[^а-яa-z0-9 ]"","" ""))"),"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протеиновые"&amp;"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раствор"&amp;"ом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1"&amp;"00   или 200    200 м     рисглицин        гелиевые пластины для электрофореза     gradient tris glycine gels   температурный режим     икропипетки универсальные10       иллиметровка  бумага ")</f>
        <v>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100   или 200    200 м     рисглицин        гелиевые пластины для электрофореза     gradient tris glycine gels   температурный режим     икропипетки универсальные10       иллиметровка  бумага </v>
      </c>
    </row>
    <row r="1722">
      <c r="A1722" s="35" t="s">
        <v>3889</v>
      </c>
      <c r="B1722" s="31" t="s">
        <v>3890</v>
      </c>
      <c r="C1722" s="31"/>
      <c r="D1722" s="37" t="s">
        <v>1507</v>
      </c>
      <c r="E1722" s="10"/>
      <c r="F1722" s="36"/>
      <c r="G1722" s="11"/>
      <c r="H1722" s="34" t="str">
        <f>IFERROR(__xludf.DUMMYFUNCTION("LOWER(REGEXREPLACE(B1722&amp;"" ""&amp;C1722,""[^а-яa-z0-9 ]"","" ""))")," абораторный практикум   ткрытие      ")</f>
        <v> абораторный практикум   ткрытие      </v>
      </c>
    </row>
    <row r="1723">
      <c r="A1723" s="35" t="s">
        <v>3891</v>
      </c>
      <c r="B1723" s="9" t="s">
        <v>3892</v>
      </c>
      <c r="C1723" s="31" t="s">
        <v>3893</v>
      </c>
      <c r="D1723" s="37" t="s">
        <v>1507</v>
      </c>
      <c r="E1723" s="38">
        <v>2.0</v>
      </c>
      <c r="F1723" s="39">
        <v>0.8</v>
      </c>
      <c r="G1723" s="11">
        <v>134401.0</v>
      </c>
      <c r="H1723" s="34" t="str">
        <f>IFERROR(__xludf.DUMMYFUNCTION("LOWER(REGEXREPLACE(B1723&amp;"" ""&amp;C1723,""[^а-яa-z0-9 ]"","" ""))"),"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пипет"&amp;"ки")</f>
        <v>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пипетки</v>
      </c>
    </row>
    <row r="1724">
      <c r="A1724" s="35" t="s">
        <v>3894</v>
      </c>
      <c r="B1724" s="9" t="s">
        <v>3895</v>
      </c>
      <c r="C1724" s="31"/>
      <c r="D1724" s="37" t="s">
        <v>1507</v>
      </c>
      <c r="E1724" s="10"/>
      <c r="F1724" s="36"/>
      <c r="G1724" s="11"/>
      <c r="H1724" s="34" t="str">
        <f>IFERROR(__xludf.DUMMYFUNCTION("LOWER(REGEXREPLACE(B1724&amp;"" ""&amp;C1724,""[^а-яa-z0-9 ]"","" ""))")," абораторный практикум   арта     семьи  ")</f>
        <v> абораторный практикум   арта     семьи  </v>
      </c>
    </row>
    <row r="1725">
      <c r="A1725" s="35" t="s">
        <v>3896</v>
      </c>
      <c r="B1725" s="9" t="s">
        <v>3897</v>
      </c>
      <c r="C1725" s="31" t="s">
        <v>3898</v>
      </c>
      <c r="D1725" s="37" t="s">
        <v>1507</v>
      </c>
      <c r="E1725" s="38">
        <v>2.0</v>
      </c>
      <c r="F1725" s="40">
        <v>1.32</v>
      </c>
      <c r="G1725" s="11">
        <v>70599.0</v>
      </c>
      <c r="H1725" s="34" t="str">
        <f>IFERROR(__xludf.DUMMYFUNCTION("LOWER(REGEXREPLACE(B1725&amp;"" ""&amp;C1725,""[^а-яa-z0-9 ]"","" ""))"),"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метиле"&amp;"новый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f>
        <v>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v>
      </c>
    </row>
    <row r="1726">
      <c r="A1726" s="35" t="s">
        <v>3899</v>
      </c>
      <c r="B1726" s="9" t="s">
        <v>3900</v>
      </c>
      <c r="C1726" s="31" t="s">
        <v>3901</v>
      </c>
      <c r="D1726" s="37" t="s">
        <v>1507</v>
      </c>
      <c r="E1726" s="38">
        <v>2.0</v>
      </c>
      <c r="F1726" s="39">
        <v>0.8</v>
      </c>
      <c r="G1726" s="11">
        <v>70205.0</v>
      </c>
      <c r="H1726" s="34" t="str">
        <f>IFERROR(__xludf.DUMMYFUNCTION("LOWER(REGEXREPLACE(B1726&amp;"" ""&amp;C1726,""[^а-яa-z0-9 ]"","" ""))"),"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"&amp;"    етелинблу   ethylene blue plus stain     алибровочные пипетки    икропипетки     естовые пробирки    емейная     карта")</f>
        <v>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етелинблу   ethylene blue plus stain     алибровочные пипетки    икропипетки     естовые пробирки    емейная     карта</v>
      </c>
    </row>
    <row r="1727">
      <c r="A1727" s="35" t="s">
        <v>3902</v>
      </c>
      <c r="B1727" s="9" t="s">
        <v>3903</v>
      </c>
      <c r="C1727" s="31"/>
      <c r="D1727" s="37" t="s">
        <v>1507</v>
      </c>
      <c r="E1727" s="10"/>
      <c r="F1727" s="36"/>
      <c r="G1727" s="11"/>
      <c r="H1727" s="34" t="str">
        <f>IFERROR(__xludf.DUMMYFUNCTION("LOWER(REGEXREPLACE(B1727&amp;"" ""&amp;C1727,""[^а-яa-z0-9 ]"","" ""))")," рактикум   оссоздание кариотипирования  ")</f>
        <v> рактикум   оссоздание кариотипирования  </v>
      </c>
    </row>
    <row r="1728">
      <c r="A1728" s="35" t="s">
        <v>3904</v>
      </c>
      <c r="B1728" s="9" t="s">
        <v>3905</v>
      </c>
      <c r="C1728" s="31" t="s">
        <v>3906</v>
      </c>
      <c r="D1728" s="37" t="s">
        <v>1507</v>
      </c>
      <c r="E1728" s="38">
        <v>2.0</v>
      </c>
      <c r="F1728" s="40">
        <v>4.89</v>
      </c>
      <c r="G1728" s="11">
        <v>77765.0</v>
      </c>
      <c r="H1728" s="34" t="str">
        <f>IFERROR(__xludf.DUMMYFUNCTION("LOWER(REGEXREPLACE(B1728&amp;"" ""&amp;C1728,""[^а-яa-z0-9 ]"","" ""))"),"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омпь"&amp;"ютерная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10"&amp;"0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соз"&amp;"дания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мат"&amp;"ериалы   5 шт   идеоматериалы с демонстрацией процесса кариотипирования   1 шт   икроскопические слайды с изображениями реальных кариограмм   1 шт ")</f>
        <v>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материалы   5 шт   идеоматериалы с демонстрацией процесса кариотипирования   1 шт   икроскопические слайды с изображениями реальных кариограмм   1 шт </v>
      </c>
    </row>
    <row r="1729">
      <c r="A1729" s="35" t="s">
        <v>3907</v>
      </c>
      <c r="B1729" s="31" t="s">
        <v>3908</v>
      </c>
      <c r="C1729" s="31" t="s">
        <v>3909</v>
      </c>
      <c r="D1729" s="37" t="s">
        <v>1507</v>
      </c>
      <c r="E1729" s="38">
        <v>2.0</v>
      </c>
      <c r="F1729" s="39">
        <v>0.8</v>
      </c>
      <c r="G1729" s="11">
        <v>76550.0</v>
      </c>
      <c r="H1729" s="34" t="str">
        <f>IFERROR(__xludf.DUMMYFUNCTION("LOWER(REGEXREPLACE(B1729&amp;"" ""&amp;C1729,""[^а-яa-z0-9 ]"","" ""))"),"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chromo"&amp;"some plate  3    6 пластиковых пакетов")</f>
        <v>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chromosome plate  3    6 пластиковых пакетов</v>
      </c>
    </row>
    <row r="1730">
      <c r="A1730" s="35" t="s">
        <v>3910</v>
      </c>
      <c r="B1730" s="9" t="s">
        <v>3911</v>
      </c>
      <c r="C1730" s="31"/>
      <c r="D1730" s="37" t="s">
        <v>1507</v>
      </c>
      <c r="E1730" s="10"/>
      <c r="F1730" s="36"/>
      <c r="G1730" s="11"/>
      <c r="H1730" s="34" t="str">
        <f>IFERROR(__xludf.DUMMYFUNCTION("LOWER(REGEXREPLACE(B1730&amp;"" ""&amp;C1730,""[^а-яa-z0-9 ]"","" ""))")," абораторный практикум   екомбинант      демонстрация моделей  ")</f>
        <v> абораторный практикум   екомбинант      демонстрация моделей  </v>
      </c>
    </row>
    <row r="1731">
      <c r="A1731" s="35" t="s">
        <v>3912</v>
      </c>
      <c r="B1731" s="31" t="s">
        <v>3913</v>
      </c>
      <c r="C1731" s="31" t="s">
        <v>3914</v>
      </c>
      <c r="D1731" s="37" t="s">
        <v>1507</v>
      </c>
      <c r="E1731" s="38">
        <v>2.0</v>
      </c>
      <c r="F1731" s="40">
        <v>4.23</v>
      </c>
      <c r="G1731" s="11">
        <v>111348.0</v>
      </c>
      <c r="H1731" s="34" t="str">
        <f>IFERROR(__xludf.DUMMYFUNCTION("LOWER(REGEXREPLACE(B1731&amp;"" ""&amp;C1731,""[^а-яa-z0-9 ]"","" ""))"),"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бусин"&amp;"ы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f>
        <v>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v>
      </c>
    </row>
    <row r="1732">
      <c r="A1732" s="35" t="s">
        <v>3915</v>
      </c>
      <c r="B1732" s="31" t="s">
        <v>3916</v>
      </c>
      <c r="C1732" s="31" t="s">
        <v>3917</v>
      </c>
      <c r="D1732" s="37" t="s">
        <v>1507</v>
      </c>
      <c r="E1732" s="38">
        <v>2.0</v>
      </c>
      <c r="F1732" s="38">
        <v>2.0</v>
      </c>
      <c r="G1732" s="11">
        <v>372672.0</v>
      </c>
      <c r="H1732" s="34" t="str">
        <f>IFERROR(__xludf.DUMMYFUNCTION("LOWER(REGEXREPLACE(B1732&amp;"" ""&amp;C1732,""[^а-яa-z0-9 ]"","" ""))"),"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рагмен"&amp;"т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инейныйф"&amp;"рагмент   g     1875     7   inearfrag     2  инейныйфрагмент   g    2332     8   inearfrag     2  инейныйфрагмент   g     3755     9   inearfrag     2  инейныйфрагмент   g     784     10   inearfrag     1  ельэлектрофорезнаядоска   g    11   el  lectroph"&amp;"oresis board     нструкция  12   nstructional manual    12  инейныйфрагмент   m     1875     1   inear frag     12  инейныйфрагмент   m    2332     2   inear frag     12  инейныйфрагмент   m     3755     3   inear frag     12  инейныйфрагмент   m    784  "&amp;"   4   inear frag     15  ельэлектрофорезнаядоска  5   el  lectrophoresis board    6 магнитов  magnets ")</f>
        <v>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инейныйфрагмент   g     1875     7   inearfrag     2  инейныйфрагмент   g    2332     8   inearfrag     2  инейныйфрагмент   g     3755     9   inearfrag     2  инейныйфрагмент   g     784     10   inearfrag     1  ельэлектрофорезнаядоска   g    11   el  lectrophoresis board     нструкция  12   nstructional manual    12  инейныйфрагмент   m     1875     1   inear frag     12  инейныйфрагмент   m    2332     2   inear frag     12  инейныйфрагмент   m     3755     3   inear frag     12  инейныйфрагмент   m    784     4   inear frag     15  ельэлектрофорезнаядоска  5   el  lectrophoresis board    6 магнитов  magnets </v>
      </c>
    </row>
    <row r="1733">
      <c r="A1733" s="35" t="s">
        <v>3918</v>
      </c>
      <c r="B1733" s="31" t="s">
        <v>3919</v>
      </c>
      <c r="C1733" s="31"/>
      <c r="D1733" s="37" t="s">
        <v>1507</v>
      </c>
      <c r="E1733" s="10"/>
      <c r="F1733" s="36"/>
      <c r="G1733" s="11"/>
      <c r="H1733" s="34" t="str">
        <f>IFERROR(__xludf.DUMMYFUNCTION("LOWER(REGEXREPLACE(B1733&amp;"" ""&amp;C1733,""[^а-яa-z0-9 ]"","" ""))")," абор для определения уровня антител ")</f>
        <v> абор для определения уровня антител </v>
      </c>
    </row>
    <row r="1734">
      <c r="A1734" s="35" t="s">
        <v>3920</v>
      </c>
      <c r="B1734" s="31" t="s">
        <v>3921</v>
      </c>
      <c r="C1734" s="31" t="s">
        <v>3922</v>
      </c>
      <c r="D1734" s="37" t="s">
        <v>1507</v>
      </c>
      <c r="E1734" s="38">
        <v>2.0</v>
      </c>
      <c r="F1734" s="40">
        <v>3.42</v>
      </c>
      <c r="G1734" s="11">
        <v>221130.0</v>
      </c>
      <c r="H1734" s="34" t="str">
        <f>IFERROR(__xludf.DUMMYFUNCTION("LOWER(REGEXREPLACE(B1734&amp;"" ""&amp;C1734,""[^а-яa-z0-9 ]"","" ""))"),"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"&amp;"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"&amp;"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с"&amp;"убстрат для ферментов   1 шт  калибровочные образцы с известными уровнями антител    2 шт  химические колбы конусовидные   5 шт  пробирки   16 шт ")</f>
        <v>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субстрат для ферментов   1 шт  калибровочные образцы с известными уровнями антител    2 шт  химические колбы конусовидные   5 шт  пробирки   16 шт </v>
      </c>
    </row>
    <row r="1735">
      <c r="A1735" s="35" t="s">
        <v>3923</v>
      </c>
      <c r="B1735" s="31" t="s">
        <v>3924</v>
      </c>
      <c r="C1735" s="31" t="s">
        <v>3925</v>
      </c>
      <c r="D1735" s="37" t="s">
        <v>1507</v>
      </c>
      <c r="E1735" s="38">
        <v>2.0</v>
      </c>
      <c r="F1735" s="39">
        <v>0.8</v>
      </c>
      <c r="G1735" s="11">
        <v>218566.0</v>
      </c>
      <c r="H1735" s="34" t="str">
        <f>IFERROR(__xludf.DUMMYFUNCTION("LOWER(REGEXREPLACE(B1735&amp;"" ""&amp;C1735,""[^а-яa-z0-9 ]"","" ""))"),"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тем"&amp;"п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микропла"&amp;"стина планшет с углублениями    пластиковые пипетки и трубки")</f>
        <v>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микропластина планшет с углублениями    пластиковые пипетки и трубки</v>
      </c>
    </row>
    <row r="1736">
      <c r="A1736" s="35" t="s">
        <v>3926</v>
      </c>
      <c r="B1736" s="31" t="s">
        <v>3927</v>
      </c>
      <c r="C1736" s="31"/>
      <c r="D1736" s="37" t="s">
        <v>1507</v>
      </c>
      <c r="E1736" s="10"/>
      <c r="F1736" s="36"/>
      <c r="G1736" s="11"/>
      <c r="H1736" s="34" t="str">
        <f>IFERROR(__xludf.DUMMYFUNCTION("LOWER(REGEXREPLACE(B1736&amp;"" ""&amp;C1736,""[^а-яa-z0-9 ]"","" ""))")," чебный набор   пределение диагноза  ")</f>
        <v> чебный набор   пределение диагноза  </v>
      </c>
    </row>
    <row r="1737">
      <c r="A1737" s="35" t="s">
        <v>3928</v>
      </c>
      <c r="B1737" s="9" t="s">
        <v>3929</v>
      </c>
      <c r="C1737" s="31" t="s">
        <v>3930</v>
      </c>
      <c r="D1737" s="37" t="s">
        <v>1507</v>
      </c>
      <c r="E1737" s="38">
        <v>2.0</v>
      </c>
      <c r="F1737" s="40">
        <v>1.85</v>
      </c>
      <c r="G1737" s="11">
        <v>167068.0</v>
      </c>
      <c r="H1737" s="34" t="str">
        <f>IFERROR(__xludf.DUMMYFUNCTION("LOWER(REGEXREPLACE(B1737&amp;"" ""&amp;C1737,""[^а-яa-z0-9 ]"","" ""))"),"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шт"&amp;"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пер"&amp;"еноса жидкостей  3 мл   7 шт   икроцентрифужные трубки с запирающимися крышками   10 шт   онические пробирки объемом 15 мл   2 шт    радуированные пипетки  астер   11 шт")</f>
        <v>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переноса жидкостей  3 мл   7 шт   икроцентрифужные трубки с запирающимися крышками   10 шт   онические пробирки объемом 15 мл   2 шт    радуированные пипетки  астер   11 шт</v>
      </c>
    </row>
    <row r="1738">
      <c r="A1738" s="35" t="s">
        <v>3931</v>
      </c>
      <c r="B1738" s="9" t="s">
        <v>3932</v>
      </c>
      <c r="C1738" s="31" t="s">
        <v>3933</v>
      </c>
      <c r="D1738" s="37" t="s">
        <v>1507</v>
      </c>
      <c r="E1738" s="38">
        <v>2.0</v>
      </c>
      <c r="F1738" s="39">
        <v>0.8</v>
      </c>
      <c r="G1738" s="11">
        <v>176263.0</v>
      </c>
      <c r="H1738" s="34" t="str">
        <f>IFERROR(__xludf.DUMMYFUNCTION("LOWER(REGEXREPLACE(B1738&amp;"" ""&amp;C1738,""[^а-яa-z0-9 ]"","" ""))"),"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компоне"&amp;"нт       onor 2  erum simulated   темп  режим    компонент       onor 3  erum simulated   темп  режим    компонент       onor 4  erum  simulated   темп  режим    компонент       nti  g  peroxidase conjugate   темп  режим    компонент       ydrogen peroxid"&amp;"e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f>
        <v>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компонент       onor 2  erum simulated   темп  режим    компонент       onor 3  erum simulated   темп  режим    компонент       onor 4  erum  simulated   темп  режим    компонент       nti  g  peroxidase conjugate   темп  режим    компонент       ydrogen peroxide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v>
      </c>
    </row>
    <row r="1739">
      <c r="A1739" s="35" t="s">
        <v>3934</v>
      </c>
      <c r="B1739" s="31" t="s">
        <v>3935</v>
      </c>
      <c r="C1739" s="31"/>
      <c r="D1739" s="37" t="s">
        <v>1507</v>
      </c>
      <c r="E1739" s="10"/>
      <c r="F1739" s="36"/>
      <c r="G1739" s="11"/>
      <c r="H1739" s="34" t="str">
        <f>IFERROR(__xludf.DUMMYFUNCTION("LOWER(REGEXREPLACE(B1739&amp;"" ""&amp;C1739,""[^а-яa-z0-9 ]"","" ""))")," омплект оборудования для ферментации ")</f>
        <v> омплект оборудования для ферментации </v>
      </c>
    </row>
    <row r="1740">
      <c r="A1740" s="35" t="s">
        <v>3936</v>
      </c>
      <c r="B1740" s="31" t="s">
        <v>3937</v>
      </c>
      <c r="C1740" s="31" t="s">
        <v>3938</v>
      </c>
      <c r="D1740" s="37" t="s">
        <v>1507</v>
      </c>
      <c r="E1740" s="38">
        <v>2.0</v>
      </c>
      <c r="F1740" s="40">
        <v>1.42</v>
      </c>
      <c r="G1740" s="11">
        <v>71013.0</v>
      </c>
      <c r="H1740" s="34" t="str">
        <f>IFERROR(__xludf.DUMMYFUNCTION("LOWER(REGEXREPLACE(B1740&amp;"" ""&amp;C1740,""[^а-яa-z0-9 ]"","" ""))"),"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теклянны"&amp;"е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f>
        <v>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v>
      </c>
    </row>
    <row r="1741">
      <c r="A1741" s="35" t="s">
        <v>3939</v>
      </c>
      <c r="B1741" s="31" t="s">
        <v>3940</v>
      </c>
      <c r="C1741" s="31" t="s">
        <v>3941</v>
      </c>
      <c r="D1741" s="37" t="s">
        <v>1507</v>
      </c>
      <c r="E1741" s="38">
        <v>2.0</v>
      </c>
      <c r="F1741" s="38">
        <v>4.0</v>
      </c>
      <c r="G1741" s="11">
        <v>2618736.0</v>
      </c>
      <c r="H1741" s="34" t="str">
        <f>IFERROR(__xludf.DUMMYFUNCTION("LOWER(REGEXREPLACE(B1741&amp;"" ""&amp;C1741,""[^а-яa-z0-9 ]"","" ""))"),"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в"&amp;" себя поршни  зажимы  резинки и пр    6  методическое пособие для лабораторных работ по ферментации ")</f>
        <v>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 </v>
      </c>
    </row>
    <row r="1742">
      <c r="A1742" s="35" t="s">
        <v>3942</v>
      </c>
      <c r="B1742" s="31" t="s">
        <v>3943</v>
      </c>
      <c r="C1742" s="31"/>
      <c r="D1742" s="37" t="s">
        <v>1507</v>
      </c>
      <c r="E1742" s="10"/>
      <c r="F1742" s="36"/>
      <c r="G1742" s="11"/>
      <c r="H1742" s="34" t="str">
        <f>IFERROR(__xludf.DUMMYFUNCTION("LOWER(REGEXREPLACE(B1742&amp;"" ""&amp;C1742,""[^а-яa-z0-9 ]"","" ""))")," чебный набор   естирование продуктов ферментации  ")</f>
        <v> чебный набор   естирование продуктов ферментации  </v>
      </c>
    </row>
    <row r="1743">
      <c r="A1743" s="35" t="s">
        <v>3944</v>
      </c>
      <c r="B1743" s="31" t="s">
        <v>3945</v>
      </c>
      <c r="C1743" s="31" t="s">
        <v>3946</v>
      </c>
      <c r="D1743" s="37" t="s">
        <v>1507</v>
      </c>
      <c r="E1743" s="38">
        <v>2.0</v>
      </c>
      <c r="F1743" s="40">
        <v>1.12</v>
      </c>
      <c r="G1743" s="11">
        <v>142901.0</v>
      </c>
      <c r="H1743" s="34" t="str">
        <f>IFERROR(__xludf.DUMMYFUNCTION("LOWER(REGEXREPLACE(B1743&amp;"" ""&amp;C1743,""[^а-яa-z0-9 ]"","" ""))"),"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"&amp;"робирки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пипет"&amp;"ки  астера   20 т   икроцентрифужные пробирки  2 мл   50 шт")</f>
        <v>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пипетки  астера   20 т   икроцентрифужные пробирки  2 мл   50 шт</v>
      </c>
    </row>
    <row r="1744">
      <c r="A1744" s="35" t="s">
        <v>3947</v>
      </c>
      <c r="B1744" s="31" t="s">
        <v>3948</v>
      </c>
      <c r="C1744" s="31" t="s">
        <v>3949</v>
      </c>
      <c r="D1744" s="37" t="s">
        <v>1507</v>
      </c>
      <c r="E1744" s="38">
        <v>2.0</v>
      </c>
      <c r="F1744" s="38">
        <v>2.0</v>
      </c>
      <c r="G1744" s="11">
        <v>423535.0</v>
      </c>
      <c r="H1744" s="34" t="str">
        <f>IFERROR(__xludf.DUMMYFUNCTION("LOWER(REGEXREPLACE(B1744&amp;"" ""&amp;C1744,""[^а-яa-z0-9 ]"","" ""))"),"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mlwithmagne"&amp;"ticstirbar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нержав"&amp;"еющей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"&amp;"1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"&amp;"для микроскопа")</f>
        <v>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для микроскопа</v>
      </c>
    </row>
    <row r="1745">
      <c r="A1745" s="35" t="s">
        <v>3950</v>
      </c>
      <c r="B1745" s="31" t="s">
        <v>3951</v>
      </c>
      <c r="C1745" s="31" t="s">
        <v>3952</v>
      </c>
      <c r="D1745" s="37" t="s">
        <v>1507</v>
      </c>
      <c r="E1745" s="38">
        <v>2.0</v>
      </c>
      <c r="F1745" s="39">
        <v>0.8</v>
      </c>
      <c r="G1745" s="11">
        <v>131946.0</v>
      </c>
      <c r="H1745" s="34" t="str">
        <f>IFERROR(__xludf.DUMMYFUNCTION("LOWER(REGEXREPLACE(B1745&amp;"" ""&amp;C1745,""[^а-яa-z0-9 ]"","" ""))")," чебный набор   естирование продуктов ферментации  типа  ards  cience 47060   комплект входит  50 г глюкозы 50 г сахарозы 50 г лактозы 50 г фруктозы 10 г дрожжей")</f>
        <v> чебный набор   естирование продуктов ферментации  типа  ards  cience 47060   комплект входит  50 г глюкозы 50 г сахарозы 50 г лактозы 50 г фруктозы 10 г дрожжей</v>
      </c>
    </row>
    <row r="1746">
      <c r="A1746" s="35" t="s">
        <v>3953</v>
      </c>
      <c r="B1746" s="31" t="s">
        <v>3954</v>
      </c>
      <c r="C1746" s="31"/>
      <c r="D1746" s="37" t="s">
        <v>1507</v>
      </c>
      <c r="E1746" s="10"/>
      <c r="F1746" s="36"/>
      <c r="G1746" s="11"/>
      <c r="H1746" s="34" t="str">
        <f>IFERROR(__xludf.DUMMYFUNCTION("LOWER(REGEXREPLACE(B1746&amp;"" ""&amp;C1746,""[^а-яa-z0-9 ]"","" ""))")," кспериментальный набор   зучение свойств энзимов на практике  ")</f>
        <v> кспериментальный набор   зучение свойств энзимов на практике  </v>
      </c>
    </row>
    <row r="1747">
      <c r="A1747" s="35" t="s">
        <v>3955</v>
      </c>
      <c r="B1747" s="31" t="s">
        <v>3956</v>
      </c>
      <c r="C1747" s="31"/>
      <c r="D1747" s="37" t="s">
        <v>1507</v>
      </c>
      <c r="E1747" s="38">
        <v>2.0</v>
      </c>
      <c r="F1747" s="39">
        <v>2.2</v>
      </c>
      <c r="G1747" s="11">
        <v>148750.0</v>
      </c>
      <c r="H1747" s="34" t="str">
        <f>IFERROR(__xludf.DUMMYFUNCTION("LOWER(REGEXREPLACE(B1747&amp;"" ""&amp;C1747,""[^а-яa-z0-9 ]"","" ""))")," кспериментальный набор   зучение свойств энзимов на практике  типа  xperia    35 ")</f>
        <v> кспериментальный набор   зучение свойств энзимов на практике  типа  xperia    35 </v>
      </c>
    </row>
    <row r="1748">
      <c r="A1748" s="35" t="s">
        <v>3957</v>
      </c>
      <c r="B1748" s="31" t="s">
        <v>3958</v>
      </c>
      <c r="C1748" s="31"/>
      <c r="D1748" s="37" t="s">
        <v>1507</v>
      </c>
      <c r="E1748" s="38">
        <v>2.0</v>
      </c>
      <c r="F1748" s="38">
        <v>1.0</v>
      </c>
      <c r="G1748" s="11">
        <v>146048.0</v>
      </c>
      <c r="H1748" s="34" t="str">
        <f>IFERROR(__xludf.DUMMYFUNCTION("LOWER(REGEXREPLACE(B1748&amp;"" ""&amp;C1748,""[^а-яa-z0-9 ]"","" ""))")," кспериментальный набор   зучение свойств энзимов на практике  типа  ards  cience 47024 ")</f>
        <v> кспериментальный набор   зучение свойств энзимов на практике  типа  ards  cience 47024 </v>
      </c>
    </row>
    <row r="1749">
      <c r="A1749" s="35" t="s">
        <v>3959</v>
      </c>
      <c r="B1749" s="31" t="s">
        <v>3960</v>
      </c>
      <c r="C1749" s="31"/>
      <c r="D1749" s="37" t="s">
        <v>1507</v>
      </c>
      <c r="E1749" s="10"/>
      <c r="F1749" s="36"/>
      <c r="G1749" s="11"/>
      <c r="H1749" s="34" t="str">
        <f>IFERROR(__xludf.DUMMYFUNCTION("LOWER(REGEXREPLACE(B1749&amp;"" ""&amp;C1749,""[^а-яa-z0-9 ]"","" ""))")," абораторный практикум   ища  как инструмент научной деятельности лаборатории  ")</f>
        <v> абораторный практикум   ища  как инструмент научной деятельности лаборатории  </v>
      </c>
    </row>
    <row r="1750">
      <c r="A1750" s="35" t="s">
        <v>3961</v>
      </c>
      <c r="B1750" s="31" t="s">
        <v>3962</v>
      </c>
      <c r="C1750" s="31" t="s">
        <v>3963</v>
      </c>
      <c r="D1750" s="37" t="s">
        <v>1507</v>
      </c>
      <c r="E1750" s="38">
        <v>2.0</v>
      </c>
      <c r="F1750" s="39">
        <v>1.4</v>
      </c>
      <c r="G1750" s="11">
        <v>88810.0</v>
      </c>
      <c r="H1750" s="34" t="str">
        <f>IFERROR(__xludf.DUMMYFUNCTION("LOWER(REGEXREPLACE(B1750&amp;"" ""&amp;C1750,""[^а-яa-z0-9 ]"","" ""))"),"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йод"&amp;"а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f>
        <v>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v>
      </c>
    </row>
    <row r="1751">
      <c r="A1751" s="35" t="s">
        <v>3964</v>
      </c>
      <c r="B1751" s="31" t="s">
        <v>3965</v>
      </c>
      <c r="C1751" s="31" t="s">
        <v>3966</v>
      </c>
      <c r="D1751" s="37" t="s">
        <v>1507</v>
      </c>
      <c r="E1751" s="38">
        <v>2.0</v>
      </c>
      <c r="F1751" s="39">
        <v>0.8</v>
      </c>
      <c r="G1751" s="11">
        <v>86622.0</v>
      </c>
      <c r="H1751" s="34" t="str">
        <f>IFERROR(__xludf.DUMMYFUNCTION("LOWER(REGEXREPLACE(B1751&amp;"" ""&amp;C1751,""[^а-яa-z0-9 ]"","" ""))"),"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ма"&amp;"лые тест трубки    калибровочные пипетки   аппликаторные деревянные палочки   маленькие ложки")</f>
        <v>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малые тест трубки    калибровочные пипетки   аппликаторные деревянные палочки   маленькие ложки</v>
      </c>
    </row>
    <row r="1752">
      <c r="A1752" s="35" t="s">
        <v>3967</v>
      </c>
      <c r="B1752" s="31" t="s">
        <v>3968</v>
      </c>
      <c r="C1752" s="31"/>
      <c r="D1752" s="37" t="s">
        <v>1507</v>
      </c>
      <c r="E1752" s="10"/>
      <c r="F1752" s="36"/>
      <c r="G1752" s="11"/>
      <c r="H1752" s="34" t="str">
        <f>IFERROR(__xludf.DUMMYFUNCTION("LOWER(REGEXREPLACE(B1752&amp;"" ""&amp;C1752,""[^а-яa-z0-9 ]"","" ""))")," абораторный практикум   еномодифицированные продукты  полиразмерная идентификация  ")</f>
        <v> абораторный практикум   еномодифицированные продукты  полиразмерная идентификация  </v>
      </c>
    </row>
    <row r="1753">
      <c r="A1753" s="35" t="s">
        <v>3969</v>
      </c>
      <c r="B1753" s="31" t="s">
        <v>3970</v>
      </c>
      <c r="C1753" s="31" t="s">
        <v>3971</v>
      </c>
      <c r="D1753" s="37" t="s">
        <v>1507</v>
      </c>
      <c r="E1753" s="38">
        <v>2.0</v>
      </c>
      <c r="F1753" s="40">
        <v>1.85</v>
      </c>
      <c r="G1753" s="11">
        <v>266915.0</v>
      </c>
      <c r="H1753" s="34" t="str">
        <f>IFERROR(__xludf.DUMMYFUNCTION("LOWER(REGEXREPLACE(B1753&amp;"" ""&amp;C1753,""[^а-яa-z0-9 ]"","" ""))"),"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п"&amp;"озитивный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"&amp;"шт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д"&amp;"ля пробирок без крышки   5 шт   ержатель для     пробирок из пенопласта   5 шт ")</f>
        <v>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для пробирок без крышки   5 шт   ержатель для     пробирок из пенопласта   5 шт </v>
      </c>
    </row>
    <row r="1754">
      <c r="A1754" s="35" t="s">
        <v>3972</v>
      </c>
      <c r="B1754" s="31" t="s">
        <v>3973</v>
      </c>
      <c r="C1754" s="31" t="s">
        <v>3974</v>
      </c>
      <c r="D1754" s="37" t="s">
        <v>1507</v>
      </c>
      <c r="E1754" s="38">
        <v>2.0</v>
      </c>
      <c r="F1754" s="39">
        <v>0.8</v>
      </c>
      <c r="G1754" s="11">
        <v>264897.0</v>
      </c>
      <c r="H1754" s="34" t="str">
        <f>IFERROR(__xludf.DUMMYFUNCTION("LOWER(REGEXREPLACE(B1754&amp;"" ""&amp;C1754,""[^а-яa-z0-9 ]"","" ""))"),"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"&amp;"      ositive  ypho ontrol  темп  режим        a l  olution компонент  темп  режим            xtraction  uffer  темп  режим       100 base pair ladder  темп  режим     ультраспекагарозы    ltraspec agarose    буфер электрофореза 50x       electrophoresis "&amp;" uffer    микротрубки цнтрифужные    трубки для        калибровочние пипетки")</f>
        <v>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ositive  ypho ontrol  темп  режим        a l  olution компонент  темп  режим            xtraction  uffer  темп  режим       100 base pair ladder  темп  режим     ультраспекагарозы    ltraspec agarose    буфер электрофореза 50x       electrophoresis  uffer    микротрубки цнтрифужные    трубки для        калибровочние пипетки</v>
      </c>
    </row>
    <row r="1755">
      <c r="A1755" s="35" t="s">
        <v>3975</v>
      </c>
      <c r="B1755" s="31" t="s">
        <v>3976</v>
      </c>
      <c r="C1755" s="31"/>
      <c r="D1755" s="37" t="s">
        <v>1507</v>
      </c>
      <c r="E1755" s="10"/>
      <c r="F1755" s="36"/>
      <c r="G1755" s="11"/>
      <c r="H1755" s="34" t="str">
        <f>IFERROR(__xludf.DUMMYFUNCTION("LOWER(REGEXREPLACE(B1755&amp;"" ""&amp;C1755,""[^а-яa-z0-9 ]"","" ""))")," абор микропрепаратов   кани   растений  грибов  животных  ")</f>
        <v> абор микропрепаратов   кани   растений  грибов  животных  </v>
      </c>
    </row>
    <row r="1756">
      <c r="A1756" s="35" t="s">
        <v>3977</v>
      </c>
      <c r="B1756" s="31" t="s">
        <v>3978</v>
      </c>
      <c r="C1756" s="31" t="s">
        <v>3979</v>
      </c>
      <c r="D1756" s="37" t="s">
        <v>1507</v>
      </c>
      <c r="E1756" s="38">
        <v>2.0</v>
      </c>
      <c r="F1756" s="40">
        <v>0.64</v>
      </c>
      <c r="G1756" s="11">
        <v>49014.0</v>
      </c>
      <c r="H1756" s="34" t="str">
        <f>IFERROR(__xludf.DUMMYFUNCTION("LOWER(REGEXREPLACE(B1756&amp;"" ""&amp;C1756,""[^а-яa-z0-9 ]"","" ""))"),"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бластул"&amp;"а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ш"&amp;"т   ейс с крышкой   1 шт   оток со вставкой   1шт ")</f>
        <v>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шт   ейс с крышкой   1 шт   оток со вставкой   1шт </v>
      </c>
    </row>
    <row r="1757">
      <c r="A1757" s="35" t="s">
        <v>3980</v>
      </c>
      <c r="B1757" s="31" t="s">
        <v>3981</v>
      </c>
      <c r="C1757" s="31" t="s">
        <v>3982</v>
      </c>
      <c r="D1757" s="37" t="s">
        <v>1507</v>
      </c>
      <c r="E1757" s="38">
        <v>2.0</v>
      </c>
      <c r="F1757" s="39">
        <v>0.8</v>
      </c>
      <c r="G1757" s="11">
        <v>153098.0</v>
      </c>
      <c r="H1757" s="34" t="str">
        <f>IFERROR(__xludf.DUMMYFUNCTION("LOWER(REGEXREPLACE(B1757&amp;"" ""&amp;C1757,""[^а-яa-z0-9 ]"","" ""))"),"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"&amp;"10  56 часов   11  72 часа   12  96 часов   нимание  часы могут отличаться   в зависимости созревания плода эмбриона ")</f>
        <v>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10  56 часов   11  72 часа   12  96 часов   нимание  часы могут отличаться   в зависимости созревания плода эмбриона </v>
      </c>
    </row>
    <row r="1758">
      <c r="A1758" s="35" t="s">
        <v>3983</v>
      </c>
      <c r="B1758" s="31" t="s">
        <v>3984</v>
      </c>
      <c r="C1758" s="31"/>
      <c r="D1758" s="37" t="s">
        <v>1507</v>
      </c>
      <c r="E1758" s="10"/>
      <c r="F1758" s="36"/>
      <c r="G1758" s="11"/>
      <c r="H1758" s="34" t="str">
        <f>IFERROR(__xludf.DUMMYFUNCTION("LOWER(REGEXREPLACE(B1758&amp;"" ""&amp;C1758,""[^а-яa-z0-9 ]"","" ""))")," абор   кани животных  ")</f>
        <v> абор   кани животных  </v>
      </c>
    </row>
    <row r="1759">
      <c r="A1759" s="35" t="s">
        <v>3985</v>
      </c>
      <c r="B1759" s="9" t="s">
        <v>3986</v>
      </c>
      <c r="C1759" s="31" t="s">
        <v>3987</v>
      </c>
      <c r="D1759" s="37" t="s">
        <v>1507</v>
      </c>
      <c r="E1759" s="38">
        <v>2.0</v>
      </c>
      <c r="F1759" s="39">
        <v>1.1</v>
      </c>
      <c r="G1759" s="11">
        <v>61965.0</v>
      </c>
      <c r="H1759" s="34" t="str">
        <f>IFERROR(__xludf.DUMMYFUNCTION("LOWER(REGEXREPLACE(B1759&amp;"" ""&amp;C1759,""[^а-яa-z0-9 ]"","" ""))"),"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сер"&amp;"дечная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f>
        <v>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v>
      </c>
    </row>
    <row r="1760">
      <c r="A1760" s="35" t="s">
        <v>3988</v>
      </c>
      <c r="B1760" s="9" t="s">
        <v>3989</v>
      </c>
      <c r="C1760" s="31" t="s">
        <v>3990</v>
      </c>
      <c r="D1760" s="37" t="s">
        <v>1507</v>
      </c>
      <c r="E1760" s="38">
        <v>2.0</v>
      </c>
      <c r="F1760" s="39">
        <v>0.8</v>
      </c>
      <c r="G1760" s="11">
        <v>172234.0</v>
      </c>
      <c r="H1760" s="34" t="str">
        <f>IFERROR(__xludf.DUMMYFUNCTION("LOWER(REGEXREPLACE(B1760&amp;"" ""&amp;C1760,""[^а-яa-z0-9 ]"","" ""))"),"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сбалансированно"&amp;"го солевого раствора  енкс 100 мл  температурный режим ")</f>
        <v>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сбалансированного солевого раствора  енкс 100 мл  температурный режим </v>
      </c>
    </row>
    <row r="1761">
      <c r="A1761" s="35" t="s">
        <v>3991</v>
      </c>
      <c r="B1761" s="9" t="s">
        <v>3992</v>
      </c>
      <c r="C1761" s="31"/>
      <c r="D1761" s="37" t="s">
        <v>1507</v>
      </c>
      <c r="E1761" s="10"/>
      <c r="F1761" s="36"/>
      <c r="G1761" s="11"/>
      <c r="H1761" s="34" t="str">
        <f>IFERROR(__xludf.DUMMYFUNCTION("LOWER(REGEXREPLACE(B1761&amp;"" ""&amp;C1761,""[^а-яa-z0-9 ]"","" ""))")," абор для исследования по выращивания клеток живой ткани ")</f>
        <v> абор для исследования по выращивания клеток живой ткани </v>
      </c>
    </row>
    <row r="1762">
      <c r="A1762" s="35" t="s">
        <v>3993</v>
      </c>
      <c r="B1762" s="9" t="s">
        <v>3994</v>
      </c>
      <c r="C1762" s="31" t="s">
        <v>3995</v>
      </c>
      <c r="D1762" s="37" t="s">
        <v>1507</v>
      </c>
      <c r="E1762" s="38">
        <v>2.0</v>
      </c>
      <c r="F1762" s="39">
        <v>2.2</v>
      </c>
      <c r="G1762" s="11">
        <v>141017.0</v>
      </c>
      <c r="H1762" s="34" t="str">
        <f>IFERROR(__xludf.DUMMYFUNCTION("LOWER(REGEXREPLACE(B1762&amp;"" ""&amp;C1762,""[^а-яa-z0-9 ]"","" ""))"),"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пипе"&amp;"ток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добавлением"&amp;" антибиотиков  500 мл   1шт   ")</f>
        <v>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 антибиотиков  500 мл   1шт   </v>
      </c>
    </row>
    <row r="1763">
      <c r="A1763" s="35" t="s">
        <v>3996</v>
      </c>
      <c r="B1763" s="31" t="s">
        <v>3997</v>
      </c>
      <c r="C1763" s="31" t="s">
        <v>3998</v>
      </c>
      <c r="D1763" s="37" t="s">
        <v>1507</v>
      </c>
      <c r="E1763" s="38">
        <v>2.0</v>
      </c>
      <c r="F1763" s="39">
        <v>0.8</v>
      </c>
      <c r="G1763" s="11">
        <v>140004.0</v>
      </c>
      <c r="H1763" s="34" t="str">
        <f>IFERROR(__xludf.DUMMYFUNCTION("LOWER(REGEXREPLACE(B1763&amp;"" ""&amp;C1763,""[^а-яa-z0-9 ]"","" ""))"),"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п"&amp;"алочка для перемешивания  пипетки")</f>
        <v>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палочка для перемешивания  пипетки</v>
      </c>
    </row>
    <row r="1764">
      <c r="A1764" s="35" t="s">
        <v>3999</v>
      </c>
      <c r="B1764" s="31" t="s">
        <v>4000</v>
      </c>
      <c r="C1764" s="31"/>
      <c r="D1764" s="37" t="s">
        <v>1507</v>
      </c>
      <c r="E1764" s="10"/>
      <c r="F1764" s="36"/>
      <c r="G1764" s="11"/>
      <c r="H1764" s="34" t="str">
        <f>IFERROR(__xludf.DUMMYFUNCTION("LOWER(REGEXREPLACE(B1764&amp;"" ""&amp;C1764,""[^а-яa-z0-9 ]"","" ""))")," омплект   астительные ткани  ")</f>
        <v> омплект   астительные ткани  </v>
      </c>
    </row>
    <row r="1765">
      <c r="A1765" s="35" t="s">
        <v>4001</v>
      </c>
      <c r="B1765" s="31" t="s">
        <v>4002</v>
      </c>
      <c r="C1765" s="31" t="s">
        <v>4003</v>
      </c>
      <c r="D1765" s="37" t="s">
        <v>68</v>
      </c>
      <c r="E1765" s="38">
        <v>2.0</v>
      </c>
      <c r="F1765" s="39">
        <v>1.9</v>
      </c>
      <c r="G1765" s="11">
        <v>80493.0</v>
      </c>
      <c r="H1765" s="34" t="str">
        <f>IFERROR(__xludf.DUMMYFUNCTION("LOWER(REGEXREPLACE(B1765&amp;"" ""&amp;C1765,""[^а-яa-z0-9 ]"","" ""))"),"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верхушк"&amp;"а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шт"&amp;"   ilia  липа   1 шт  3 годовой стебель  cs   1 шт ")</f>
        <v>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   ilia  липа   1 шт  3 годовой стебель  cs   1 шт </v>
      </c>
    </row>
    <row r="1766">
      <c r="A1766" s="35" t="s">
        <v>4004</v>
      </c>
      <c r="B1766" s="31" t="s">
        <v>4005</v>
      </c>
      <c r="C1766" s="31" t="s">
        <v>4006</v>
      </c>
      <c r="D1766" s="37" t="s">
        <v>68</v>
      </c>
      <c r="E1766" s="38">
        <v>2.0</v>
      </c>
      <c r="F1766" s="39">
        <v>0.8</v>
      </c>
      <c r="G1766" s="11">
        <v>95687.0</v>
      </c>
      <c r="H1766" s="34" t="str">
        <f>IFERROR(__xludf.DUMMYFUNCTION("LOWER(REGEXREPLACE(B1766&amp;"" ""&amp;C1766,""[^а-яa-z0-9 ]"","" ""))"),"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эмбри"&amp;"оны   9   ирючина  лист    10   ютик  зрелый корень   11   ипа американская  3 летняя основа   12   укуруза  кончик корня ")</f>
        <v>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эмбрионы   9   ирючина  лист    10   ютик  зрелый корень   11   ипа американская  3 летняя основа   12   укуруза  кончик корня </v>
      </c>
    </row>
    <row r="1767">
      <c r="A1767" s="35" t="s">
        <v>4007</v>
      </c>
      <c r="B1767" s="31" t="s">
        <v>4008</v>
      </c>
      <c r="C1767" s="31"/>
      <c r="D1767" s="37" t="s">
        <v>1507</v>
      </c>
      <c r="E1767" s="10"/>
      <c r="F1767" s="36"/>
      <c r="G1767" s="11"/>
      <c r="H1767" s="34" t="str">
        <f>IFERROR(__xludf.DUMMYFUNCTION("LOWER(REGEXREPLACE(B1767&amp;"" ""&amp;C1767,""[^а-яa-z0-9 ]"","" ""))")," абораторный набор   атология растений  ")</f>
        <v> абораторный набор   атология растений  </v>
      </c>
    </row>
    <row r="1768">
      <c r="A1768" s="35" t="s">
        <v>4009</v>
      </c>
      <c r="B1768" s="31" t="s">
        <v>4010</v>
      </c>
      <c r="C1768" s="31" t="s">
        <v>4011</v>
      </c>
      <c r="D1768" s="37" t="s">
        <v>1507</v>
      </c>
      <c r="E1768" s="38">
        <v>2.0</v>
      </c>
      <c r="F1768" s="40">
        <v>0.89</v>
      </c>
      <c r="G1768" s="11">
        <v>80040.0</v>
      </c>
      <c r="H1768" s="34" t="str">
        <f>IFERROR(__xludf.DUMMYFUNCTION("LOWER(REGEXREPLACE(B1768&amp;"" ""&amp;C1768,""[^а-яa-z0-9 ]"","" ""))"),"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"&amp;"порынья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"&amp;" 1 шт ")</f>
        <v>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1 шт </v>
      </c>
    </row>
    <row r="1769">
      <c r="A1769" s="35" t="s">
        <v>4012</v>
      </c>
      <c r="B1769" s="31" t="s">
        <v>4013</v>
      </c>
      <c r="C1769" s="31" t="s">
        <v>4014</v>
      </c>
      <c r="D1769" s="37" t="s">
        <v>1507</v>
      </c>
      <c r="E1769" s="38">
        <v>2.0</v>
      </c>
      <c r="F1769" s="39">
        <v>0.8</v>
      </c>
      <c r="G1769" s="11">
        <v>100723.0</v>
      </c>
      <c r="H1769" s="34" t="str">
        <f>IFERROR(__xludf.DUMMYFUNCTION("LOWER(REGEXREPLACE(B1769&amp;"" ""&amp;C1769,""[^а-яa-z0-9 ]"","" ""))"),"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ц"&amp;"итрусовых   7   ятно смолы клена   8   трупья яблока  2 слайда    9   лоба яблока кедра  2 слайда    10   ерновая ржавчина   11   рязь зерна   12   еревянный гриб гнили ")</f>
        <v>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цитрусовых   7   ятно смолы клена   8   трупья яблока  2 слайда    9   лоба яблока кедра  2 слайда    10   ерновая ржавчина   11   рязь зерна   12   еревянный гриб гнили </v>
      </c>
    </row>
    <row r="1770">
      <c r="A1770" s="35" t="s">
        <v>4015</v>
      </c>
      <c r="B1770" s="31" t="s">
        <v>4016</v>
      </c>
      <c r="C1770" s="31"/>
      <c r="D1770" s="37" t="s">
        <v>1507</v>
      </c>
      <c r="E1770" s="10"/>
      <c r="F1770" s="36"/>
      <c r="G1770" s="11"/>
      <c r="H1770" s="34" t="str">
        <f>IFERROR(__xludf.DUMMYFUNCTION("LOWER(REGEXREPLACE(B1770&amp;"" ""&amp;C1770,""[^а-яa-z0-9 ]"","" ""))"),"    набор   ирусы и бактерии ")</f>
        <v>    набор   ирусы и бактерии </v>
      </c>
    </row>
    <row r="1771">
      <c r="A1771" s="35" t="s">
        <v>4017</v>
      </c>
      <c r="B1771" s="31" t="s">
        <v>4018</v>
      </c>
      <c r="C1771" s="31" t="s">
        <v>4019</v>
      </c>
      <c r="D1771" s="37" t="s">
        <v>1507</v>
      </c>
      <c r="E1771" s="38">
        <v>2.0</v>
      </c>
      <c r="F1771" s="40">
        <v>0.76</v>
      </c>
      <c r="G1771" s="11">
        <v>106928.0</v>
      </c>
      <c r="H1771" s="34" t="str">
        <f>IFERROR(__xludf.DUMMYFUNCTION("LOWER(REGEXREPLACE(B1771&amp;"" ""&amp;C1771,""[^а-яa-z0-9 ]"","" ""))"),"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"&amp;" терильные пипетки  3 мл   30 шт   утритивная среда 100 мл   1 шт   одный раствор 100 мл   1 шт   робирки  16смх1 5 см   12 шт   рышки для пробирок с отверстиями   12 шт ")</f>
        <v>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терильные пипетки  3 мл   30 шт   утритивная среда 100 мл   1 шт   одный раствор 100 мл   1 шт   робирки  16смх1 5 см   12 шт   рышки для пробирок с отверстиями   12 шт </v>
      </c>
    </row>
    <row r="1772">
      <c r="A1772" s="35" t="s">
        <v>4020</v>
      </c>
      <c r="B1772" s="31" t="s">
        <v>4021</v>
      </c>
      <c r="C1772" s="31" t="s">
        <v>4022</v>
      </c>
      <c r="D1772" s="37" t="s">
        <v>1507</v>
      </c>
      <c r="E1772" s="38">
        <v>2.0</v>
      </c>
      <c r="F1772" s="39">
        <v>0.8</v>
      </c>
      <c r="G1772" s="11">
        <v>110795.0</v>
      </c>
      <c r="H1772" s="34" t="str">
        <f>IFERROR(__xludf.DUMMYFUNCTION("LOWER(REGEXREPLACE(B1772&amp;"" ""&amp;C1772,""[^а-яa-z0-9 ]"","" ""))"),"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"&amp;"микроскобные слайды   icroscope slides    carbol fuchsin   ватные палочки   otton swabs ")</f>
        <v>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микроскобные слайды   icroscope slides    carbol fuchsin   ватные палочки   otton swabs </v>
      </c>
    </row>
    <row r="1773">
      <c r="A1773" s="35" t="s">
        <v>4023</v>
      </c>
      <c r="B1773" s="31" t="s">
        <v>4024</v>
      </c>
      <c r="C1773" s="31"/>
      <c r="D1773" s="37" t="s">
        <v>1507</v>
      </c>
      <c r="E1773" s="10"/>
      <c r="F1773" s="36"/>
      <c r="G1773" s="11"/>
      <c r="H1773" s="34" t="str">
        <f>IFERROR(__xludf.DUMMYFUNCTION("LOWER(REGEXREPLACE(B1773&amp;"" ""&amp;C1773,""[^а-яa-z0-9 ]"","" ""))")," абор слайдов по бактериологии ")</f>
        <v> абор слайдов по бактериологии </v>
      </c>
    </row>
    <row r="1774">
      <c r="A1774" s="35" t="s">
        <v>4025</v>
      </c>
      <c r="B1774" s="31" t="s">
        <v>4026</v>
      </c>
      <c r="C1774" s="31" t="s">
        <v>4027</v>
      </c>
      <c r="D1774" s="37" t="s">
        <v>1507</v>
      </c>
      <c r="E1774" s="38">
        <v>2.0</v>
      </c>
      <c r="F1774" s="40">
        <v>0.76</v>
      </c>
      <c r="G1774" s="11">
        <v>88493.0</v>
      </c>
      <c r="H1774" s="34" t="str">
        <f>IFERROR(__xludf.DUMMYFUNCTION("LOWER(REGEXREPLACE(B1774&amp;"" ""&amp;C1774,""[^а-яa-z0-9 ]"","" ""))"),"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"&amp;" шт  слайды растительные ткани   3 шт  слайды животные ткани   2 шт ")</f>
        <v>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шт  слайды растительные ткани   3 шт  слайды животные ткани   2 шт </v>
      </c>
    </row>
    <row r="1775">
      <c r="A1775" s="35" t="s">
        <v>4028</v>
      </c>
      <c r="B1775" s="31" t="s">
        <v>4029</v>
      </c>
      <c r="C1775" s="31" t="s">
        <v>4030</v>
      </c>
      <c r="D1775" s="37" t="s">
        <v>1507</v>
      </c>
      <c r="E1775" s="38">
        <v>2.0</v>
      </c>
      <c r="F1775" s="39">
        <v>0.8</v>
      </c>
      <c r="G1775" s="11">
        <v>86622.0</v>
      </c>
      <c r="H1775" s="34" t="str">
        <f>IFERROR(__xludf.DUMMYFUNCTION("LOWER(REGEXREPLACE(B1775&amp;"" ""&amp;C1775,""[^а-яa-z0-9 ]"","" ""))")," абор слайдов по бактериологии типа  ards  cience 47034  омпоненты    zotobacter chroococcum   grobacterium tumefaciens   acillus anthracis   acillus subtilis   actococcus lactis   ycobacterium sp    roteus hauseri   hodospirillum rubrum   treptococcus py"&amp;"ogenes")</f>
        <v> абор слайдов по бактериологии типа  ards  cience 47034  омпоненты    zotobacter chroococcum   grobacterium tumefaciens   acillus anthracis   acillus subtilis   actococcus lactis   ycobacterium sp    roteus hauseri   hodospirillum rubrum   treptococcus pyogenes</v>
      </c>
    </row>
    <row r="1776">
      <c r="A1776" s="35" t="s">
        <v>4031</v>
      </c>
      <c r="B1776" s="31" t="s">
        <v>4032</v>
      </c>
      <c r="C1776" s="31"/>
      <c r="D1776" s="37" t="s">
        <v>1507</v>
      </c>
      <c r="E1776" s="10"/>
      <c r="F1776" s="36"/>
      <c r="G1776" s="11"/>
      <c r="H1776" s="34" t="str">
        <f>IFERROR(__xludf.DUMMYFUNCTION("LOWER(REGEXREPLACE(B1776&amp;"" ""&amp;C1776,""[^а-яa-z0-9 ]"","" ""))")," абораторный практикум   орфология цианобактерий  ")</f>
        <v> абораторный практикум   орфология цианобактерий  </v>
      </c>
    </row>
    <row r="1777">
      <c r="A1777" s="35" t="s">
        <v>4033</v>
      </c>
      <c r="B1777" s="31" t="s">
        <v>4034</v>
      </c>
      <c r="C1777" s="31" t="s">
        <v>4035</v>
      </c>
      <c r="D1777" s="37" t="s">
        <v>1507</v>
      </c>
      <c r="E1777" s="38">
        <v>2.0</v>
      </c>
      <c r="F1777" s="39">
        <v>1.4</v>
      </c>
      <c r="G1777" s="11">
        <v>107776.0</v>
      </c>
      <c r="H1777" s="34" t="str">
        <f>IFERROR(__xludf.DUMMYFUNCTION("LOWER(REGEXREPLACE(B1777&amp;"" ""&amp;C1777,""[^а-яa-z0-9 ]"","" ""))"),"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"&amp;"актериальная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же"&amp;"леза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тери"&amp;"льные пластиковые пробирки   20 шт ")</f>
        <v>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терильные пластиковые пробирки   20 шт </v>
      </c>
    </row>
    <row r="1778">
      <c r="A1778" s="35" t="s">
        <v>4036</v>
      </c>
      <c r="B1778" s="31" t="s">
        <v>4037</v>
      </c>
      <c r="C1778" s="31" t="s">
        <v>4038</v>
      </c>
      <c r="D1778" s="37" t="s">
        <v>1507</v>
      </c>
      <c r="E1778" s="38">
        <v>2.0</v>
      </c>
      <c r="F1778" s="39">
        <v>0.8</v>
      </c>
      <c r="G1778" s="11">
        <v>83601.0</v>
      </c>
      <c r="H1778" s="34" t="str">
        <f>IFERROR(__xludf.DUMMYFUNCTION("LOWER(REGEXREPLACE(B1778&amp;"" ""&amp;C1778,""[^а-яa-z0-9 ]"","" ""))"),"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цианобактерий"&amp;" держать в холодильнике   2   дноразовые пипетки   4 шт   темп  режим ")</f>
        <v>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 держать в холодильнике   2   дноразовые пипетки   4 шт   темп  режим </v>
      </c>
    </row>
    <row r="1779">
      <c r="A1779" s="35" t="s">
        <v>4039</v>
      </c>
      <c r="B1779" s="31" t="s">
        <v>4040</v>
      </c>
      <c r="C1779" s="31"/>
      <c r="D1779" s="37" t="s">
        <v>1507</v>
      </c>
      <c r="E1779" s="10"/>
      <c r="F1779" s="36"/>
      <c r="G1779" s="11"/>
      <c r="H1779" s="34" t="str">
        <f>IFERROR(__xludf.DUMMYFUNCTION("LOWER(REGEXREPLACE(B1779&amp;"" ""&amp;C1779,""[^а-яa-z0-9 ]"","" ""))")," абор микропрепаратов   сновы бактериологии  ")</f>
        <v> абор микропрепаратов   сновы бактериологии  </v>
      </c>
    </row>
    <row r="1780">
      <c r="A1780" s="35" t="s">
        <v>4041</v>
      </c>
      <c r="B1780" s="31" t="s">
        <v>4042</v>
      </c>
      <c r="C1780" s="31" t="s">
        <v>4043</v>
      </c>
      <c r="D1780" s="37" t="s">
        <v>1507</v>
      </c>
      <c r="E1780" s="38">
        <v>2.0</v>
      </c>
      <c r="F1780" s="40">
        <v>1.89</v>
      </c>
      <c r="G1780" s="11">
        <v>147940.0</v>
      </c>
      <c r="H1780" s="34" t="str">
        <f>IFERROR(__xludf.DUMMYFUNCTION("LOWER(REGEXREPLACE(B1780&amp;"" ""&amp;C1780,""[^а-яa-z0-9 ]"","" ""))"),"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актериологическая"&amp;"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lu"&amp;"teus   1 шт   orynebacterium glutamicum   1 шт       uria  ertani  среда 500 мл   1 шт   итательный агар  500   1 шт        rain  eart  nfusion  агар  500 мл   1 шт ")</f>
        <v>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luteus   1 шт   orynebacterium glutamicum   1 шт       uria  ertani  среда 500 мл   1 шт   итательный агар  500   1 шт        rain  eart  nfusion  агар  500 мл   1 шт </v>
      </c>
    </row>
    <row r="1781">
      <c r="A1781" s="35" t="s">
        <v>4044</v>
      </c>
      <c r="B1781" s="31" t="s">
        <v>4045</v>
      </c>
      <c r="C1781" s="31" t="s">
        <v>4046</v>
      </c>
      <c r="D1781" s="37" t="s">
        <v>1507</v>
      </c>
      <c r="E1781" s="38">
        <v>2.0</v>
      </c>
      <c r="F1781" s="39">
        <v>0.8</v>
      </c>
      <c r="G1781" s="11">
        <v>146047.0</v>
      </c>
      <c r="H1781" s="34" t="str">
        <f>IFERROR(__xludf.DUMMYFUNCTION("LOWER(REGEXREPLACE(B1781&amp;"" ""&amp;C1781,""[^а-яa-z0-9 ]"","" ""))"),"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эндоспо"&amp;"ры 10   еспорообразующие палочки  11   икобактерия")</f>
        <v>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эндоспоры 10   еспорообразующие палочки  11   икобактерия</v>
      </c>
    </row>
    <row r="1782">
      <c r="A1782" s="35" t="s">
        <v>4047</v>
      </c>
      <c r="B1782" s="31" t="s">
        <v>4048</v>
      </c>
      <c r="C1782" s="31"/>
      <c r="D1782" s="37" t="s">
        <v>1507</v>
      </c>
      <c r="E1782" s="10"/>
      <c r="F1782" s="36"/>
      <c r="G1782" s="11"/>
      <c r="H1782" s="34" t="str">
        <f>IFERROR(__xludf.DUMMYFUNCTION("LOWER(REGEXREPLACE(B1782&amp;"" ""&amp;C1782,""[^а-яa-z0-9 ]"","" ""))")," абор микропрепаратов   труктура бактерий  ")</f>
        <v> абор микропрепаратов   труктура бактерий  </v>
      </c>
    </row>
    <row r="1783">
      <c r="A1783" s="35" t="s">
        <v>4049</v>
      </c>
      <c r="B1783" s="31" t="s">
        <v>4050</v>
      </c>
      <c r="C1783" s="31" t="s">
        <v>4051</v>
      </c>
      <c r="D1783" s="37" t="s">
        <v>1507</v>
      </c>
      <c r="E1783" s="38">
        <v>2.0</v>
      </c>
      <c r="F1783" s="39">
        <v>2.4</v>
      </c>
      <c r="G1783" s="11">
        <v>60747.0</v>
      </c>
      <c r="H1783" s="34" t="str">
        <f>IFERROR(__xludf.DUMMYFUNCTION("LOWER(REGEXREPLACE(B1783&amp;"" ""&amp;C1783,""[^а-яa-z0-9 ]"","" ""))"),"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"&amp;"50мл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спирт"&amp;"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рамовой"&amp;"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f>
        <v>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v>
      </c>
    </row>
    <row r="1784">
      <c r="A1784" s="35" t="s">
        <v>4052</v>
      </c>
      <c r="B1784" s="31" t="s">
        <v>4053</v>
      </c>
      <c r="C1784" s="31" t="s">
        <v>4054</v>
      </c>
      <c r="D1784" s="37" t="s">
        <v>1507</v>
      </c>
      <c r="E1784" s="38">
        <v>2.0</v>
      </c>
      <c r="F1784" s="39">
        <v>0.8</v>
      </c>
      <c r="G1784" s="11">
        <v>70507.0</v>
      </c>
      <c r="H1784" s="34" t="str">
        <f>IFERROR(__xludf.DUMMYFUNCTION("LOWER(REGEXREPLACE(B1784&amp;"" ""&amp;C1784,""[^а-яa-z0-9 ]"","" ""))"),"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f>
        <v>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v>
      </c>
    </row>
    <row r="1785">
      <c r="A1785" s="35" t="s">
        <v>4055</v>
      </c>
      <c r="B1785" s="31" t="s">
        <v>4056</v>
      </c>
      <c r="C1785" s="31"/>
      <c r="D1785" s="37" t="s">
        <v>1507</v>
      </c>
      <c r="E1785" s="10"/>
      <c r="F1785" s="36"/>
      <c r="G1785" s="11"/>
      <c r="H1785" s="34" t="str">
        <f>IFERROR(__xludf.DUMMYFUNCTION("LOWER(REGEXREPLACE(B1785&amp;"" ""&amp;C1785,""[^а-яa-z0-9 ]"","" ""))")," абораторный практикум   ведение в гистологию  ")</f>
        <v> абораторный практикум   ведение в гистологию  </v>
      </c>
    </row>
    <row r="1786">
      <c r="A1786" s="35" t="s">
        <v>4057</v>
      </c>
      <c r="B1786" s="31" t="s">
        <v>4058</v>
      </c>
      <c r="C1786" s="31" t="s">
        <v>4059</v>
      </c>
      <c r="D1786" s="37" t="s">
        <v>1507</v>
      </c>
      <c r="E1786" s="38">
        <v>2.0</v>
      </c>
      <c r="F1786" s="39">
        <v>2.1</v>
      </c>
      <c r="G1786" s="11">
        <v>170648.0</v>
      </c>
      <c r="H1786" s="34" t="str">
        <f>IFERROR(__xludf.DUMMYFUNCTION("LOWER(REGEXREPLACE(B1786&amp;"" ""&amp;C1786,""[^а-яa-z0-9 ]"","" ""))"),"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плоско"&amp;"го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"&amp;"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поджелудочн"&amp;"ая железа  срез    1 шт  почка  срез    1 шт  яичник  сперматогенез  срез    1 шт  и яичник  фолликул  срез    1 шт ")</f>
        <v>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поджелудочная железа  срез    1 шт  почка  срез    1 шт  яичник  сперматогенез  срез    1 шт  и яичник  фолликул  срез    1 шт </v>
      </c>
    </row>
    <row r="1787">
      <c r="A1787" s="35" t="s">
        <v>4060</v>
      </c>
      <c r="B1787" s="31" t="s">
        <v>4061</v>
      </c>
      <c r="C1787" s="31" t="s">
        <v>4062</v>
      </c>
      <c r="D1787" s="37" t="s">
        <v>1507</v>
      </c>
      <c r="E1787" s="38">
        <v>2.0</v>
      </c>
      <c r="F1787" s="39">
        <v>0.8</v>
      </c>
      <c r="G1787" s="11">
        <v>169213.0</v>
      </c>
      <c r="H1787" s="34" t="str">
        <f>IFERROR(__xludf.DUMMYFUNCTION("LOWER(REGEXREPLACE(B1787&amp;"" ""&amp;C1787,""[^а-яa-z0-9 ]"","" ""))"),"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нейрон"&amp;"ы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"&amp;"  олстая кишка 21   ечень  22   очка 23   очевой пузырь 24   ичко  сперматогенезиз 25   ичник")</f>
        <v>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олстая кишка 21   ечень  22   очка 23   очевой пузырь 24   ичко  сперматогенезиз 25   ичник</v>
      </c>
    </row>
    <row r="1788">
      <c r="A1788" s="35" t="s">
        <v>4063</v>
      </c>
      <c r="B1788" s="31" t="s">
        <v>4064</v>
      </c>
      <c r="C1788" s="31"/>
      <c r="D1788" s="37" t="s">
        <v>1507</v>
      </c>
      <c r="E1788" s="10"/>
      <c r="F1788" s="36"/>
      <c r="G1788" s="11"/>
      <c r="H1788" s="34" t="str">
        <f>IFERROR(__xludf.DUMMYFUNCTION("LOWER(REGEXREPLACE(B1788&amp;"" ""&amp;C1788,""[^а-яa-z0-9 ]"","" ""))")," абораторный практикум   иоремедиация на нефть   еятельность бактерий  ")</f>
        <v> абораторный практикум   иоремедиация на нефть   еятельность бактерий  </v>
      </c>
    </row>
    <row r="1789">
      <c r="A1789" s="35" t="s">
        <v>4065</v>
      </c>
      <c r="B1789" s="31" t="s">
        <v>4066</v>
      </c>
      <c r="C1789" s="31" t="s">
        <v>4067</v>
      </c>
      <c r="D1789" s="37" t="s">
        <v>1507</v>
      </c>
      <c r="E1789" s="38">
        <v>2.0</v>
      </c>
      <c r="F1789" s="39">
        <v>1.7</v>
      </c>
      <c r="G1789" s="11">
        <v>124917.0</v>
      </c>
      <c r="H1789" s="34" t="str">
        <f>IFERROR(__xludf.DUMMYFUNCTION("LOWER(REGEXREPLACE(B1789&amp;"" ""&amp;C1789,""[^а-яa-z0-9 ]"","" ""))"),"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1"&amp;"8смх1 8см   9 шт   ерметичные крышки для пробирок   6 шт    рышки для пробирок с отверстиями   3 шт   ермометр   1 шт    ндикатор p    1 шт    икробы       7 гр    a    50 мл  1 банка    l 50 мл    1 банка ")</f>
        <v>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18смх1 8см   9 шт   ерметичные крышки для пробирок   6 шт    рышки для пробирок с отверстиями   3 шт   ермометр   1 шт    ндикатор p    1 шт    икробы       7 гр    a    50 мл  1 банка    l 50 мл    1 банка </v>
      </c>
    </row>
    <row r="1790">
      <c r="A1790" s="35" t="s">
        <v>4068</v>
      </c>
      <c r="B1790" s="31" t="s">
        <v>4069</v>
      </c>
      <c r="C1790" s="31" t="s">
        <v>4070</v>
      </c>
      <c r="D1790" s="37" t="s">
        <v>1507</v>
      </c>
      <c r="E1790" s="38">
        <v>2.0</v>
      </c>
      <c r="F1790" s="39">
        <v>0.8</v>
      </c>
      <c r="G1790" s="11">
        <v>176263.0</v>
      </c>
      <c r="H1790" s="34" t="str">
        <f>IFERROR(__xludf.DUMMYFUNCTION("LOWER(REGEXREPLACE(B1790&amp;"" ""&amp;C1790,""[^а-яa-z0-9 ]"","" ""))"),"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f>
        <v>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v>
      </c>
    </row>
    <row r="1791">
      <c r="A1791" s="35" t="s">
        <v>4071</v>
      </c>
      <c r="B1791" s="31" t="s">
        <v>4072</v>
      </c>
      <c r="C1791" s="31"/>
      <c r="D1791" s="37" t="s">
        <v>1507</v>
      </c>
      <c r="E1791" s="10"/>
      <c r="F1791" s="36"/>
      <c r="G1791" s="11"/>
      <c r="H1791" s="34" t="str">
        <f>IFERROR(__xludf.DUMMYFUNCTION("LOWER(REGEXREPLACE(B1791&amp;"" ""&amp;C1791,""[^а-яa-z0-9 ]"","" ""))")," рактикум   актерии в питьевой воде  ")</f>
        <v> рактикум   актерии в питьевой воде  </v>
      </c>
    </row>
    <row r="1792">
      <c r="A1792" s="35" t="s">
        <v>4073</v>
      </c>
      <c r="B1792" s="9" t="s">
        <v>4074</v>
      </c>
      <c r="C1792" s="31" t="s">
        <v>4075</v>
      </c>
      <c r="D1792" s="37" t="s">
        <v>1507</v>
      </c>
      <c r="E1792" s="38">
        <v>2.0</v>
      </c>
      <c r="F1792" s="40">
        <v>1.05</v>
      </c>
      <c r="G1792" s="11">
        <v>88845.0</v>
      </c>
      <c r="H1792" s="34" t="str">
        <f>IFERROR(__xludf.DUMMYFUNCTION("LOWER(REGEXREPLACE(B1792&amp;"" ""&amp;C1792,""[^а-яa-z0-9 ]"","" ""))"),"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о"&amp;"бъемом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шт"&amp;" ")</f>
        <v>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 </v>
      </c>
    </row>
    <row r="1793">
      <c r="A1793" s="35" t="s">
        <v>4076</v>
      </c>
      <c r="B1793" s="9" t="s">
        <v>4077</v>
      </c>
      <c r="C1793" s="31" t="s">
        <v>4078</v>
      </c>
      <c r="D1793" s="37" t="s">
        <v>1507</v>
      </c>
      <c r="E1793" s="38">
        <v>2.0</v>
      </c>
      <c r="F1793" s="36"/>
      <c r="G1793" s="11">
        <v>88634.0</v>
      </c>
      <c r="H1793" s="34" t="str">
        <f>IFERROR(__xludf.DUMMYFUNCTION("LOWER(REGEXREPLACE(B1793&amp;"" ""&amp;C1793,""[^а-яa-z0-9 ]"","" ""))"),"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f>
        <v>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v>
      </c>
    </row>
    <row r="1794">
      <c r="A1794" s="35" t="s">
        <v>4079</v>
      </c>
      <c r="B1794" s="31" t="s">
        <v>4080</v>
      </c>
      <c r="C1794" s="31"/>
      <c r="D1794" s="37" t="s">
        <v>1507</v>
      </c>
      <c r="E1794" s="10"/>
      <c r="F1794" s="36"/>
      <c r="G1794" s="11"/>
      <c r="H1794" s="34" t="str">
        <f>IFERROR(__xludf.DUMMYFUNCTION("LOWER(REGEXREPLACE(B1794&amp;"" ""&amp;C1794,""[^а-яa-z0-9 ]"","" ""))")," кспериментальный набор   пидемия ")</f>
        <v> кспериментальный набор   пидемия </v>
      </c>
    </row>
    <row r="1795">
      <c r="A1795" s="35" t="s">
        <v>4081</v>
      </c>
      <c r="B1795" s="31" t="s">
        <v>4082</v>
      </c>
      <c r="C1795" s="31"/>
      <c r="D1795" s="37" t="s">
        <v>1507</v>
      </c>
      <c r="E1795" s="38">
        <v>2.0</v>
      </c>
      <c r="F1795" s="39">
        <v>1.3</v>
      </c>
      <c r="G1795" s="11">
        <v>116732.0</v>
      </c>
      <c r="H1795" s="34" t="str">
        <f>IFERROR(__xludf.DUMMYFUNCTION("LOWER(REGEXREPLACE(B1795&amp;"" ""&amp;C1795,""[^а-яa-z0-9 ]"","" ""))")," кспериментальный набор   пидемия типа  xperia    51 ")</f>
        <v> кспериментальный набор   пидемия типа  xperia    51 </v>
      </c>
    </row>
    <row r="1796">
      <c r="A1796" s="35" t="s">
        <v>4083</v>
      </c>
      <c r="B1796" s="31" t="s">
        <v>4084</v>
      </c>
      <c r="C1796" s="31"/>
      <c r="D1796" s="37" t="s">
        <v>1507</v>
      </c>
      <c r="E1796" s="38">
        <v>2.0</v>
      </c>
      <c r="F1796" s="39">
        <v>0.8</v>
      </c>
      <c r="G1796" s="11">
        <v>114824.0</v>
      </c>
      <c r="H1796" s="34" t="str">
        <f>IFERROR(__xludf.DUMMYFUNCTION("LOWER(REGEXREPLACE(B1796&amp;"" ""&amp;C1796,""[^а-яa-z0-9 ]"","" ""))")," кспериментальный набор   пидемия типа  ards  cience 47042 ")</f>
        <v> кспериментальный набор   пидемия типа  ards  cience 47042 </v>
      </c>
    </row>
    <row r="1797">
      <c r="A1797" s="35" t="s">
        <v>4085</v>
      </c>
      <c r="B1797" s="31" t="s">
        <v>4086</v>
      </c>
      <c r="C1797" s="31"/>
      <c r="D1797" s="37" t="s">
        <v>1507</v>
      </c>
      <c r="E1797" s="10"/>
      <c r="F1797" s="36"/>
      <c r="G1797" s="11"/>
      <c r="H1797" s="34" t="str">
        <f>IFERROR(__xludf.DUMMYFUNCTION("LOWER(REGEXREPLACE(B1797&amp;"" ""&amp;C1797,""[^а-яa-z0-9 ]"","" ""))")," абораторный практикум   ллергия  ")</f>
        <v> абораторный практикум   ллергия  </v>
      </c>
    </row>
    <row r="1798">
      <c r="A1798" s="35" t="s">
        <v>4087</v>
      </c>
      <c r="B1798" s="31" t="s">
        <v>4088</v>
      </c>
      <c r="C1798" s="31" t="s">
        <v>4089</v>
      </c>
      <c r="D1798" s="37" t="s">
        <v>1507</v>
      </c>
      <c r="E1798" s="38">
        <v>2.0</v>
      </c>
      <c r="F1798" s="39">
        <v>0.7</v>
      </c>
      <c r="G1798" s="11">
        <v>110615.0</v>
      </c>
      <c r="H1798" s="34" t="str">
        <f>IFERROR(__xludf.DUMMYFUNCTION("LOWER(REGEXREPLACE(B1798&amp;"" ""&amp;C1798,""[^а-яa-z0-9 ]"","" ""))"),"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"&amp;"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f>
        <v>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v>
      </c>
    </row>
    <row r="1799">
      <c r="A1799" s="35" t="s">
        <v>4090</v>
      </c>
      <c r="B1799" s="31" t="s">
        <v>4091</v>
      </c>
      <c r="C1799" s="31" t="s">
        <v>4092</v>
      </c>
      <c r="D1799" s="37" t="s">
        <v>1507</v>
      </c>
      <c r="E1799" s="38">
        <v>2.0</v>
      </c>
      <c r="F1799" s="39">
        <v>0.8</v>
      </c>
      <c r="G1799" s="11">
        <v>108781.0</v>
      </c>
      <c r="H1799" s="34" t="str">
        <f>IFERROR(__xludf.DUMMYFUNCTION("LOWER(REGEXREPLACE(B1799&amp;"" ""&amp;C1799,""[^а-яa-z0-9 ]"","" ""))"),"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эк"&amp;"стракта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"&amp;" пипетки")</f>
        <v>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пипетки</v>
      </c>
    </row>
    <row r="1800">
      <c r="A1800" s="35" t="s">
        <v>4093</v>
      </c>
      <c r="B1800" s="31" t="s">
        <v>4094</v>
      </c>
      <c r="C1800" s="31"/>
      <c r="D1800" s="37" t="s">
        <v>1507</v>
      </c>
      <c r="E1800" s="10"/>
      <c r="F1800" s="36"/>
      <c r="G1800" s="11"/>
      <c r="H1800" s="34" t="str">
        <f>IFERROR(__xludf.DUMMYFUNCTION("LOWER(REGEXREPLACE(B1800&amp;"" ""&amp;C1800,""[^а-яa-z0-9 ]"","" ""))")," абораторный практикум   отосинтез и клеточное дыхание  ")</f>
        <v> абораторный практикум   отосинтез и клеточное дыхание  </v>
      </c>
    </row>
    <row r="1801">
      <c r="A1801" s="35" t="s">
        <v>4095</v>
      </c>
      <c r="B1801" s="31" t="s">
        <v>4096</v>
      </c>
      <c r="C1801" s="31" t="s">
        <v>4097</v>
      </c>
      <c r="D1801" s="37" t="s">
        <v>1507</v>
      </c>
      <c r="E1801" s="38">
        <v>2.0</v>
      </c>
      <c r="F1801" s="38">
        <v>1.0</v>
      </c>
      <c r="G1801" s="11">
        <v>88584.0</v>
      </c>
      <c r="H1801" s="34" t="str">
        <f>IFERROR(__xludf.DUMMYFUNCTION("LOWER(REGEXREPLACE(B1801&amp;"" ""&amp;C1801,""[^а-яa-z0-9 ]"","" ""))"),"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"&amp;"1 шт  гидроксид натрия 50 гр    1 шт  соляная кислота    10 мл   1 шт ")</f>
        <v>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1 шт  гидроксид натрия 50 гр    1 шт  соляная кислота    10 мл   1 шт </v>
      </c>
    </row>
    <row r="1802">
      <c r="A1802" s="35" t="s">
        <v>4098</v>
      </c>
      <c r="B1802" s="31" t="s">
        <v>4099</v>
      </c>
      <c r="C1802" s="31" t="s">
        <v>4100</v>
      </c>
      <c r="D1802" s="37" t="s">
        <v>1507</v>
      </c>
      <c r="E1802" s="38">
        <v>2.0</v>
      </c>
      <c r="F1802" s="39">
        <v>0.8</v>
      </c>
      <c r="G1802" s="11">
        <v>141011.0</v>
      </c>
      <c r="H1802" s="34" t="str">
        <f>IFERROR(__xludf.DUMMYFUNCTION("LOWER(REGEXREPLACE(B1802&amp;"" ""&amp;C1802,""[^а-яa-z0-9 ]"","" ""))"),"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odium"&amp;" hydroxide 2   содиумгидрооксид    15 ml  ydrochloric acid 0 1   гидрохлоридоксид  1 упаковка дрожжей")</f>
        <v>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 hydroxide 2   содиумгидрооксид    15 ml  ydrochloric acid 0 1   гидрохлоридоксид  1 упаковка дрожжей</v>
      </c>
    </row>
    <row r="1803">
      <c r="A1803" s="35" t="s">
        <v>4101</v>
      </c>
      <c r="B1803" s="31" t="s">
        <v>4102</v>
      </c>
      <c r="C1803" s="31"/>
      <c r="D1803" s="37" t="s">
        <v>1507</v>
      </c>
      <c r="E1803" s="10"/>
      <c r="F1803" s="36"/>
      <c r="G1803" s="11"/>
      <c r="H1803" s="34" t="str">
        <f>IFERROR(__xludf.DUMMYFUNCTION("LOWER(REGEXREPLACE(B1803&amp;"" ""&amp;C1803,""[^а-яa-z0-9 ]"","" ""))")," абораторный практикум   сновы микробиологической деятельности  ")</f>
        <v> абораторный практикум   сновы микробиологической деятельности  </v>
      </c>
    </row>
    <row r="1804">
      <c r="A1804" s="35" t="s">
        <v>4103</v>
      </c>
      <c r="B1804" s="31" t="s">
        <v>4104</v>
      </c>
      <c r="C1804" s="31" t="s">
        <v>4105</v>
      </c>
      <c r="D1804" s="37" t="s">
        <v>1507</v>
      </c>
      <c r="E1804" s="38">
        <v>2.0</v>
      </c>
      <c r="F1804" s="39">
        <v>1.1</v>
      </c>
      <c r="G1804" s="11">
        <v>104231.0</v>
      </c>
      <c r="H1804" s="34" t="str">
        <f>IFERROR(__xludf.DUMMYFUNCTION("LOWER(REGEXREPLACE(B1804&amp;"" ""&amp;C1804,""[^а-яa-z0-9 ]"","" ""))"),"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"&amp;"биохимические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f>
        <v>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v>
      </c>
    </row>
    <row r="1805">
      <c r="A1805" s="35" t="s">
        <v>4106</v>
      </c>
      <c r="B1805" s="31" t="s">
        <v>4107</v>
      </c>
      <c r="C1805" s="31" t="s">
        <v>4108</v>
      </c>
      <c r="D1805" s="37" t="s">
        <v>1507</v>
      </c>
      <c r="E1805" s="38">
        <v>2.0</v>
      </c>
      <c r="F1805" s="39">
        <v>0.8</v>
      </c>
      <c r="G1805" s="11">
        <v>181299.0</v>
      </c>
      <c r="H1805" s="34" t="str">
        <f>IFERROR(__xludf.DUMMYFUNCTION("LOWER(REGEXREPLACE(B1805&amp;"" ""&amp;C1805,""[^а-яa-z0-9 ]"","" ""))"),"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1"&amp;"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f>
        <v>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v>
      </c>
    </row>
    <row r="1806">
      <c r="A1806" s="35" t="s">
        <v>4109</v>
      </c>
      <c r="B1806" s="31" t="s">
        <v>4110</v>
      </c>
      <c r="C1806" s="31"/>
      <c r="D1806" s="37" t="s">
        <v>1507</v>
      </c>
      <c r="E1806" s="10"/>
      <c r="F1806" s="36"/>
      <c r="G1806" s="11"/>
      <c r="H1806" s="34" t="str">
        <f>IFERROR(__xludf.DUMMYFUNCTION("LOWER(REGEXREPLACE(B1806&amp;"" ""&amp;C1806,""[^а-яa-z0-9 ]"","" ""))")," абораторный набор   иффузия и размер клетки  ")</f>
        <v> абораторный набор   иффузия и размер клетки  </v>
      </c>
    </row>
    <row r="1807">
      <c r="A1807" s="35" t="s">
        <v>4111</v>
      </c>
      <c r="B1807" s="31" t="s">
        <v>4112</v>
      </c>
      <c r="C1807" s="31" t="s">
        <v>4113</v>
      </c>
      <c r="D1807" s="37" t="s">
        <v>1507</v>
      </c>
      <c r="E1807" s="38">
        <v>2.0</v>
      </c>
      <c r="F1807" s="40">
        <v>0.84</v>
      </c>
      <c r="G1807" s="11">
        <v>80669.0</v>
      </c>
      <c r="H1807" s="34" t="str">
        <f>IFERROR(__xludf.DUMMYFUNCTION("LOWER(REGEXREPLACE(B1807&amp;"" ""&amp;C1807,""[^а-яa-z0-9 ]"","" ""))"),"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истиллиро"&amp;"ванный уксус  2 л   1 шт   инейки   5 шт ")</f>
        <v>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истиллированный уксус  2 л   1 шт   инейки   5 шт </v>
      </c>
    </row>
    <row r="1808">
      <c r="A1808" s="35" t="s">
        <v>4114</v>
      </c>
      <c r="B1808" s="31" t="s">
        <v>4115</v>
      </c>
      <c r="C1808" s="31" t="s">
        <v>4116</v>
      </c>
      <c r="D1808" s="37" t="s">
        <v>1507</v>
      </c>
      <c r="E1808" s="38">
        <v>2.0</v>
      </c>
      <c r="F1808" s="38">
        <v>1.0</v>
      </c>
      <c r="G1808" s="11">
        <v>90652.0</v>
      </c>
      <c r="H1808" s="34" t="str">
        <f>IFERROR(__xludf.DUMMYFUNCTION("LOWER(REGEXREPLACE(B1808&amp;"" ""&amp;C1808,""[^а-яa-z0-9 ]"","" ""))"),"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кружк"&amp;"и    поддон  rectangular trays    15 мл  a   содиум гидрооксид раствор 2   sodium hydroxide solution 2      метрические линейки   1 коробка одноразовых перчаток  1 box of  gloves ")</f>
        <v>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кружки    поддон  rectangular trays    15 мл  a   содиум гидрооксид раствор 2   sodium hydroxide solution 2      метрические линейки   1 коробка одноразовых перчаток  1 box of  gloves </v>
      </c>
    </row>
    <row r="1809">
      <c r="A1809" s="35" t="s">
        <v>4117</v>
      </c>
      <c r="B1809" s="31" t="s">
        <v>4118</v>
      </c>
      <c r="C1809" s="31"/>
      <c r="D1809" s="37" t="s">
        <v>1507</v>
      </c>
      <c r="E1809" s="10"/>
      <c r="F1809" s="36"/>
      <c r="G1809" s="11"/>
      <c r="H1809" s="34" t="str">
        <f>IFERROR(__xludf.DUMMYFUNCTION("LOWER(REGEXREPLACE(B1809&amp;"" ""&amp;C1809,""[^а-яa-z0-9 ]"","" ""))")," абораторный практикум   ены в пробирке  ")</f>
        <v> абораторный практикум   ены в пробирке  </v>
      </c>
    </row>
    <row r="1810">
      <c r="A1810" s="35" t="s">
        <v>4119</v>
      </c>
      <c r="B1810" s="9" t="s">
        <v>4120</v>
      </c>
      <c r="C1810" s="31" t="s">
        <v>4121</v>
      </c>
      <c r="D1810" s="37" t="s">
        <v>1507</v>
      </c>
      <c r="E1810" s="38">
        <v>2.0</v>
      </c>
      <c r="F1810" s="40">
        <v>1.31</v>
      </c>
      <c r="G1810" s="11">
        <v>142632.0</v>
      </c>
      <c r="H1810" s="34" t="str">
        <f>IFERROR(__xludf.DUMMYFUNCTION("LOWER(REGEXREPLACE(B1810&amp;"" ""&amp;C1810,""[^а-яa-z0-9 ]"","" ""))"),"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паке"&amp;"т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f>
        <v>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v>
      </c>
    </row>
    <row r="1811">
      <c r="A1811" s="35" t="s">
        <v>4122</v>
      </c>
      <c r="B1811" s="9" t="s">
        <v>4123</v>
      </c>
      <c r="C1811" s="31" t="s">
        <v>4124</v>
      </c>
      <c r="D1811" s="37" t="s">
        <v>1507</v>
      </c>
      <c r="E1811" s="38">
        <v>2.0</v>
      </c>
      <c r="F1811" s="39">
        <v>0.5</v>
      </c>
      <c r="G1811" s="11">
        <v>151082.0</v>
      </c>
      <c r="H1811" s="34" t="str">
        <f>IFERROR(__xludf.DUMMYFUNCTION("LOWER(REGEXREPLACE(B1811&amp;"" ""&amp;C1811,""[^а-яa-z0-9 ]"","" ""))"),"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калибровочн"&amp;"ые трансферные пипетки    тесттрубки   мешалка струнка")</f>
        <v>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калибровочные трансферные пипетки    тесттрубки   мешалка струнка</v>
      </c>
    </row>
    <row r="1812">
      <c r="A1812" s="35" t="s">
        <v>4125</v>
      </c>
      <c r="B1812" s="9" t="s">
        <v>4126</v>
      </c>
      <c r="C1812" s="31"/>
      <c r="D1812" s="37" t="s">
        <v>1507</v>
      </c>
      <c r="E1812" s="10"/>
      <c r="F1812" s="36"/>
      <c r="G1812" s="11"/>
      <c r="H1812" s="34" t="str">
        <f>IFERROR(__xludf.DUMMYFUNCTION("LOWER(REGEXREPLACE(B1812&amp;"" ""&amp;C1812,""[^а-яa-z0-9 ]"","" ""))")," абораторный практикум   ринцип  енделя  ")</f>
        <v> абораторный практикум   ринцип  енделя  </v>
      </c>
    </row>
    <row r="1813">
      <c r="A1813" s="35" t="s">
        <v>4127</v>
      </c>
      <c r="B1813" s="9" t="s">
        <v>4128</v>
      </c>
      <c r="C1813" s="31" t="s">
        <v>4129</v>
      </c>
      <c r="D1813" s="37" t="s">
        <v>1507</v>
      </c>
      <c r="E1813" s="38">
        <v>2.0</v>
      </c>
      <c r="F1813" s="40">
        <v>2.54</v>
      </c>
      <c r="G1813" s="11">
        <v>103787.0</v>
      </c>
      <c r="H1813" s="34" t="str">
        <f>IFERROR(__xludf.DUMMYFUNCTION("LOWER(REGEXREPLACE(B1813&amp;"" ""&amp;C1813,""[^а-яa-z0-9 ]"","" ""))"),"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"&amp;"красный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"&amp;"   8 шт ")</f>
        <v>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8 шт </v>
      </c>
    </row>
    <row r="1814">
      <c r="A1814" s="35" t="s">
        <v>4130</v>
      </c>
      <c r="B1814" s="9" t="s">
        <v>4131</v>
      </c>
      <c r="C1814" s="31" t="s">
        <v>4132</v>
      </c>
      <c r="D1814" s="37" t="s">
        <v>1507</v>
      </c>
      <c r="E1814" s="38">
        <v>2.0</v>
      </c>
      <c r="F1814" s="39">
        <v>0.8</v>
      </c>
      <c r="G1814" s="11">
        <v>101353.0</v>
      </c>
      <c r="H1814" s="34" t="str">
        <f>IFERROR(__xludf.DUMMYFUNCTION("LOWER(REGEXREPLACE(B1814&amp;"" ""&amp;C1814,""[^а-яa-z0-9 ]"","" ""))"),"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f>
        <v>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v>
      </c>
    </row>
    <row r="1815">
      <c r="A1815" s="35" t="s">
        <v>4133</v>
      </c>
      <c r="B1815" s="9" t="s">
        <v>4134</v>
      </c>
      <c r="C1815" s="31"/>
      <c r="D1815" s="37" t="s">
        <v>1507</v>
      </c>
      <c r="E1815" s="10"/>
      <c r="F1815" s="36"/>
      <c r="G1815" s="11"/>
      <c r="H1815" s="34" t="str">
        <f>IFERROR(__xludf.DUMMYFUNCTION("LOWER(REGEXREPLACE(B1815&amp;"" ""&amp;C1815,""[^а-яa-z0-9 ]"","" ""))")," абораторный практикум   ведение в определение наличия антител  ")</f>
        <v> абораторный практикум   ведение в определение наличия антител  </v>
      </c>
    </row>
    <row r="1816">
      <c r="A1816" s="35" t="s">
        <v>4135</v>
      </c>
      <c r="B1816" s="31" t="s">
        <v>4136</v>
      </c>
      <c r="C1816" s="31" t="s">
        <v>4137</v>
      </c>
      <c r="D1816" s="37" t="s">
        <v>1507</v>
      </c>
      <c r="E1816" s="38">
        <v>2.0</v>
      </c>
      <c r="F1816" s="40">
        <v>0.89</v>
      </c>
      <c r="G1816" s="11">
        <v>178736.0</v>
      </c>
      <c r="H1816" s="34" t="str">
        <f>IFERROR(__xludf.DUMMYFUNCTION("LOWER(REGEXREPLACE(B1816&amp;"" ""&amp;C1816,""[^а-яa-z0-9 ]"","" ""))"),"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ас"&amp;"твор для промывки 1 л   1 бутылка   еактивы для развития цвета   1 комплект ")</f>
        <v>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аствор для промывки 1 л   1 бутылка   еактивы для развития цвета   1 комплект </v>
      </c>
    </row>
    <row r="1817">
      <c r="A1817" s="35" t="s">
        <v>4138</v>
      </c>
      <c r="B1817" s="31" t="s">
        <v>4139</v>
      </c>
      <c r="C1817" s="31" t="s">
        <v>4140</v>
      </c>
      <c r="D1817" s="37" t="s">
        <v>1507</v>
      </c>
      <c r="E1817" s="38">
        <v>2.0</v>
      </c>
      <c r="F1817" s="39">
        <v>0.8</v>
      </c>
      <c r="G1817" s="11">
        <v>176263.0</v>
      </c>
      <c r="H1817" s="34" t="str">
        <f>IFERROR(__xludf.DUMMYFUNCTION("LOWER(REGEXREPLACE(B1817&amp;"" ""&amp;C1817,""[^а-яa-z0-9 ]"","" ""))"),"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ком"&amp;"понент       rimary antibody   темп  режим     компонент       econdary  ntybody   темп  режим     компонент       bts substrate   темп  режим     компонент       minosalicylic  cid   темп  режим     компонент       ydrogen peroxide   темп  режим     микр"&amp;"опластина с углублениями    пластиковые пипетки   микротрубки с колпочками    пластиковые трубки 15 мл")</f>
        <v>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компонент       rimary antibody   темп  режим     компонент       econdary  ntybody   темп  режим     компонент       bts substrate   темп  режим     компонент       minosalicylic  cid   темп  режим     компонент       ydrogen peroxide   темп  режим     микропластина с углублениями    пластиковые пипетки   микротрубки с колпочками    пластиковые трубки 15 мл</v>
      </c>
    </row>
    <row r="1818">
      <c r="A1818" s="35" t="s">
        <v>4141</v>
      </c>
      <c r="B1818" s="31" t="s">
        <v>4142</v>
      </c>
      <c r="C1818" s="31"/>
      <c r="D1818" s="37" t="s">
        <v>1507</v>
      </c>
      <c r="E1818" s="10"/>
      <c r="F1818" s="36"/>
      <c r="G1818" s="11"/>
      <c r="H1818" s="34" t="str">
        <f>IFERROR(__xludf.DUMMYFUNCTION("LOWER(REGEXREPLACE(B1818&amp;"" ""&amp;C1818,""[^а-яa-z0-9 ]"","" ""))")," абораторный практикум   аркотест  ")</f>
        <v> абораторный практикум   аркотест  </v>
      </c>
    </row>
    <row r="1819">
      <c r="A1819" s="35" t="s">
        <v>4143</v>
      </c>
      <c r="B1819" s="31" t="s">
        <v>4144</v>
      </c>
      <c r="C1819" s="31" t="s">
        <v>4145</v>
      </c>
      <c r="D1819" s="37" t="s">
        <v>1507</v>
      </c>
      <c r="E1819" s="38">
        <v>2.0</v>
      </c>
      <c r="F1819" s="39">
        <v>0.8</v>
      </c>
      <c r="G1819" s="11">
        <v>120867.0</v>
      </c>
      <c r="H1819" s="34" t="str">
        <f>IFERROR(__xludf.DUMMYFUNCTION("LOWER(REGEXREPLACE(B1819&amp;"" ""&amp;C1819,""[^а-яa-z0-9 ]"","" ""))"),"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f>
        <v>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v>
      </c>
    </row>
    <row r="1820">
      <c r="A1820" s="35" t="s">
        <v>4146</v>
      </c>
      <c r="B1820" s="31" t="s">
        <v>4147</v>
      </c>
      <c r="C1820" s="31"/>
      <c r="D1820" s="37" t="s">
        <v>1507</v>
      </c>
      <c r="E1820" s="10"/>
      <c r="F1820" s="36"/>
      <c r="G1820" s="11"/>
      <c r="H1820" s="34" t="str">
        <f>IFERROR(__xludf.DUMMYFUNCTION("LOWER(REGEXREPLACE(B1820&amp;"" ""&amp;C1820,""[^а-яa-z0-9 ]"","" ""))")," чебный практикум   олиразмерный цепной анализ  ")</f>
        <v> чебный практикум   олиразмерный цепной анализ  </v>
      </c>
    </row>
    <row r="1821">
      <c r="A1821" s="35" t="s">
        <v>4148</v>
      </c>
      <c r="B1821" s="31" t="s">
        <v>4149</v>
      </c>
      <c r="C1821" s="31" t="s">
        <v>4150</v>
      </c>
      <c r="D1821" s="37" t="s">
        <v>1507</v>
      </c>
      <c r="E1821" s="38">
        <v>2.0</v>
      </c>
      <c r="F1821" s="39">
        <v>0.8</v>
      </c>
      <c r="G1821" s="11">
        <v>345473.0</v>
      </c>
      <c r="H1821" s="34" t="str">
        <f>IFERROR(__xludf.DUMMYFUNCTION("LOWER(REGEXREPLACE(B1821&amp;"" ""&amp;C1821,""[^а-яa-z0-9 ]"","" ""))"),"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"&amp;"  компонент         adder     компонент      1  itochondrial  ypho ontrol     компонент   2    2  lu  ypho ontrol   92    компонент   3        ypho ontrol   1 80    компонент          uffer  компоненты        темп  режим    ультраспек агарозы   ltra pec  "&amp;"garose    буфер эл  форез   lectrophoresis  uffer 50x     микрофуговыетрубки  microcentrifuge tubes    набор трубок и пр  пластика ")</f>
        <v>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компонент         adder     компонент      1  itochondrial  ypho ontrol     компонент   2    2  lu  ypho ontrol   92    компонент   3        ypho ontrol   1 80    компонент          uffer  компоненты        темп  режим    ультраспек агарозы   ltra pec  garose    буфер эл  форез   lectrophoresis  uffer 50x     микрофуговыетрубки  microcentrifuge tubes    набор трубок и пр  пластика </v>
      </c>
    </row>
    <row r="1822">
      <c r="A1822" s="35" t="s">
        <v>4151</v>
      </c>
      <c r="B1822" s="31" t="s">
        <v>4152</v>
      </c>
      <c r="C1822" s="31"/>
      <c r="D1822" s="37" t="s">
        <v>68</v>
      </c>
      <c r="E1822" s="10"/>
      <c r="F1822" s="36"/>
      <c r="G1822" s="11"/>
      <c r="H1822" s="34" t="str">
        <f>IFERROR(__xludf.DUMMYFUNCTION("LOWER(REGEXREPLACE(B1822&amp;"" ""&amp;C1822,""[^а-яa-z0-9 ]"","" ""))")," омплект для полиразмерной реакции магнезия хлорида ")</f>
        <v> омплект для полиразмерной реакции магнезия хлорида </v>
      </c>
    </row>
    <row r="1823">
      <c r="A1823" s="35" t="s">
        <v>4153</v>
      </c>
      <c r="B1823" s="31" t="s">
        <v>4154</v>
      </c>
      <c r="C1823" s="31" t="s">
        <v>4155</v>
      </c>
      <c r="D1823" s="37" t="s">
        <v>68</v>
      </c>
      <c r="E1823" s="38">
        <v>2.0</v>
      </c>
      <c r="F1823" s="39">
        <v>0.1</v>
      </c>
      <c r="G1823" s="11">
        <v>185325.0</v>
      </c>
      <c r="H1823" s="34" t="str">
        <f>IFERROR(__xludf.DUMMYFUNCTION("LOWER(REGEXREPLACE(B1823&amp;"" ""&amp;C1823,""[^а-яa-z0-9 ]"","" ""))"),"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реак"&amp;"ций   2 5 мл ")</f>
        <v>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4">
      <c r="A1824" s="35" t="s">
        <v>4156</v>
      </c>
      <c r="B1824" s="31" t="s">
        <v>4157</v>
      </c>
      <c r="C1824" s="31"/>
      <c r="D1824" s="37" t="s">
        <v>68</v>
      </c>
      <c r="E1824" s="10"/>
      <c r="F1824" s="36"/>
      <c r="G1824" s="11"/>
      <c r="H1824" s="34" t="str">
        <f>IFERROR(__xludf.DUMMYFUNCTION("LOWER(REGEXREPLACE(B1824&amp;"" ""&amp;C1824,""[^а-яa-z0-9 ]"","" ""))")," омплект для полиразмерной реакции энзимов ")</f>
        <v> омплект для полиразмерной реакции энзимов </v>
      </c>
    </row>
    <row r="1825">
      <c r="A1825" s="35" t="s">
        <v>4158</v>
      </c>
      <c r="B1825" s="31" t="s">
        <v>4159</v>
      </c>
      <c r="C1825" s="31" t="s">
        <v>4155</v>
      </c>
      <c r="D1825" s="37" t="s">
        <v>68</v>
      </c>
      <c r="E1825" s="38">
        <v>2.0</v>
      </c>
      <c r="F1825" s="39">
        <v>0.1</v>
      </c>
      <c r="G1825" s="11">
        <v>185325.0</v>
      </c>
      <c r="H1825" s="34" t="str">
        <f>IFERROR(__xludf.DUMMYFUNCTION("LOWER(REGEXREPLACE(B1825&amp;"" ""&amp;C1825,""[^а-яa-z0-9 ]"","" ""))"),"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5"&amp;" мл ")</f>
        <v>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6">
      <c r="A1826" s="35" t="s">
        <v>4160</v>
      </c>
      <c r="B1826" s="31" t="s">
        <v>4161</v>
      </c>
      <c r="C1826" s="31"/>
      <c r="D1826" s="37" t="s">
        <v>1507</v>
      </c>
      <c r="E1826" s="10"/>
      <c r="F1826" s="36"/>
      <c r="G1826" s="11"/>
      <c r="H1826" s="34" t="str">
        <f>IFERROR(__xludf.DUMMYFUNCTION("LOWER(REGEXREPLACE(B1826&amp;"" ""&amp;C1826,""[^а-яa-z0-9 ]"","" ""))")," абор учебный   енетика  ")</f>
        <v> абор учебный   енетика  </v>
      </c>
    </row>
    <row r="1827">
      <c r="A1827" s="35" t="s">
        <v>4162</v>
      </c>
      <c r="B1827" s="31" t="s">
        <v>4163</v>
      </c>
      <c r="C1827" s="31" t="s">
        <v>4164</v>
      </c>
      <c r="D1827" s="37" t="s">
        <v>1507</v>
      </c>
      <c r="E1827" s="38">
        <v>2.0</v>
      </c>
      <c r="F1827" s="39">
        <v>0.3</v>
      </c>
      <c r="G1827" s="11">
        <v>189355.0</v>
      </c>
      <c r="H1827" s="34" t="str">
        <f>IFERROR(__xludf.DUMMYFUNCTION("LOWER(REGEXREPLACE(B1827&amp;"" ""&amp;C1827,""[^а-яa-z0-9 ]"","" ""))"),"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f>
        <v>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v>
      </c>
    </row>
    <row r="1828">
      <c r="A1828" s="35" t="s">
        <v>4165</v>
      </c>
      <c r="B1828" s="31" t="s">
        <v>4166</v>
      </c>
      <c r="C1828" s="31"/>
      <c r="D1828" s="37" t="s">
        <v>1507</v>
      </c>
      <c r="E1828" s="10"/>
      <c r="F1828" s="36"/>
      <c r="G1828" s="11"/>
      <c r="H1828" s="34" t="str">
        <f>IFERROR(__xludf.DUMMYFUNCTION("LOWER(REGEXREPLACE(B1828&amp;"" ""&amp;C1828,""[^а-яa-z0-9 ]"","" ""))")," абор учебный   изуализация клеточных процессов  ")</f>
        <v> абор учебный   изуализация клеточных процессов  </v>
      </c>
    </row>
    <row r="1829">
      <c r="A1829" s="35" t="s">
        <v>4167</v>
      </c>
      <c r="B1829" s="31" t="s">
        <v>4168</v>
      </c>
      <c r="C1829" s="31" t="s">
        <v>4169</v>
      </c>
      <c r="D1829" s="37" t="s">
        <v>1507</v>
      </c>
      <c r="E1829" s="38">
        <v>2.0</v>
      </c>
      <c r="F1829" s="39">
        <v>2.5</v>
      </c>
      <c r="G1829" s="11">
        <v>261882.0</v>
      </c>
      <c r="H1829" s="34" t="str">
        <f>IFERROR(__xludf.DUMMYFUNCTION("LOWER(REGEXREPLACE(B1829&amp;"" ""&amp;C1829,""[^а-яa-z0-9 ]"","" ""))"),"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т"&amp;"ело   1  ленка   1 спирт  танол 95    thanol    4 круглых контейнера   4 квадратных контейнера ")</f>
        <v>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ленка   1 спирт  танол 95    thanol    4 круглых контейнера   4 квадратных контейнера </v>
      </c>
    </row>
    <row r="1830">
      <c r="A1830" s="35" t="s">
        <v>4170</v>
      </c>
      <c r="B1830" s="31" t="s">
        <v>4171</v>
      </c>
      <c r="C1830" s="31"/>
      <c r="D1830" s="37" t="s">
        <v>1507</v>
      </c>
      <c r="E1830" s="10"/>
      <c r="F1830" s="36"/>
      <c r="G1830" s="11"/>
      <c r="H1830" s="34" t="str">
        <f>IFERROR(__xludf.DUMMYFUNCTION("LOWER(REGEXREPLACE(B1830&amp;"" ""&amp;C1830,""[^а-яa-z0-9 ]"","" ""))")," абораторный эксперимент    смос и диффузия  ")</f>
        <v> абораторный эксперимент    смос и диффузия  </v>
      </c>
    </row>
    <row r="1831">
      <c r="A1831" s="35" t="s">
        <v>4172</v>
      </c>
      <c r="B1831" s="31" t="s">
        <v>4173</v>
      </c>
      <c r="C1831" s="31" t="s">
        <v>4174</v>
      </c>
      <c r="D1831" s="37" t="s">
        <v>1507</v>
      </c>
      <c r="E1831" s="38">
        <v>2.0</v>
      </c>
      <c r="F1831" s="39">
        <v>1.2</v>
      </c>
      <c r="G1831" s="11">
        <v>322309.0</v>
      </c>
      <c r="H1831" s="34" t="str">
        <f>IFERROR(__xludf.DUMMYFUNCTION("LOWER(REGEXREPLACE(B1831&amp;"" ""&amp;C1831,""[^а-яa-z0-9 ]"","" ""))"),"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г"&amp;"люкозы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f>
        <v>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v>
      </c>
    </row>
    <row r="1832">
      <c r="A1832" s="35" t="s">
        <v>4175</v>
      </c>
      <c r="B1832" s="31" t="s">
        <v>4176</v>
      </c>
      <c r="C1832" s="31"/>
      <c r="D1832" s="37" t="s">
        <v>1507</v>
      </c>
      <c r="E1832" s="10"/>
      <c r="F1832" s="36"/>
      <c r="G1832" s="11"/>
      <c r="H1832" s="34" t="str">
        <f>IFERROR(__xludf.DUMMYFUNCTION("LOWER(REGEXREPLACE(B1832&amp;"" ""&amp;C1832,""[^а-яa-z0-9 ]"","" ""))")," чебный практикум   зучение растений и митоза животных  ")</f>
        <v> чебный практикум   зучение растений и митоза животных  </v>
      </c>
    </row>
    <row r="1833">
      <c r="A1833" s="35" t="s">
        <v>4177</v>
      </c>
      <c r="B1833" s="31" t="s">
        <v>4178</v>
      </c>
      <c r="C1833" s="31" t="s">
        <v>4179</v>
      </c>
      <c r="D1833" s="37" t="s">
        <v>1507</v>
      </c>
      <c r="E1833" s="38">
        <v>2.0</v>
      </c>
      <c r="F1833" s="38">
        <v>1.0</v>
      </c>
      <c r="G1833" s="11">
        <v>219573.0</v>
      </c>
      <c r="H1833" s="34" t="str">
        <f>IFERROR(__xludf.DUMMYFUNCTION("LOWER(REGEXREPLACE(B1833&amp;"" ""&amp;C1833,""[^а-яa-z0-9 ]"","" ""))"),"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cove"&amp;"r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"&amp;" 4 droppingbottles 3 ml    1 лоток   1 бутылек пиколита    15 мл   1 dropping bottle of  ounting  edia   iccolyte   15 ml    1 слайд клетки растения  1  lant cell  itosis referance slide ")</f>
        <v>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4 droppingbottles 3 ml    1 лоток   1 бутылек пиколита    15 мл   1 dropping bottle of  ounting  edia   iccolyte   15 ml    1 слайд клетки растения  1  lant cell  itosis referance slide </v>
      </c>
    </row>
    <row r="1834">
      <c r="A1834" s="35" t="s">
        <v>4180</v>
      </c>
      <c r="B1834" s="31" t="s">
        <v>4181</v>
      </c>
      <c r="C1834" s="31"/>
      <c r="D1834" s="37" t="s">
        <v>14</v>
      </c>
      <c r="E1834" s="10"/>
      <c r="F1834" s="36"/>
      <c r="G1834" s="11"/>
      <c r="H1834" s="34" t="str">
        <f>IFERROR(__xludf.DUMMYFUNCTION("LOWER(REGEXREPLACE(B1834&amp;"" ""&amp;C1834,""[^а-яa-z0-9 ]"","" ""))"),"    рансиллюминатор ")</f>
        <v>    рансиллюминатор </v>
      </c>
    </row>
    <row r="1835">
      <c r="A1835" s="35" t="s">
        <v>4182</v>
      </c>
      <c r="B1835" s="31" t="s">
        <v>4183</v>
      </c>
      <c r="C1835" s="31"/>
      <c r="D1835" s="37" t="s">
        <v>14</v>
      </c>
      <c r="E1835" s="38">
        <v>2.0</v>
      </c>
      <c r="F1835" s="39">
        <v>2.5</v>
      </c>
      <c r="G1835" s="11">
        <v>1299298.0</v>
      </c>
      <c r="H1835" s="34" t="str">
        <f>IFERROR(__xludf.DUMMYFUNCTION("LOWER(REGEXREPLACE(B1835&amp;"" ""&amp;C1835,""[^а-яa-z0-9 ]"","" ""))"),"    рансиллюминатор типа  ards  cience ")</f>
        <v>    рансиллюминатор типа  ards  cience </v>
      </c>
    </row>
    <row r="1836">
      <c r="A1836" s="35" t="s">
        <v>4184</v>
      </c>
      <c r="B1836" s="9" t="s">
        <v>4185</v>
      </c>
      <c r="C1836" s="31"/>
      <c r="D1836" s="36"/>
      <c r="E1836" s="10"/>
      <c r="F1836" s="36"/>
      <c r="G1836" s="11"/>
      <c r="H1836" s="34" t="str">
        <f>IFERROR(__xludf.DUMMYFUNCTION("LOWER(REGEXREPLACE(B1836&amp;"" ""&amp;C1836,""[^а-яa-z0-9 ]"","" ""))")," аборы и принадлежности для кабинета нанотехнологий ")</f>
        <v> аборы и принадлежности для кабинета нанотехнологий </v>
      </c>
    </row>
    <row r="1837">
      <c r="A1837" s="35" t="s">
        <v>4186</v>
      </c>
      <c r="B1837" s="9" t="s">
        <v>4187</v>
      </c>
      <c r="C1837" s="31"/>
      <c r="D1837" s="37" t="s">
        <v>1507</v>
      </c>
      <c r="E1837" s="10"/>
      <c r="F1837" s="36"/>
      <c r="G1837" s="11"/>
      <c r="H1837" s="34" t="str">
        <f>IFERROR(__xludf.DUMMYFUNCTION("LOWER(REGEXREPLACE(B1837&amp;"" ""&amp;C1837,""[^а-яa-z0-9 ]"","" ""))")," абор   еленая нанохимия  синтез наночастиц серебра  ")</f>
        <v> абор   еленая нанохимия  синтез наночастиц серебра  </v>
      </c>
    </row>
    <row r="1838">
      <c r="A1838" s="35" t="s">
        <v>4188</v>
      </c>
      <c r="B1838" s="9" t="s">
        <v>4189</v>
      </c>
      <c r="C1838" s="31" t="s">
        <v>4190</v>
      </c>
      <c r="D1838" s="37" t="s">
        <v>1507</v>
      </c>
      <c r="E1838" s="38">
        <v>2.0</v>
      </c>
      <c r="F1838" s="39">
        <v>1.4</v>
      </c>
      <c r="G1838" s="11">
        <v>78693.0</v>
      </c>
      <c r="H1838" s="34" t="str">
        <f>IFERROR(__xludf.DUMMYFUNCTION("LOWER(REGEXREPLACE(B1838&amp;"" ""&amp;C1838,""[^а-яa-z0-9 ]"","" ""))"),"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"&amp;"пробирки   5 шт  пипетки   6 шт  цилиндр градуированный 250 мл   1 шт ")</f>
        <v>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пробирки   5 шт  пипетки   6 шт  цилиндр градуированный 250 мл   1 шт </v>
      </c>
    </row>
    <row r="1839">
      <c r="A1839" s="35" t="s">
        <v>4191</v>
      </c>
      <c r="B1839" s="31" t="s">
        <v>4192</v>
      </c>
      <c r="C1839" s="31" t="s">
        <v>4193</v>
      </c>
      <c r="D1839" s="37" t="s">
        <v>1507</v>
      </c>
      <c r="E1839" s="38">
        <v>2.0</v>
      </c>
      <c r="F1839" s="39">
        <v>0.8</v>
      </c>
      <c r="G1839" s="11">
        <v>75543.0</v>
      </c>
      <c r="H1839" s="34" t="str">
        <f>IFERROR(__xludf.DUMMYFUNCTION("LOWER(REGEXREPLACE(B1839&amp;"" ""&amp;C1839,""[^а-яa-z0-9 ]"","" ""))"),"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f>
        <v>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v>
      </c>
    </row>
    <row r="1840">
      <c r="A1840" s="35" t="s">
        <v>4194</v>
      </c>
      <c r="B1840" s="31" t="s">
        <v>4195</v>
      </c>
      <c r="C1840" s="31"/>
      <c r="D1840" s="37" t="s">
        <v>1507</v>
      </c>
      <c r="E1840" s="10"/>
      <c r="F1840" s="36"/>
      <c r="G1840" s="11"/>
      <c r="H1840" s="34" t="str">
        <f>IFERROR(__xludf.DUMMYFUNCTION("LOWER(REGEXREPLACE(B1840&amp;"" ""&amp;C1840,""[^а-яa-z0-9 ]"","" ""))")," чебный набор   крытые отпечатки пальцев ")</f>
        <v> чебный набор   крытые отпечатки пальцев </v>
      </c>
    </row>
    <row r="1841">
      <c r="A1841" s="35" t="s">
        <v>4196</v>
      </c>
      <c r="B1841" s="31" t="s">
        <v>4197</v>
      </c>
      <c r="C1841" s="31" t="s">
        <v>4198</v>
      </c>
      <c r="D1841" s="37" t="s">
        <v>1507</v>
      </c>
      <c r="E1841" s="38">
        <v>2.0</v>
      </c>
      <c r="F1841" s="40">
        <v>1.29</v>
      </c>
      <c r="G1841" s="11">
        <v>147668.0</v>
      </c>
      <c r="H1841" s="34" t="str">
        <f>IFERROR(__xludf.DUMMYFUNCTION("LOWER(REGEXREPLACE(B1841&amp;"" ""&amp;C1841,""[^а-яa-z0-9 ]"","" ""))"),"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"&amp;"чернильная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работ"&amp;"ы   1 шт ")</f>
        <v>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работы   1 шт </v>
      </c>
    </row>
    <row r="1842">
      <c r="A1842" s="35" t="s">
        <v>4199</v>
      </c>
      <c r="B1842" s="31" t="s">
        <v>4200</v>
      </c>
      <c r="C1842" s="31" t="s">
        <v>4201</v>
      </c>
      <c r="D1842" s="37" t="s">
        <v>1507</v>
      </c>
      <c r="E1842" s="38">
        <v>2.0</v>
      </c>
      <c r="F1842" s="39">
        <v>0.8</v>
      </c>
      <c r="G1842" s="11">
        <v>146047.0</v>
      </c>
      <c r="H1842" s="34" t="str">
        <f>IFERROR(__xludf.DUMMYFUNCTION("LOWER(REGEXREPLACE(B1842&amp;"" ""&amp;C1842,""[^а-яa-z0-9 ]"","" ""))"),"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f>
        <v>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v>
      </c>
    </row>
    <row r="1843">
      <c r="A1843" s="35" t="s">
        <v>4202</v>
      </c>
      <c r="B1843" s="31" t="s">
        <v>4203</v>
      </c>
      <c r="C1843" s="31"/>
      <c r="D1843" s="37" t="s">
        <v>1507</v>
      </c>
      <c r="E1843" s="10"/>
      <c r="F1843" s="36"/>
      <c r="G1843" s="11"/>
      <c r="H1843" s="34" t="str">
        <f>IFERROR(__xludf.DUMMYFUNCTION("LOWER(REGEXREPLACE(B1843&amp;"" ""&amp;C1843,""[^а-яa-z0-9 ]"","" ""))")," абораторный практикум по курсу   пектроскопия  ")</f>
        <v> абораторный практикум по курсу   пектроскопия  </v>
      </c>
    </row>
    <row r="1844">
      <c r="A1844" s="35" t="s">
        <v>4204</v>
      </c>
      <c r="B1844" s="31" t="s">
        <v>4205</v>
      </c>
      <c r="C1844" s="31" t="s">
        <v>4206</v>
      </c>
      <c r="D1844" s="37" t="s">
        <v>1507</v>
      </c>
      <c r="E1844" s="38">
        <v>2.0</v>
      </c>
      <c r="F1844" s="40">
        <v>1.24</v>
      </c>
      <c r="G1844" s="11">
        <v>127973.0</v>
      </c>
      <c r="H1844" s="34" t="str">
        <f>IFERROR(__xludf.DUMMYFUNCTION("LOWER(REGEXREPLACE(B1844&amp;"" ""&amp;C1844,""[^а-яa-z0-9 ]"","" ""))"),"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цилиндры"&amp;" 100 мл   6 шт  клейкая лента  1 шт  спектроскоп ручной   6 шт")</f>
        <v>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 100 мл   6 шт  клейкая лента  1 шт  спектроскоп ручной   6 шт</v>
      </c>
    </row>
    <row r="1845">
      <c r="A1845" s="35" t="s">
        <v>4207</v>
      </c>
      <c r="B1845" s="31" t="s">
        <v>4208</v>
      </c>
      <c r="C1845" s="31" t="s">
        <v>4209</v>
      </c>
      <c r="D1845" s="37" t="s">
        <v>1507</v>
      </c>
      <c r="E1845" s="38">
        <v>2.0</v>
      </c>
      <c r="F1845" s="39">
        <v>0.8</v>
      </c>
      <c r="G1845" s="11">
        <v>126910.0</v>
      </c>
      <c r="H1845" s="34" t="str">
        <f>IFERROR(__xludf.DUMMYFUNCTION("LOWER(REGEXREPLACE(B1845&amp;"" ""&amp;C1845,""[^а-яa-z0-9 ]"","" ""))"),"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спирто"&amp;"вой раствор    ineral salt alcohol solution  15  ифракционные решетки   iffraction grating slides  24 лотка для свечей   andle holding trays ")</f>
        <v>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спиртовой раствор    ineral salt alcohol solution  15  ифракционные решетки   iffraction grating slides  24 лотка для свечей   andle holding trays </v>
      </c>
    </row>
    <row r="1846">
      <c r="A1846" s="35" t="s">
        <v>4210</v>
      </c>
      <c r="B1846" s="31" t="s">
        <v>4211</v>
      </c>
      <c r="C1846" s="31"/>
      <c r="D1846" s="37" t="s">
        <v>1507</v>
      </c>
      <c r="E1846" s="10"/>
      <c r="F1846" s="36"/>
      <c r="G1846" s="11"/>
      <c r="H1846" s="34" t="str">
        <f>IFERROR(__xludf.DUMMYFUNCTION("LOWER(REGEXREPLACE(B1846&amp;"" ""&amp;C1846,""[^а-яa-z0-9 ]"","" ""))")," абор для лабораторных экспериментов по спектральному анализу и анализу окраски пламени ")</f>
        <v> абор для лабораторных экспериментов по спектральному анализу и анализу окраски пламени </v>
      </c>
    </row>
    <row r="1847">
      <c r="A1847" s="35" t="s">
        <v>4212</v>
      </c>
      <c r="B1847" s="31" t="s">
        <v>4213</v>
      </c>
      <c r="C1847" s="31" t="s">
        <v>4214</v>
      </c>
      <c r="D1847" s="37" t="s">
        <v>1507</v>
      </c>
      <c r="E1847" s="38">
        <v>2.0</v>
      </c>
      <c r="F1847" s="40">
        <v>1.28</v>
      </c>
      <c r="G1847" s="11">
        <v>141013.0</v>
      </c>
      <c r="H1847" s="34" t="str">
        <f>IFERROR(__xludf.DUMMYFUNCTION("LOWER(REGEXREPLACE(B1847&amp;"" ""&amp;C1847,""[^а-яa-z0-9 ]"","" ""))"),"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a"&amp;"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f>
        <v>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v>
      </c>
    </row>
    <row r="1848">
      <c r="A1848" s="35" t="s">
        <v>4215</v>
      </c>
      <c r="B1848" s="31" t="s">
        <v>4216</v>
      </c>
      <c r="C1848" s="31" t="s">
        <v>4217</v>
      </c>
      <c r="D1848" s="37" t="s">
        <v>1507</v>
      </c>
      <c r="E1848" s="38">
        <v>2.0</v>
      </c>
      <c r="F1848" s="39">
        <v>0.8</v>
      </c>
      <c r="G1848" s="11">
        <v>127414.0</v>
      </c>
      <c r="H1848" s="34" t="str">
        <f>IFERROR(__xludf.DUMMYFUNCTION("LOWER(REGEXREPLACE(B1848&amp;"" ""&amp;C1848,""[^а-яa-z0-9 ]"","" ""))"),"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пособи"&amp;"е")</f>
        <v>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пособие</v>
      </c>
    </row>
    <row r="1849">
      <c r="A1849" s="35" t="s">
        <v>4218</v>
      </c>
      <c r="B1849" s="31" t="s">
        <v>4219</v>
      </c>
      <c r="C1849" s="31"/>
      <c r="D1849" s="37" t="s">
        <v>1507</v>
      </c>
      <c r="E1849" s="10"/>
      <c r="F1849" s="36"/>
      <c r="G1849" s="11"/>
      <c r="H1849" s="34" t="str">
        <f>IFERROR(__xludf.DUMMYFUNCTION("LOWER(REGEXREPLACE(B1849&amp;"" ""&amp;C1849,""[^а-яa-z0-9 ]"","" ""))")," кспериментальный набор в чемодане для школьных опытов по нанотехнологиям ")</f>
        <v> кспериментальный набор в чемодане для школьных опытов по нанотехнологиям </v>
      </c>
    </row>
    <row r="1850">
      <c r="A1850" s="35" t="s">
        <v>4220</v>
      </c>
      <c r="B1850" s="31" t="s">
        <v>4221</v>
      </c>
      <c r="C1850" s="31"/>
      <c r="D1850" s="37" t="s">
        <v>1507</v>
      </c>
      <c r="E1850" s="38">
        <v>2.0</v>
      </c>
      <c r="F1850" s="39">
        <v>2.2</v>
      </c>
      <c r="G1850" s="11">
        <v>310802.0</v>
      </c>
      <c r="H1850" s="34" t="str">
        <f>IFERROR(__xludf.DUMMYFUNCTION("LOWER(REGEXREPLACE(B1850&amp;"" ""&amp;C1850,""[^а-яa-z0-9 ]"","" ""))")," кспериментальный набор в чемодане для школьных опытов по нанотехнологиям типа  xperia    59 ")</f>
        <v> кспериментальный набор в чемодане для школьных опытов по нанотехнологиям типа  xperia    59 </v>
      </c>
    </row>
    <row r="1851">
      <c r="A1851" s="35" t="s">
        <v>4222</v>
      </c>
      <c r="B1851" s="31" t="s">
        <v>4223</v>
      </c>
      <c r="C1851" s="31"/>
      <c r="D1851" s="37" t="s">
        <v>1507</v>
      </c>
      <c r="E1851" s="38">
        <v>2.0</v>
      </c>
      <c r="F1851" s="39">
        <v>0.8</v>
      </c>
      <c r="G1851" s="11">
        <v>271947.0</v>
      </c>
      <c r="H1851" s="34" t="str">
        <f>IFERROR(__xludf.DUMMYFUNCTION("LOWER(REGEXREPLACE(B1851&amp;"" ""&amp;C1851,""[^а-яa-z0-9 ]"","" ""))")," кспериментальный набор в чемодане для школьных опытов по нанотехнологиям типа  ards  cience 47052 ")</f>
        <v> кспериментальный набор в чемодане для школьных опытов по нанотехнологиям типа  ards  cience 47052 </v>
      </c>
    </row>
    <row r="1852">
      <c r="A1852" s="35" t="s">
        <v>4224</v>
      </c>
      <c r="B1852" s="31" t="s">
        <v>4225</v>
      </c>
      <c r="C1852" s="31"/>
      <c r="D1852" s="37" t="s">
        <v>1507</v>
      </c>
      <c r="E1852" s="10"/>
      <c r="F1852" s="36"/>
      <c r="G1852" s="11"/>
      <c r="H1852" s="34" t="str">
        <f>IFERROR(__xludf.DUMMYFUNCTION("LOWER(REGEXREPLACE(B1852&amp;"" ""&amp;C1852,""[^а-яa-z0-9 ]"","" ""))")," абор   анотехнологии  для экспериментов базового уровня ")</f>
        <v> абор   анотехнологии  для экспериментов базового уровня </v>
      </c>
    </row>
    <row r="1853">
      <c r="A1853" s="35" t="s">
        <v>4226</v>
      </c>
      <c r="B1853" s="31" t="s">
        <v>4227</v>
      </c>
      <c r="C1853" s="31" t="s">
        <v>4228</v>
      </c>
      <c r="D1853" s="37" t="s">
        <v>1507</v>
      </c>
      <c r="E1853" s="38">
        <v>2.0</v>
      </c>
      <c r="F1853" s="39">
        <v>2.6</v>
      </c>
      <c r="G1853" s="11">
        <v>178518.0</v>
      </c>
      <c r="H1853" s="34" t="str">
        <f>IFERROR(__xludf.DUMMYFUNCTION("LOWER(REGEXREPLACE(B1853&amp;"" ""&amp;C1853,""[^а-яa-z0-9 ]"","" ""))"),"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и"&amp;"дроксид аммония    4    150 мл   1 шт   идроксид тетраметиламмония           150 мл   1 шт   ипетки   35 шт   ашки  етри   1 шт    теклянный стакан 250 мл   5 шт   ильтрующая бумага   1 пачка ")</f>
        <v>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идроксид аммония    4    150 мл   1 шт   идроксид тетраметиламмония           150 мл   1 шт   ипетки   35 шт   ашки  етри   1 шт    теклянный стакан 250 мл   5 шт   ильтрующая бумага   1 пачка </v>
      </c>
    </row>
    <row r="1854">
      <c r="A1854" s="35" t="s">
        <v>4229</v>
      </c>
      <c r="B1854" s="31" t="s">
        <v>4230</v>
      </c>
      <c r="C1854" s="31" t="s">
        <v>4231</v>
      </c>
      <c r="D1854" s="37" t="s">
        <v>1507</v>
      </c>
      <c r="E1854" s="38">
        <v>2.0</v>
      </c>
      <c r="F1854" s="39">
        <v>0.8</v>
      </c>
      <c r="G1854" s="11">
        <v>166191.0</v>
      </c>
      <c r="H1854" s="34" t="str">
        <f>IFERROR(__xludf.DUMMYFUNCTION("LOWER(REGEXREPLACE(B1854&amp;"" ""&amp;C1854,""[^а-яa-z0-9 ]"","" ""))"),"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15"&amp;" чашек  етри")</f>
        <v>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 чашек  етри</v>
      </c>
    </row>
    <row r="1855">
      <c r="A1855" s="35" t="s">
        <v>4232</v>
      </c>
      <c r="B1855" s="31" t="s">
        <v>4233</v>
      </c>
      <c r="C1855" s="31" t="s">
        <v>4234</v>
      </c>
      <c r="D1855" s="37" t="s">
        <v>1507</v>
      </c>
      <c r="E1855" s="38">
        <v>2.0</v>
      </c>
      <c r="F1855" s="38">
        <v>4.0</v>
      </c>
      <c r="G1855" s="11">
        <v>329084.0</v>
      </c>
      <c r="H1855" s="34" t="str">
        <f>IFERROR(__xludf.DUMMYFUNCTION("LOWER(REGEXREPLACE(B1855&amp;"" ""&amp;C1855,""[^а-яa-z0-9 ]"","" ""))"),"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"&amp;"проектной деятельности в курсе естествознания   борудование укомплектовано в пластиковый контейнер")</f>
        <v>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борудование укомплектовано в пластиковый контейнер</v>
      </c>
    </row>
    <row r="1856">
      <c r="A1856" s="35" t="s">
        <v>4235</v>
      </c>
      <c r="B1856" s="31" t="s">
        <v>4236</v>
      </c>
      <c r="C1856" s="31"/>
      <c r="D1856" s="37" t="s">
        <v>14</v>
      </c>
      <c r="E1856" s="10"/>
      <c r="F1856" s="36"/>
      <c r="G1856" s="11"/>
      <c r="H1856" s="34" t="str">
        <f>IFERROR(__xludf.DUMMYFUNCTION("LOWER(REGEXREPLACE(B1856&amp;"" ""&amp;C1856,""[^а-яa-z0-9 ]"","" ""))")," пектроскоп ")</f>
        <v> пектроскоп </v>
      </c>
    </row>
    <row r="1857">
      <c r="A1857" s="35" t="s">
        <v>4237</v>
      </c>
      <c r="B1857" s="9" t="s">
        <v>4238</v>
      </c>
      <c r="C1857" s="31" t="s">
        <v>4239</v>
      </c>
      <c r="D1857" s="37" t="s">
        <v>14</v>
      </c>
      <c r="E1857" s="38">
        <v>2.0</v>
      </c>
      <c r="F1857" s="39">
        <v>0.5</v>
      </c>
      <c r="G1857" s="11">
        <v>23734.0</v>
      </c>
      <c r="H1857" s="34" t="str">
        <f>IFERROR(__xludf.DUMMYFUNCTION("LOWER(REGEXREPLACE(B1857&amp;"" ""&amp;C1857,""[^а-яa-z0-9 ]"","" ""))"),"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f>
        <v>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v>
      </c>
    </row>
    <row r="1858">
      <c r="A1858" s="35" t="s">
        <v>4240</v>
      </c>
      <c r="B1858" s="31" t="s">
        <v>4241</v>
      </c>
      <c r="C1858" s="31"/>
      <c r="D1858" s="36"/>
      <c r="E1858" s="10"/>
      <c r="F1858" s="36"/>
      <c r="G1858" s="11"/>
      <c r="H1858" s="34" t="str">
        <f>IFERROR(__xludf.DUMMYFUNCTION("LOWER(REGEXREPLACE(B1858&amp;"" ""&amp;C1858,""[^а-яa-z0-9 ]"","" ""))")," абинет   ончарное дело  ")</f>
        <v> абинет   ончарное дело  </v>
      </c>
    </row>
    <row r="1859">
      <c r="A1859" s="35" t="s">
        <v>4242</v>
      </c>
      <c r="B1859" s="31" t="s">
        <v>4243</v>
      </c>
      <c r="C1859" s="31"/>
      <c r="D1859" s="37" t="s">
        <v>14</v>
      </c>
      <c r="E1859" s="10"/>
      <c r="F1859" s="36"/>
      <c r="G1859" s="11"/>
      <c r="H1859" s="34" t="str">
        <f>IFERROR(__xludf.DUMMYFUNCTION("LOWER(REGEXREPLACE(B1859&amp;"" ""&amp;C1859,""[^а-яa-z0-9 ]"","" ""))")," борудование для гончарного дела ")</f>
        <v> борудование для гончарного дела </v>
      </c>
    </row>
    <row r="1860">
      <c r="A1860" s="35" t="s">
        <v>4244</v>
      </c>
      <c r="B1860" s="31" t="s">
        <v>4245</v>
      </c>
      <c r="C1860" s="31" t="s">
        <v>4246</v>
      </c>
      <c r="D1860" s="37" t="s">
        <v>14</v>
      </c>
      <c r="E1860" s="38">
        <v>2.0</v>
      </c>
      <c r="F1860" s="39">
        <v>15.4</v>
      </c>
      <c r="G1860" s="11">
        <v>603532.0</v>
      </c>
      <c r="H1860" s="34" t="str">
        <f>IFERROR(__xludf.DUMMYFUNCTION("LOWER(REGEXREPLACE(B1860&amp;"" ""&amp;C1860,""[^а-яa-z0-9 ]"","" ""))"),"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f>
        <v>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v>
      </c>
    </row>
    <row r="1861">
      <c r="A1861" s="35" t="s">
        <v>4247</v>
      </c>
      <c r="B1861" s="31" t="s">
        <v>4248</v>
      </c>
      <c r="C1861" s="31" t="s">
        <v>4249</v>
      </c>
      <c r="D1861" s="37" t="s">
        <v>14</v>
      </c>
      <c r="E1861" s="38">
        <v>2.0</v>
      </c>
      <c r="F1861" s="40">
        <v>10.11</v>
      </c>
      <c r="G1861" s="11">
        <v>727387.0</v>
      </c>
      <c r="H1861" s="34" t="str">
        <f>IFERROR(__xludf.DUMMYFUNCTION("LOWER(REGEXREPLACE(B1861&amp;"" ""&amp;C1861,""[^а-яa-z0-9 ]"","" ""))"),"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влаго"&amp;"устойчивого металла ")</f>
        <v>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влагоустойчивого металла </v>
      </c>
    </row>
    <row r="1862">
      <c r="A1862" s="35" t="s">
        <v>4250</v>
      </c>
      <c r="B1862" s="31" t="s">
        <v>4251</v>
      </c>
      <c r="C1862" s="31" t="s">
        <v>4252</v>
      </c>
      <c r="D1862" s="37" t="s">
        <v>14</v>
      </c>
      <c r="E1862" s="38">
        <v>2.0</v>
      </c>
      <c r="F1862" s="38">
        <v>15.0</v>
      </c>
      <c r="G1862" s="11">
        <v>905869.0</v>
      </c>
      <c r="H1862" s="34" t="str">
        <f>IFERROR(__xludf.DUMMYFUNCTION("LOWER(REGEXREPLACE(B1862&amp;"" ""&amp;C1862,""[^а-яa-z0-9 ]"","" ""))"),"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f>
        <v>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v>
      </c>
    </row>
    <row r="1863">
      <c r="A1863" s="35" t="s">
        <v>4253</v>
      </c>
      <c r="B1863" s="31" t="s">
        <v>4254</v>
      </c>
      <c r="C1863" s="31" t="s">
        <v>4255</v>
      </c>
      <c r="D1863" s="37" t="s">
        <v>14</v>
      </c>
      <c r="E1863" s="38">
        <v>2.0</v>
      </c>
      <c r="F1863" s="39">
        <v>4.5</v>
      </c>
      <c r="G1863" s="11">
        <v>67543.0</v>
      </c>
      <c r="H1863" s="34" t="str">
        <f>IFERROR(__xludf.DUMMYFUNCTION("LOWER(REGEXREPLACE(B1863&amp;"" ""&amp;C1863,""[^а-яa-z0-9 ]"","" ""))"),"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и"&amp;"аметр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"&amp;"любое положение ")</f>
        <v>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любое положение </v>
      </c>
    </row>
    <row r="1864">
      <c r="A1864" s="35" t="s">
        <v>4256</v>
      </c>
      <c r="B1864" s="31" t="s">
        <v>4257</v>
      </c>
      <c r="C1864" s="31" t="s">
        <v>4258</v>
      </c>
      <c r="D1864" s="37" t="s">
        <v>14</v>
      </c>
      <c r="E1864" s="38">
        <v>2.0</v>
      </c>
      <c r="F1864" s="39">
        <v>32.4</v>
      </c>
      <c r="G1864" s="11">
        <v>722118.0</v>
      </c>
      <c r="H1864" s="34" t="str">
        <f>IFERROR(__xludf.DUMMYFUNCTION("LOWER(REGEXREPLACE(B1864&amp;"" ""&amp;C1864,""[^а-яa-z0-9 ]"","" ""))"),"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пред"&amp;"оставляет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f>
        <v>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v>
      </c>
    </row>
    <row r="1865">
      <c r="A1865" s="35" t="s">
        <v>4259</v>
      </c>
      <c r="B1865" s="31" t="s">
        <v>4260</v>
      </c>
      <c r="C1865" s="31" t="s">
        <v>4261</v>
      </c>
      <c r="D1865" s="37" t="s">
        <v>14</v>
      </c>
      <c r="E1865" s="38">
        <v>2.0</v>
      </c>
      <c r="F1865" s="40">
        <v>69.75</v>
      </c>
      <c r="G1865" s="11">
        <v>1971252.0</v>
      </c>
      <c r="H1865" s="34" t="str">
        <f>IFERROR(__xludf.DUMMYFUNCTION("LOWER(REGEXREPLACE(B1865&amp;"" ""&amp;C1865,""[^а-яa-z0-9 ]"","" ""))"),"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устой"&amp;"чивость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темпе"&amp;"ратура 1300 градусов ")</f>
        <v>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температура 1300 градусов </v>
      </c>
    </row>
    <row r="1866">
      <c r="A1866" s="35" t="s">
        <v>4262</v>
      </c>
      <c r="B1866" s="31" t="s">
        <v>4263</v>
      </c>
      <c r="C1866" s="31"/>
      <c r="D1866" s="37" t="s">
        <v>14</v>
      </c>
      <c r="E1866" s="10"/>
      <c r="F1866" s="36"/>
      <c r="G1866" s="11"/>
      <c r="H1866" s="34" t="str">
        <f>IFERROR(__xludf.DUMMYFUNCTION("LOWER(REGEXREPLACE(B1866&amp;"" ""&amp;C1866,""[^а-яa-z0-9 ]"","" ""))")," ебель для гончарного дела ")</f>
        <v> ебель для гончарного дела </v>
      </c>
    </row>
    <row r="1867">
      <c r="A1867" s="35" t="s">
        <v>4264</v>
      </c>
      <c r="B1867" s="31" t="s">
        <v>4265</v>
      </c>
      <c r="C1867" s="31" t="s">
        <v>4266</v>
      </c>
      <c r="D1867" s="37" t="s">
        <v>14</v>
      </c>
      <c r="E1867" s="38">
        <v>2.0</v>
      </c>
      <c r="F1867" s="40">
        <v>11.78</v>
      </c>
      <c r="G1867" s="11">
        <v>109141.0</v>
      </c>
      <c r="H1867" s="34" t="str">
        <f>IFERROR(__xludf.DUMMYFUNCTION("LOWER(REGEXREPLACE(B1867&amp;"" ""&amp;C1867,""[^а-яa-z0-9 ]"","" ""))"),"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f>
        <v>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v>
      </c>
    </row>
    <row r="1868">
      <c r="A1868" s="35" t="s">
        <v>4267</v>
      </c>
      <c r="B1868" s="31" t="s">
        <v>4268</v>
      </c>
      <c r="C1868" s="31" t="s">
        <v>4269</v>
      </c>
      <c r="D1868" s="37" t="s">
        <v>14</v>
      </c>
      <c r="E1868" s="38">
        <v>2.0</v>
      </c>
      <c r="F1868" s="39">
        <v>44.2</v>
      </c>
      <c r="G1868" s="11">
        <v>440159.0</v>
      </c>
      <c r="H1868" s="34" t="str">
        <f>IFERROR(__xludf.DUMMYFUNCTION("LOWER(REGEXREPLACE(B1868&amp;"" ""&amp;C1868,""[^а-яa-z0-9 ]"","" ""))"),"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колес"&amp;"ики для легкого перемещения   абариты 900 х 450 х 1900мм")</f>
        <v>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колесики для легкого перемещения   абариты 900 х 450 х 1900мм</v>
      </c>
    </row>
    <row r="1869">
      <c r="A1869" s="35" t="s">
        <v>4270</v>
      </c>
      <c r="B1869" s="31" t="s">
        <v>4271</v>
      </c>
      <c r="C1869" s="31"/>
      <c r="D1869" s="36"/>
      <c r="E1869" s="10"/>
      <c r="F1869" s="36"/>
      <c r="G1869" s="11"/>
      <c r="H1869" s="34" t="str">
        <f>IFERROR(__xludf.DUMMYFUNCTION("LOWER(REGEXREPLACE(B1869&amp;"" ""&amp;C1869,""[^а-яa-z0-9 ]"","" ""))")," абинет ракетостроения и космических технологий ")</f>
        <v> абинет ракетостроения и космических технологий </v>
      </c>
    </row>
    <row r="1870">
      <c r="A1870" s="35" t="s">
        <v>4272</v>
      </c>
      <c r="B1870" s="31" t="s">
        <v>4273</v>
      </c>
      <c r="C1870" s="31"/>
      <c r="D1870" s="37" t="s">
        <v>1507</v>
      </c>
      <c r="E1870" s="10"/>
      <c r="F1870" s="36"/>
      <c r="G1870" s="11"/>
      <c r="H1870" s="34" t="str">
        <f>IFERROR(__xludf.DUMMYFUNCTION("LOWER(REGEXREPLACE(B1870&amp;"" ""&amp;C1870,""[^а-яa-z0-9 ]"","" ""))")," абор ракетостроения ")</f>
        <v> абор ракетостроения </v>
      </c>
    </row>
    <row r="1871">
      <c r="A1871" s="35" t="s">
        <v>4274</v>
      </c>
      <c r="B1871" s="31" t="s">
        <v>4275</v>
      </c>
      <c r="C1871" s="31" t="s">
        <v>4276</v>
      </c>
      <c r="D1871" s="37" t="s">
        <v>1507</v>
      </c>
      <c r="E1871" s="10"/>
      <c r="F1871" s="39">
        <v>0.6</v>
      </c>
      <c r="G1871" s="11">
        <v>178300.0</v>
      </c>
      <c r="H1871" s="34" t="str">
        <f>IFERROR(__xludf.DUMMYFUNCTION("LOWER(REGEXREPLACE(B1871&amp;"" ""&amp;C1871,""[^а-яa-z0-9 ]"","" ""))"),"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метр"&amp;"ов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диа"&amp;"метра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с"&amp;"оответствующие различным двигателям    наборе имеется следующие крепление для двигателей   4 2   6 2   5 3   8 3   4 4   6 4   6 7 ")</f>
        <v>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соответствующие различным двигателям    наборе имеется следующие крепление для двигателей   4 2   6 2   5 3   8 3   4 4   6 4   6 7 </v>
      </c>
    </row>
    <row r="1872">
      <c r="A1872" s="35" t="s">
        <v>4277</v>
      </c>
      <c r="B1872" s="31" t="s">
        <v>4278</v>
      </c>
      <c r="C1872" s="31" t="s">
        <v>4279</v>
      </c>
      <c r="D1872" s="37" t="s">
        <v>1507</v>
      </c>
      <c r="E1872" s="10"/>
      <c r="F1872" s="40">
        <v>0.22</v>
      </c>
      <c r="G1872" s="11">
        <v>203031.0</v>
      </c>
      <c r="H1872" s="34" t="str">
        <f>IFERROR(__xludf.DUMMYFUNCTION("LOWER(REGEXREPLACE(B1872&amp;"" ""&amp;C1872,""[^а-яa-z0-9 ]"","" ""))"),"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"&amp;"редний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"&amp;"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ракеты"&amp;"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"&amp;"  озрастные ограничения   екомендуется для мальчиков и девочек старше 10 лет под присмотром взрослых  а также для ракетчиков всех возрастов ")</f>
        <v>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озрастные ограничения   екомендуется для мальчиков и девочек старше 10 лет под присмотром взрослых  а также для ракетчиков всех возрастов </v>
      </c>
    </row>
    <row r="1873">
      <c r="A1873" s="35" t="s">
        <v>4280</v>
      </c>
      <c r="B1873" s="31" t="s">
        <v>4281</v>
      </c>
      <c r="C1873" s="31" t="s">
        <v>4282</v>
      </c>
      <c r="D1873" s="37" t="s">
        <v>1507</v>
      </c>
      <c r="E1873" s="10"/>
      <c r="F1873" s="40">
        <v>0.05</v>
      </c>
      <c r="G1873" s="11">
        <v>108589.0</v>
      </c>
      <c r="H1873" s="34" t="str">
        <f>IFERROR(__xludf.DUMMYFUNCTION("LOWER(REGEXREPLACE(B1873&amp;"" ""&amp;C1873,""[^а-яa-z0-9 ]"","" ""))"),"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прост"&amp;"ой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и"&amp;"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увлекательны"&amp;"ми  предоставляя начинающим ракетчикам возможность погрузиться в науку и технику с восторгом ")</f>
        <v>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 </v>
      </c>
    </row>
    <row r="1874">
      <c r="A1874" s="35" t="s">
        <v>4283</v>
      </c>
      <c r="B1874" s="31" t="s">
        <v>4284</v>
      </c>
      <c r="C1874" s="31" t="s">
        <v>4285</v>
      </c>
      <c r="D1874" s="37" t="s">
        <v>1507</v>
      </c>
      <c r="E1874" s="10"/>
      <c r="F1874" s="40">
        <v>0.06</v>
      </c>
      <c r="G1874" s="11">
        <v>117585.0</v>
      </c>
      <c r="H1874" s="34" t="str">
        <f>IFERROR(__xludf.DUMMYFUNCTION("LOWER(REGEXREPLACE(B1874&amp;"" ""&amp;C1874,""[^а-яa-z0-9 ]"","" ""))"),"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у"&amp;"никальную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выс"&amp;"оту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гара"&amp;"нтирует прочность и стабильность в полете   печатляющий диаметр   иаметр модели составляет 50 мм  делая ее визуально впечатляющей и привлекательной ")</f>
        <v>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гарантирует прочность и стабильность в полете   печатляющий диаметр   иаметр модели составляет 50 мм  делая ее визуально впечатляющей и привлекательной </v>
      </c>
    </row>
    <row r="1875">
      <c r="A1875" s="35" t="s">
        <v>4286</v>
      </c>
      <c r="B1875" s="31" t="s">
        <v>4287</v>
      </c>
      <c r="C1875" s="31"/>
      <c r="D1875" s="37" t="s">
        <v>1507</v>
      </c>
      <c r="E1875" s="10"/>
      <c r="F1875" s="40">
        <v>1.18</v>
      </c>
      <c r="G1875" s="11">
        <v>209446.0</v>
      </c>
      <c r="H1875" s="34" t="str">
        <f>IFERROR(__xludf.DUMMYFUNCTION("LOWER(REGEXREPLACE(B1875&amp;"" ""&amp;C1875,""[^а-яa-z0-9 ]"","" ""))")," бразовательный набор для сборки ракеты с содержанием более 90 элементов типа  ocket ise  xplorer  et ")</f>
        <v> бразовательный набор для сборки ракеты с содержанием более 90 элементов типа  ocket ise  xplorer  et </v>
      </c>
    </row>
    <row r="1876">
      <c r="A1876" s="35" t="s">
        <v>4288</v>
      </c>
      <c r="B1876" s="31" t="s">
        <v>4289</v>
      </c>
      <c r="C1876" s="31" t="s">
        <v>4290</v>
      </c>
      <c r="D1876" s="37" t="s">
        <v>1507</v>
      </c>
      <c r="E1876" s="38">
        <v>2.0</v>
      </c>
      <c r="F1876" s="42">
        <v>0.075</v>
      </c>
      <c r="G1876" s="11">
        <v>48936.0</v>
      </c>
      <c r="H1876" s="34" t="str">
        <f>IFERROR(__xludf.DUMMYFUNCTION("LOWER(REGEXREPLACE(B1876&amp;"" ""&amp;C1876,""[^а-яa-z0-9 ]"","" ""))"),"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активаци"&amp;"и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м"&amp;"естимость   ассчитано на оптимальное количество материалов  необходимых для функционирования спасательной системы ")</f>
        <v>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местимость   ассчитано на оптимальное количество материалов  необходимых для функционирования спасательной системы </v>
      </c>
    </row>
    <row r="1877">
      <c r="A1877" s="35" t="s">
        <v>4291</v>
      </c>
      <c r="B1877" s="31" t="s">
        <v>4292</v>
      </c>
      <c r="C1877" s="31"/>
      <c r="D1877" s="37" t="s">
        <v>1507</v>
      </c>
      <c r="E1877" s="10"/>
      <c r="F1877" s="36"/>
      <c r="G1877" s="11"/>
      <c r="H1877" s="34" t="str">
        <f>IFERROR(__xludf.DUMMYFUNCTION("LOWER(REGEXREPLACE(B1877&amp;"" ""&amp;C1877,""[^а-яa-z0-9 ]"","" ""))")," абор твердотопливных двигателей ")</f>
        <v> абор твердотопливных двигателей </v>
      </c>
    </row>
    <row r="1878">
      <c r="A1878" s="35" t="s">
        <v>4293</v>
      </c>
      <c r="B1878" s="31" t="s">
        <v>4294</v>
      </c>
      <c r="C1878" s="31" t="s">
        <v>4295</v>
      </c>
      <c r="D1878" s="37" t="s">
        <v>1507</v>
      </c>
      <c r="E1878" s="38">
        <v>2.0</v>
      </c>
      <c r="F1878" s="40">
        <v>0.36</v>
      </c>
      <c r="G1878" s="11">
        <v>155619.0</v>
      </c>
      <c r="H1878" s="34" t="str">
        <f>IFERROR(__xludf.DUMMYFUNCTION("LOWER(REGEXREPLACE(B1878&amp;"" ""&amp;C1878,""[^а-яa-z0-9 ]"","" ""))"),"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одробное"&amp;"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дв"&amp;"игателей   азличные диаметры от 18 мм до 29 мм  родолжительность работы двигателей   т 2 до 5 секунд  в зависимости от модели")</f>
        <v>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двигателей   азличные диаметры от 18 мм до 29 мм  родолжительность работы двигателей   т 2 до 5 секунд  в зависимости от модели</v>
      </c>
    </row>
    <row r="1879">
      <c r="A1879" s="35" t="s">
        <v>4296</v>
      </c>
      <c r="B1879" s="31" t="s">
        <v>4297</v>
      </c>
      <c r="C1879" s="31" t="s">
        <v>4298</v>
      </c>
      <c r="D1879" s="37" t="s">
        <v>1507</v>
      </c>
      <c r="E1879" s="38">
        <v>2.0</v>
      </c>
      <c r="F1879" s="40">
        <v>0.35</v>
      </c>
      <c r="G1879" s="11">
        <v>58595.0</v>
      </c>
      <c r="H1879" s="34" t="str">
        <f>IFERROR(__xludf.DUMMYFUNCTION("LOWER(REGEXREPLACE(B1879&amp;"" ""&amp;C1879,""[^а-яa-z0-9 ]"","" ""))"),"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"&amp;"элементы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крепления"&amp;"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f>
        <v>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v>
      </c>
    </row>
    <row r="1880">
      <c r="A1880" s="35" t="s">
        <v>4299</v>
      </c>
      <c r="B1880" s="31" t="s">
        <v>4300</v>
      </c>
      <c r="C1880" s="31"/>
      <c r="D1880" s="37" t="s">
        <v>1507</v>
      </c>
      <c r="E1880" s="10"/>
      <c r="F1880" s="36"/>
      <c r="G1880" s="11"/>
      <c r="H1880" s="34" t="str">
        <f>IFERROR(__xludf.DUMMYFUNCTION("LOWER(REGEXREPLACE(B1880&amp;"" ""&amp;C1880,""[^а-яa-z0-9 ]"","" ""))")," одель ракеты сборочная модель ")</f>
        <v> одель ракеты сборочная модель </v>
      </c>
    </row>
    <row r="1881">
      <c r="A1881" s="35" t="s">
        <v>4301</v>
      </c>
      <c r="B1881" s="31" t="s">
        <v>4302</v>
      </c>
      <c r="C1881" s="31" t="s">
        <v>4303</v>
      </c>
      <c r="D1881" s="37" t="s">
        <v>1507</v>
      </c>
      <c r="E1881" s="38">
        <v>2.0</v>
      </c>
      <c r="F1881" s="42">
        <v>0.107</v>
      </c>
      <c r="G1881" s="11">
        <v>86100.0</v>
      </c>
      <c r="H1881" s="34" t="str">
        <f>IFERROR(__xludf.DUMMYFUNCTION("LOWER(REGEXREPLACE(B1881&amp;"" ""&amp;C1881,""[^а-яa-z0-9 ]"","" ""))"),"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"&amp;"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ко"&amp;"нтроллер  азмер пусковой штанги 1 8 дюйм")</f>
        <v>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контроллер  азмер пусковой штанги 1 8 дюйм</v>
      </c>
    </row>
    <row r="1882">
      <c r="A1882" s="35" t="s">
        <v>4304</v>
      </c>
      <c r="B1882" s="31" t="s">
        <v>4305</v>
      </c>
      <c r="C1882" s="31" t="s">
        <v>4306</v>
      </c>
      <c r="D1882" s="37" t="s">
        <v>1507</v>
      </c>
      <c r="E1882" s="38">
        <v>2.0</v>
      </c>
      <c r="F1882" s="42">
        <v>0.104</v>
      </c>
      <c r="G1882" s="11">
        <v>88352.0</v>
      </c>
      <c r="H1882" s="34" t="str">
        <f>IFERROR(__xludf.DUMMYFUNCTION("LOWER(REGEXREPLACE(B1882&amp;"" ""&amp;C1882,""[^а-яa-z0-9 ]"","" ""))"),"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"&amp;"61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контр"&amp;"оллер  азмер пусковой штанги 1 8 дюйм")</f>
        <v>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контроллер  азмер пусковой штанги 1 8 дюйм</v>
      </c>
    </row>
    <row r="1883">
      <c r="A1883" s="35" t="s">
        <v>4307</v>
      </c>
      <c r="B1883" s="31" t="s">
        <v>4308</v>
      </c>
      <c r="C1883" s="31" t="s">
        <v>4309</v>
      </c>
      <c r="D1883" s="37" t="s">
        <v>1507</v>
      </c>
      <c r="E1883" s="38">
        <v>2.0</v>
      </c>
      <c r="F1883" s="42">
        <v>0.107</v>
      </c>
      <c r="G1883" s="11">
        <v>79357.0</v>
      </c>
      <c r="H1883" s="34" t="str">
        <f>IFERROR(__xludf.DUMMYFUNCTION("LOWER(REGEXREPLACE(B1883&amp;"" ""&amp;C1883,""[^а-яa-z0-9 ]"","" ""))"),"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с"&amp;"борки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f>
        <v>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v>
      </c>
    </row>
    <row r="1884">
      <c r="A1884" s="35" t="s">
        <v>4310</v>
      </c>
      <c r="B1884" s="31" t="s">
        <v>4311</v>
      </c>
      <c r="C1884" s="31" t="s">
        <v>4312</v>
      </c>
      <c r="D1884" s="37" t="s">
        <v>1507</v>
      </c>
      <c r="E1884" s="38">
        <v>2.0</v>
      </c>
      <c r="F1884" s="40">
        <v>0.09</v>
      </c>
      <c r="G1884" s="11">
        <v>117586.0</v>
      </c>
      <c r="H1884" s="34" t="str">
        <f>IFERROR(__xludf.DUMMYFUNCTION("LOWER(REGEXREPLACE(B1884&amp;"" ""&amp;C1884,""[^а-яa-z0-9 ]"","" ""))"),"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"&amp;"42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f>
        <v>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v>
      </c>
    </row>
    <row r="1885">
      <c r="A1885" s="35" t="s">
        <v>4313</v>
      </c>
      <c r="B1885" s="31" t="s">
        <v>4314</v>
      </c>
      <c r="C1885" s="31" t="s">
        <v>4315</v>
      </c>
      <c r="D1885" s="37" t="s">
        <v>1507</v>
      </c>
      <c r="E1885" s="38">
        <v>2.0</v>
      </c>
      <c r="F1885" s="40">
        <v>0.06</v>
      </c>
      <c r="G1885" s="11">
        <v>58794.0</v>
      </c>
      <c r="H1885" s="34" t="str">
        <f>IFERROR(__xludf.DUMMYFUNCTION("LOWER(REGEXREPLACE(B1885&amp;"" ""&amp;C1885,""[^а-яa-z0-9 ]"","" ""))"),"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восстанов"&amp;"ления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"&amp;"  и электронно лучевой пусковой контроллер  азмер пусковой штанги 1 8 дюйм")</f>
        <v>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и электронно лучевой пусковой контроллер  азмер пусковой штанги 1 8 дюйм</v>
      </c>
    </row>
    <row r="1886">
      <c r="A1886" s="35" t="s">
        <v>4316</v>
      </c>
      <c r="B1886" s="31" t="s">
        <v>4317</v>
      </c>
      <c r="C1886" s="31" t="s">
        <v>4318</v>
      </c>
      <c r="D1886" s="37" t="s">
        <v>1507</v>
      </c>
      <c r="E1886" s="38">
        <v>2.0</v>
      </c>
      <c r="F1886" s="40">
        <v>0.07</v>
      </c>
      <c r="G1886" s="11">
        <v>74533.0</v>
      </c>
      <c r="H1886" s="34" t="str">
        <f>IFERROR(__xludf.DUMMYFUNCTION("LOWER(REGEXREPLACE(B1886&amp;"" ""&amp;C1886,""[^а-яa-z0-9 ]"","" ""))"),"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дю"&amp;"йма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ш"&amp;"танги 1 8 дюйм")</f>
        <v>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штанги 1 8 дюйм</v>
      </c>
    </row>
    <row r="1887">
      <c r="A1887" s="35" t="s">
        <v>4319</v>
      </c>
      <c r="B1887" s="31" t="s">
        <v>4320</v>
      </c>
      <c r="C1887" s="31" t="s">
        <v>4321</v>
      </c>
      <c r="D1887" s="37" t="s">
        <v>1507</v>
      </c>
      <c r="E1887" s="38">
        <v>2.0</v>
      </c>
      <c r="F1887" s="40">
        <v>0.07</v>
      </c>
      <c r="G1887" s="11">
        <v>81280.0</v>
      </c>
      <c r="H1887" s="34" t="str">
        <f>IFERROR(__xludf.DUMMYFUNCTION("LOWER(REGEXREPLACE(B1887&amp;"" ""&amp;C1887,""[^а-яa-z0-9 ]"","" ""))"),"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1"&amp;"2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"&amp;" orta  ad    и электронно лучевой пусковой контроллер  азмер пусковой штанги 1 8 дюйм")</f>
        <v>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orta  ad    и электронно лучевой пусковой контроллер  азмер пусковой штанги 1 8 дюйм</v>
      </c>
    </row>
    <row r="1888">
      <c r="A1888" s="35" t="s">
        <v>4322</v>
      </c>
      <c r="B1888" s="31" t="s">
        <v>4323</v>
      </c>
      <c r="C1888" s="31" t="s">
        <v>4324</v>
      </c>
      <c r="D1888" s="37" t="s">
        <v>1507</v>
      </c>
      <c r="E1888" s="38">
        <v>2.0</v>
      </c>
      <c r="F1888" s="40">
        <v>0.19</v>
      </c>
      <c r="G1888" s="11">
        <v>198211.0</v>
      </c>
      <c r="H1888" s="34" t="str">
        <f>IFERROR(__xludf.DUMMYFUNCTION("LOWER(REGEXREPLACE(B1888&amp;"" ""&amp;C1888,""[^а-яa-z0-9 ]"","" ""))"),"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"&amp;"26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r"&amp;"o  eries     азмер пусковой штанги 3 16   axi  od  продается отдельно ")</f>
        <v>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ro  eries     азмер пусковой штанги 3 16   axi  od  продается отдельно </v>
      </c>
    </row>
    <row r="1889">
      <c r="A1889" s="35" t="s">
        <v>4325</v>
      </c>
      <c r="B1889" s="31" t="s">
        <v>4326</v>
      </c>
      <c r="C1889" s="31" t="s">
        <v>4327</v>
      </c>
      <c r="D1889" s="37" t="s">
        <v>1507</v>
      </c>
      <c r="E1889" s="38">
        <v>2.0</v>
      </c>
      <c r="F1889" s="42">
        <v>0.099</v>
      </c>
      <c r="G1889" s="11">
        <v>99269.0</v>
      </c>
      <c r="H1889" s="34" t="str">
        <f>IFERROR(__xludf.DUMMYFUNCTION("LOWER(REGEXREPLACE(B1889&amp;"" ""&amp;C1889,""[^а-яa-z0-9 ]"","" ""))"),"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лина"&amp;"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"&amp;"и    азмер пусковой штанги 3 16   axi  od  продается отдельно ")</f>
        <v>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и    азмер пусковой штанги 3 16   axi  od  продается отдельно </v>
      </c>
    </row>
    <row r="1890">
      <c r="A1890" s="35" t="s">
        <v>4328</v>
      </c>
      <c r="B1890" s="31" t="s">
        <v>4329</v>
      </c>
      <c r="C1890" s="31"/>
      <c r="D1890" s="37" t="s">
        <v>1507</v>
      </c>
      <c r="E1890" s="10"/>
      <c r="F1890" s="36"/>
      <c r="G1890" s="11"/>
      <c r="H1890" s="34" t="str">
        <f>IFERROR(__xludf.DUMMYFUNCTION("LOWER(REGEXREPLACE(B1890&amp;"" ""&amp;C1890,""[^а-яa-z0-9 ]"","" ""))")," тартер ")</f>
        <v> тартер </v>
      </c>
    </row>
    <row r="1891">
      <c r="A1891" s="35" t="s">
        <v>4330</v>
      </c>
      <c r="B1891" s="9" t="s">
        <v>4331</v>
      </c>
      <c r="C1891" s="31" t="s">
        <v>4332</v>
      </c>
      <c r="D1891" s="37" t="s">
        <v>1507</v>
      </c>
      <c r="E1891" s="38">
        <v>2.0</v>
      </c>
      <c r="F1891" s="42">
        <v>0.065</v>
      </c>
      <c r="G1891" s="11">
        <v>50664.0</v>
      </c>
      <c r="H1891" s="34" t="str">
        <f>IFERROR(__xludf.DUMMYFUNCTION("LOWER(REGEXREPLACE(B1891&amp;"" ""&amp;C1891,""[^а-яa-z0-9 ]"","" ""))"),"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ст"&amp;"артера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азнообр"&amp;"азные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f>
        <v>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v>
      </c>
    </row>
    <row r="1892">
      <c r="A1892" s="35" t="s">
        <v>4333</v>
      </c>
      <c r="B1892" s="9" t="s">
        <v>4334</v>
      </c>
      <c r="C1892" s="31" t="s">
        <v>4335</v>
      </c>
      <c r="D1892" s="37" t="s">
        <v>1507</v>
      </c>
      <c r="E1892" s="38">
        <v>2.0</v>
      </c>
      <c r="F1892" s="42">
        <v>0.025</v>
      </c>
      <c r="G1892" s="11">
        <v>50664.0</v>
      </c>
      <c r="H1892" s="34" t="str">
        <f>IFERROR(__xludf.DUMMYFUNCTION("LOWER(REGEXREPLACE(B1892&amp;"" ""&amp;C1892,""[^а-яa-z0-9 ]"","" ""))"),"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атериа"&amp;"л   рочный и огнеустойчивый материал  обеспечивающий надежную поддержку и безопасность ")</f>
        <v>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атериал   рочный и огнеустойчивый материал  обеспечивающий надежную поддержку и безопасность </v>
      </c>
    </row>
    <row r="1893">
      <c r="A1893" s="35" t="s">
        <v>4336</v>
      </c>
      <c r="B1893" s="31" t="s">
        <v>4337</v>
      </c>
      <c r="C1893" s="31"/>
      <c r="D1893" s="37" t="s">
        <v>14</v>
      </c>
      <c r="E1893" s="10"/>
      <c r="F1893" s="36"/>
      <c r="G1893" s="11"/>
      <c r="H1893" s="34" t="str">
        <f>IFERROR(__xludf.DUMMYFUNCTION("LOWER(REGEXREPLACE(B1893&amp;"" ""&amp;C1893,""[^а-яa-z0-9 ]"","" ""))")," арашют ")</f>
        <v> арашют </v>
      </c>
    </row>
    <row r="1894">
      <c r="A1894" s="35" t="s">
        <v>4338</v>
      </c>
      <c r="B1894" s="31" t="s">
        <v>4339</v>
      </c>
      <c r="C1894" s="31" t="s">
        <v>4340</v>
      </c>
      <c r="D1894" s="37" t="s">
        <v>14</v>
      </c>
      <c r="E1894" s="10"/>
      <c r="F1894" s="42">
        <v>0.023</v>
      </c>
      <c r="G1894" s="11">
        <v>64502.0</v>
      </c>
      <c r="H1894" s="34" t="str">
        <f>IFERROR(__xludf.DUMMYFUNCTION("LOWER(REGEXREPLACE(B1894&amp;"" ""&amp;C1894,""[^а-яa-z0-9 ]"","" ""))"),"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ма"&amp;"териал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раке"&amp;"т определенного веса и размера ")</f>
        <v>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ракет определенного веса и размера </v>
      </c>
    </row>
    <row r="1895">
      <c r="A1895" s="35" t="s">
        <v>4341</v>
      </c>
      <c r="B1895" s="31" t="s">
        <v>4342</v>
      </c>
      <c r="C1895" s="31" t="s">
        <v>4343</v>
      </c>
      <c r="D1895" s="37" t="s">
        <v>14</v>
      </c>
      <c r="E1895" s="10"/>
      <c r="F1895" s="40">
        <v>0.02</v>
      </c>
      <c r="G1895" s="11">
        <v>29657.0</v>
      </c>
      <c r="H1895" s="34" t="str">
        <f>IFERROR(__xludf.DUMMYFUNCTION("LOWER(REGEXREPLACE(B1895&amp;"" ""&amp;C1895,""[^а-яa-z0-9 ]"","" ""))"),"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обеспечивающи"&amp;"й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"&amp;"ес парашюта   егкий вес парашюта  что позволяет максимизировать эффективность и безопасность спуска ")</f>
        <v>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ес парашюта   егкий вес парашюта  что позволяет максимизировать эффективность и безопасность спуска </v>
      </c>
    </row>
    <row r="1896">
      <c r="A1896" s="35" t="s">
        <v>4344</v>
      </c>
      <c r="B1896" s="31" t="s">
        <v>4345</v>
      </c>
      <c r="C1896" s="31" t="s">
        <v>4346</v>
      </c>
      <c r="D1896" s="37" t="s">
        <v>14</v>
      </c>
      <c r="E1896" s="10"/>
      <c r="F1896" s="42">
        <v>0.013</v>
      </c>
      <c r="G1896" s="11">
        <v>26198.0</v>
      </c>
      <c r="H1896" s="34" t="str">
        <f>IFERROR(__xludf.DUMMYFUNCTION("LOWER(REGEXREPLACE(B1896&amp;"" ""&amp;C1896,""[^а-яa-z0-9 ]"","" ""))"),"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подобр"&amp;"анный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ес"&amp;" парашюта   инимальный вес парашюта  что позволяет использовать его с небольшими ракетами и сохранять стабильность полета ")</f>
        <v>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 парашюта   инимальный вес парашюта  что позволяет использовать его с небольшими ракетами и сохранять стабильность полета </v>
      </c>
    </row>
    <row r="1897">
      <c r="A1897" s="35" t="s">
        <v>4347</v>
      </c>
      <c r="B1897" s="31" t="s">
        <v>4348</v>
      </c>
      <c r="C1897" s="31"/>
      <c r="D1897" s="37" t="s">
        <v>1507</v>
      </c>
      <c r="E1897" s="10"/>
      <c r="F1897" s="36"/>
      <c r="G1897" s="11"/>
      <c r="H1897" s="34" t="str">
        <f>IFERROR(__xludf.DUMMYFUNCTION("LOWER(REGEXREPLACE(B1897&amp;"" ""&amp;C1897,""[^а-яa-z0-9 ]"","" ""))")," танция и контроллер запуска ")</f>
        <v> танция и контроллер запуска </v>
      </c>
    </row>
    <row r="1898">
      <c r="A1898" s="35" t="s">
        <v>4349</v>
      </c>
      <c r="B1898" s="31" t="s">
        <v>4350</v>
      </c>
      <c r="C1898" s="31" t="s">
        <v>4351</v>
      </c>
      <c r="D1898" s="37" t="s">
        <v>1507</v>
      </c>
      <c r="E1898" s="38">
        <v>2.0</v>
      </c>
      <c r="F1898" s="42">
        <v>0.309</v>
      </c>
      <c r="G1898" s="11">
        <v>62523.0</v>
      </c>
      <c r="H1898" s="34" t="str">
        <f>IFERROR(__xludf.DUMMYFUNCTION("LOWER(REGEXREPLACE(B1898&amp;"" ""&amp;C1898,""[^а-яa-z0-9 ]"","" ""))"),"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"&amp;"настройке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безопа"&amp;"сность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надежным"&amp;"и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f>
        <v>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v>
      </c>
    </row>
    <row r="1899">
      <c r="A1899" s="35" t="s">
        <v>4352</v>
      </c>
      <c r="B1899" s="31" t="s">
        <v>4353</v>
      </c>
      <c r="C1899" s="31" t="s">
        <v>4354</v>
      </c>
      <c r="D1899" s="37" t="s">
        <v>1507</v>
      </c>
      <c r="E1899" s="38">
        <v>2.0</v>
      </c>
      <c r="F1899" s="42">
        <v>0.862</v>
      </c>
      <c r="G1899" s="11">
        <v>78092.0</v>
      </c>
      <c r="H1899" s="34" t="str">
        <f>IFERROR(__xludf.DUMMYFUNCTION("LOWER(REGEXREPLACE(B1899&amp;"" ""&amp;C1899,""[^а-яa-z0-9 ]"","" ""))"),"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"&amp;"стабильной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"&amp;"ысокопрочный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егулируе"&amp;"мая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аксим"&amp;"альный диаметр ракеты   о 20 см  аксимальный угол наклона   о 60 градусов  ремя сборки   коло 30 минут")</f>
        <v>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аксимальный диаметр ракеты   о 20 см  аксимальный угол наклона   о 60 градусов  ремя сборки   коло 30 минут</v>
      </c>
    </row>
    <row r="1900">
      <c r="A1900" s="35" t="s">
        <v>4355</v>
      </c>
      <c r="B1900" s="31" t="s">
        <v>4356</v>
      </c>
      <c r="C1900" s="31" t="s">
        <v>4357</v>
      </c>
      <c r="D1900" s="37" t="s">
        <v>1507</v>
      </c>
      <c r="E1900" s="38">
        <v>2.0</v>
      </c>
      <c r="F1900" s="40">
        <v>0.15</v>
      </c>
      <c r="G1900" s="11">
        <v>71172.0</v>
      </c>
      <c r="H1900" s="34" t="str">
        <f>IFERROR(__xludf.DUMMYFUNCTION("LOWER(REGEXREPLACE(B1900&amp;"" ""&amp;C1900,""[^а-яa-z0-9 ]"","" ""))"),"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контр"&amp;"оллера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пос"&amp;"тоянного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па"&amp;"раметры   аксимальная нагрузка   о 5    адержка перед запуском   т 0 до 10 секунд  настраиваемо   ходное напряжение  12   постоянного тока")</f>
        <v>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параметры   аксимальная нагрузка   о 5    адержка перед запуском   т 0 до 10 секунд  настраиваемо   ходное напряжение  12   постоянного тока</v>
      </c>
    </row>
    <row r="1901">
      <c r="A1901" s="35" t="s">
        <v>4358</v>
      </c>
      <c r="B1901" s="31" t="s">
        <v>4359</v>
      </c>
      <c r="C1901" s="31" t="s">
        <v>4360</v>
      </c>
      <c r="D1901" s="37" t="s">
        <v>1507</v>
      </c>
      <c r="E1901" s="38">
        <v>2.0</v>
      </c>
      <c r="F1901" s="40">
        <v>0.15</v>
      </c>
      <c r="G1901" s="11">
        <v>81550.0</v>
      </c>
      <c r="H1901" s="34" t="str">
        <f>IFERROR(__xludf.DUMMYFUNCTION("LOWER(REGEXREPLACE(B1901&amp;"" ""&amp;C1901,""[^а-яa-z0-9 ]"","" ""))"),"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руковод"&amp;"ство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про"&amp;"граммирования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ро"&amp;"граммируемые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f>
        <v>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v>
      </c>
    </row>
    <row r="1902">
      <c r="A1902" s="35" t="s">
        <v>4361</v>
      </c>
      <c r="B1902" s="31" t="s">
        <v>4362</v>
      </c>
      <c r="C1902" s="31" t="s">
        <v>4363</v>
      </c>
      <c r="D1902" s="37" t="s">
        <v>1507</v>
      </c>
      <c r="E1902" s="38">
        <v>2.0</v>
      </c>
      <c r="F1902" s="42">
        <v>0.113</v>
      </c>
      <c r="G1902" s="11">
        <v>59314.0</v>
      </c>
      <c r="H1902" s="34" t="str">
        <f>IFERROR(__xludf.DUMMYFUNCTION("LOWER(REGEXREPLACE(B1902&amp;"" ""&amp;C1902,""[^а-яa-z0-9 ]"","" ""))"),"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подключен"&amp;"ия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уст"&amp;"ройства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1g"&amp;"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10"&amp;"0 грамм  овместимость с платформами   indows  i     ndroid и т д ")</f>
        <v>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100 грамм  овместимость с платформами   indows  i     ndroid и т д </v>
      </c>
    </row>
    <row r="1903">
      <c r="A1903" s="35" t="s">
        <v>4364</v>
      </c>
      <c r="B1903" s="31" t="s">
        <v>4365</v>
      </c>
      <c r="C1903" s="31" t="s">
        <v>4366</v>
      </c>
      <c r="D1903" s="37" t="s">
        <v>1507</v>
      </c>
      <c r="E1903" s="38">
        <v>2.0</v>
      </c>
      <c r="F1903" s="40">
        <v>2.54</v>
      </c>
      <c r="G1903" s="11">
        <v>80080.0</v>
      </c>
      <c r="H1903" s="34" t="str">
        <f>IFERROR(__xludf.DUMMYFUNCTION("LOWER(REGEXREPLACE(B1903&amp;"" ""&amp;C1903,""[^а-яa-z0-9 ]"","" ""))"),"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пециализиров"&amp;"анная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удерживающ"&amp;"ими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между"&amp;" ними   местимость   о 4 ребер одновременно  азмер формы   риблизительно 20x20 см  оличество отверстий  8 отверстий для ребер")</f>
        <v>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 ними   местимость   о 4 ребер одновременно  азмер формы   риблизительно 20x20 см  оличество отверстий  8 отверстий для ребер</v>
      </c>
    </row>
    <row r="1904">
      <c r="A1904" s="35" t="s">
        <v>4367</v>
      </c>
      <c r="B1904" s="31" t="s">
        <v>4368</v>
      </c>
      <c r="C1904" s="31" t="s">
        <v>4369</v>
      </c>
      <c r="D1904" s="37" t="s">
        <v>1507</v>
      </c>
      <c r="E1904" s="38">
        <v>2.0</v>
      </c>
      <c r="F1904" s="42">
        <v>0.028</v>
      </c>
      <c r="G1904" s="11">
        <v>61044.0</v>
      </c>
      <c r="H1904" s="34" t="str">
        <f>IFERROR(__xludf.DUMMYFUNCTION("LOWER(REGEXREPLACE(B1904&amp;"" ""&amp;C1904,""[^а-яa-z0-9 ]"","" ""))"),"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разра"&amp;"ботанный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ис"&amp;"тема маркировки на инструменте для определения точной позиции ребер   лина инструмента   риблизительно 15 см  олщина инструмента   риблизительно 1 см")</f>
        <v>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истема маркировки на инструменте для определения точной позиции ребер   лина инструмента   риблизительно 15 см  олщина инструмента   риблизительно 1 см</v>
      </c>
    </row>
    <row r="1905">
      <c r="A1905" s="35" t="s">
        <v>4370</v>
      </c>
      <c r="B1905" s="31" t="s">
        <v>4371</v>
      </c>
      <c r="C1905" s="31" t="s">
        <v>4372</v>
      </c>
      <c r="D1905" s="37" t="s">
        <v>1507</v>
      </c>
      <c r="E1905" s="38">
        <v>2.0</v>
      </c>
      <c r="F1905" s="40">
        <v>0.04</v>
      </c>
      <c r="G1905" s="11">
        <v>55855.0</v>
      </c>
      <c r="H1905" s="34" t="str">
        <f>IFERROR(__xludf.DUMMYFUNCTION("LOWER(REGEXREPLACE(B1905&amp;"" ""&amp;C1905,""[^а-яa-z0-9 ]"","" ""))"),"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уд"&amp;"обного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подста"&amp;"вки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f>
        <v>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v>
      </c>
    </row>
    <row r="1906">
      <c r="A1906" s="35" t="s">
        <v>4373</v>
      </c>
      <c r="B1906" s="31" t="s">
        <v>4374</v>
      </c>
      <c r="C1906" s="31"/>
      <c r="D1906" s="37" t="s">
        <v>1507</v>
      </c>
      <c r="E1906" s="10"/>
      <c r="F1906" s="36"/>
      <c r="G1906" s="11"/>
      <c r="H1906" s="34" t="str">
        <f>IFERROR(__xludf.DUMMYFUNCTION("LOWER(REGEXREPLACE(B1906&amp;"" ""&amp;C1906,""[^а-яa-z0-9 ]"","" ""))")," абинет по изучению основ микроэлектроники  радиотехники и телекоммуникации ")</f>
        <v> абинет по изучению основ микроэлектроники  радиотехники и телекоммуникации </v>
      </c>
    </row>
    <row r="1907">
      <c r="A1907" s="35" t="s">
        <v>4375</v>
      </c>
      <c r="B1907" s="31" t="s">
        <v>4376</v>
      </c>
      <c r="C1907" s="31"/>
      <c r="D1907" s="37" t="s">
        <v>1507</v>
      </c>
      <c r="E1907" s="10"/>
      <c r="F1907" s="36"/>
      <c r="G1907" s="11"/>
      <c r="H1907" s="34" t="str">
        <f>IFERROR(__xludf.DUMMYFUNCTION("LOWER(REGEXREPLACE(B1907&amp;"" ""&amp;C1907,""[^а-яa-z0-9 ]"","" ""))")," абор радиотехнический ")</f>
        <v> абор радиотехнический </v>
      </c>
    </row>
    <row r="1908">
      <c r="A1908" s="35" t="s">
        <v>4377</v>
      </c>
      <c r="B1908" s="31" t="s">
        <v>4378</v>
      </c>
      <c r="C1908" s="31" t="s">
        <v>4379</v>
      </c>
      <c r="D1908" s="37" t="s">
        <v>1507</v>
      </c>
      <c r="E1908" s="38">
        <v>2.0</v>
      </c>
      <c r="F1908" s="40">
        <v>5.75</v>
      </c>
      <c r="G1908" s="11">
        <v>2868221.0</v>
      </c>
      <c r="H1908" s="34" t="str">
        <f>IFERROR(__xludf.DUMMYFUNCTION("LOWER(REGEXREPLACE(B1908&amp;"" ""&amp;C1908,""[^а-яa-z0-9 ]"","" ""))"),"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f>
        <v>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v>
      </c>
    </row>
    <row r="1909">
      <c r="A1909" s="35" t="s">
        <v>4380</v>
      </c>
      <c r="B1909" s="31" t="s">
        <v>4381</v>
      </c>
      <c r="C1909" s="31" t="s">
        <v>4382</v>
      </c>
      <c r="D1909" s="37" t="s">
        <v>1507</v>
      </c>
      <c r="E1909" s="38">
        <v>2.0</v>
      </c>
      <c r="F1909" s="40">
        <v>7.95</v>
      </c>
      <c r="G1909" s="11">
        <v>2216160.0</v>
      </c>
      <c r="H1909" s="34" t="str">
        <f>IFERROR(__xludf.DUMMYFUNCTION("LOWER(REGEXREPLACE(B1909&amp;"" ""&amp;C1909,""[^а-яa-z0-9 ]"","" ""))"),"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"&amp;"системы и сенсоры для ориентации и навигации   одробные учебные материалы по сборке  программированию и тестированию аппарата ")</f>
        <v>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системы и сенсоры для ориентации и навигации   одробные учебные материалы по сборке  программированию и тестированию аппарата </v>
      </c>
    </row>
    <row r="1910">
      <c r="A1910" s="35" t="s">
        <v>4383</v>
      </c>
      <c r="B1910" s="9" t="s">
        <v>4384</v>
      </c>
      <c r="C1910" s="31" t="s">
        <v>4385</v>
      </c>
      <c r="D1910" s="37" t="s">
        <v>1507</v>
      </c>
      <c r="E1910" s="38">
        <v>2.0</v>
      </c>
      <c r="F1910" s="42">
        <v>0.134</v>
      </c>
      <c r="G1910" s="11">
        <v>325182.0</v>
      </c>
      <c r="H1910" s="34" t="str">
        <f>IFERROR(__xludf.DUMMYFUNCTION("LOWER(REGEXREPLACE(B1910&amp;"" ""&amp;C1910,""[^а-яa-z0-9 ]"","" ""))"),"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уп"&amp;"равления механизмами   ополнительные компоненты  резисторы       кнопки и т  д     чебные материалы с примерами проектов и инструкциями ")</f>
        <v>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управления механизмами   ополнительные компоненты  резисторы       кнопки и т  д     чебные материалы с примерами проектов и инструкциями </v>
      </c>
    </row>
    <row r="1911">
      <c r="A1911" s="35" t="s">
        <v>4386</v>
      </c>
      <c r="B1911" s="31" t="s">
        <v>4387</v>
      </c>
      <c r="C1911" s="31" t="s">
        <v>4388</v>
      </c>
      <c r="D1911" s="37" t="s">
        <v>1507</v>
      </c>
      <c r="E1911" s="38">
        <v>2.0</v>
      </c>
      <c r="F1911" s="36"/>
      <c r="G1911" s="11">
        <v>3985535.0</v>
      </c>
      <c r="H1911" s="34" t="str">
        <f>IFERROR(__xludf.DUMMYFUNCTION("LOWER(REGEXREPLACE(B1911&amp;"" ""&amp;C1911,""[^а-яa-z0-9 ]"","" ""))"),"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"&amp;"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дифф"&amp;"еренциальных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ифров"&amp;"ой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с"&amp;"троенные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генератор"&amp;"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ых"&amp;"одной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де"&amp;"л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2"&amp;"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полос"&amp;"а и светодиоды для отображения состояния  амок безопасности для крепления экспериментальных плат  ащита от кражи  порт для замка  ensington ")</f>
        <v>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полоса и светодиоды для отображения состояния  амок безопасности для крепления экспериментальных плат  ащита от кражи  порт для замка  ensington </v>
      </c>
    </row>
    <row r="1912">
      <c r="A1912" s="35" t="s">
        <v>4389</v>
      </c>
      <c r="B1912" s="31" t="s">
        <v>4390</v>
      </c>
      <c r="C1912" s="31"/>
      <c r="D1912" s="37" t="s">
        <v>1507</v>
      </c>
      <c r="E1912" s="10"/>
      <c r="F1912" s="36"/>
      <c r="G1912" s="11"/>
      <c r="H1912" s="34" t="str">
        <f>IFERROR(__xludf.DUMMYFUNCTION("LOWER(REGEXREPLACE(B1912&amp;"" ""&amp;C1912,""[^а-яa-z0-9 ]"","" ""))")," елекоммуникационные технологии ")</f>
        <v> елекоммуникационные технологии </v>
      </c>
    </row>
    <row r="1913">
      <c r="A1913" s="35" t="s">
        <v>4391</v>
      </c>
      <c r="B1913" s="31" t="s">
        <v>4392</v>
      </c>
      <c r="C1913" s="31" t="s">
        <v>4393</v>
      </c>
      <c r="D1913" s="37" t="s">
        <v>1507</v>
      </c>
      <c r="E1913" s="10"/>
      <c r="F1913" s="36"/>
      <c r="G1913" s="11">
        <v>3514593.0</v>
      </c>
      <c r="H1913" s="34" t="str">
        <f>IFERROR(__xludf.DUMMYFUNCTION("LOWER(REGEXREPLACE(B1913&amp;"" ""&amp;C1913,""[^а-яa-z0-9 ]"","" ""))"),"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ко"&amp;"торой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"&amp;"цифровой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f>
        <v>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v>
      </c>
    </row>
    <row r="1914">
      <c r="A1914" s="35" t="s">
        <v>4394</v>
      </c>
      <c r="B1914" s="31" t="s">
        <v>4395</v>
      </c>
      <c r="C1914" s="31" t="s">
        <v>4396</v>
      </c>
      <c r="D1914" s="37" t="s">
        <v>1507</v>
      </c>
      <c r="E1914" s="10"/>
      <c r="F1914" s="36"/>
      <c r="G1914" s="11">
        <v>4002553.0</v>
      </c>
      <c r="H1914" s="34" t="str">
        <f>IFERROR(__xludf.DUMMYFUNCTION("LOWER(REGEXREPLACE(B1914&amp;"" ""&amp;C1914,""[^а-яa-z0-9 ]"","" ""))"),"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осто"&amp;"ит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с"&amp;"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характеристическог"&amp;"о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оптич"&amp;"еской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частот"&amp;"ы  оде модуль  ополнительные функции")</f>
        <v>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частоты  оде модуль  ополнительные функции</v>
      </c>
    </row>
    <row r="1915">
      <c r="A1915" s="35" t="s">
        <v>4397</v>
      </c>
      <c r="B1915" s="31" t="s">
        <v>4398</v>
      </c>
      <c r="C1915" s="31" t="s">
        <v>4399</v>
      </c>
      <c r="D1915" s="37" t="s">
        <v>1507</v>
      </c>
      <c r="E1915" s="10"/>
      <c r="F1915" s="36"/>
      <c r="G1915" s="11">
        <v>4010321.0</v>
      </c>
      <c r="H1915" s="34" t="str">
        <f>IFERROR(__xludf.DUMMYFUNCTION("LOWER(REGEXREPLACE(B1915&amp;"" ""&amp;C1915,""[^а-яa-z0-9 ]"","" ""))"),"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обработк"&amp;"е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теле"&amp;"фонов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"&amp;"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инхрон"&amp;"изация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держ"&amp;"ателе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оп"&amp;"тических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помощью"&amp;" специального программного обеспечения   хват учебной программы  арактеристики импульсных носителей  енерация          естественный             пектр    ")</f>
        <v>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v>
      </c>
    </row>
    <row r="1916">
      <c r="A1916" s="35" t="s">
        <v>4400</v>
      </c>
      <c r="B1916" s="31" t="s">
        <v>4401</v>
      </c>
      <c r="C1916" s="31" t="s">
        <v>4402</v>
      </c>
      <c r="D1916" s="37" t="s">
        <v>1507</v>
      </c>
      <c r="E1916" s="10"/>
      <c r="F1916" s="36"/>
      <c r="G1916" s="11">
        <v>2623952.0</v>
      </c>
      <c r="H1916" s="34" t="str">
        <f>IFERROR(__xludf.DUMMYFUNCTION("LOWER(REGEXREPLACE(B1916&amp;"" ""&amp;C1916,""[^а-яa-z0-9 ]"","" ""))"),"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оптовол"&amp;"оконные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"&amp;"и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беспроводных"&amp;"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для"&amp;"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относятс"&amp;"я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п"&amp;"одавители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об"&amp;"новление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исполь"&amp;"зуемые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f>
        <v>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v>
      </c>
    </row>
    <row r="1917">
      <c r="A1917" s="35" t="s">
        <v>4403</v>
      </c>
      <c r="B1917" s="31" t="s">
        <v>4404</v>
      </c>
      <c r="C1917" s="31" t="s">
        <v>4405</v>
      </c>
      <c r="D1917" s="37" t="s">
        <v>1507</v>
      </c>
      <c r="E1917" s="10"/>
      <c r="F1917" s="36"/>
      <c r="G1917" s="11">
        <v>3274717.0</v>
      </c>
      <c r="H1917" s="34" t="str">
        <f>IFERROR(__xludf.DUMMYFUNCTION("LOWER(REGEXREPLACE(B1917&amp;"" ""&amp;C1917,""[^а-яa-z0-9 ]"","" ""))"),"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сдви"&amp;"гом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мплит"&amp;"удная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ча"&amp;"стотной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бнару"&amp;"жение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проведени"&amp;"я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обеспечения"&amp;"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сдвигов"&amp;"ым ключом во временной области  игналы со сдвиговым ключом в частотной области")</f>
        <v>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v>
      </c>
    </row>
    <row r="1918">
      <c r="A1918" s="35" t="s">
        <v>4406</v>
      </c>
      <c r="B1918" s="31" t="s">
        <v>4407</v>
      </c>
      <c r="C1918" s="31" t="s">
        <v>4408</v>
      </c>
      <c r="D1918" s="37" t="s">
        <v>1507</v>
      </c>
      <c r="E1918" s="10"/>
      <c r="F1918" s="36"/>
      <c r="G1918" s="11">
        <v>2479622.0</v>
      </c>
      <c r="H1918" s="34" t="str">
        <f>IFERROR(__xludf.DUMMYFUNCTION("LOWER(REGEXREPLACE(B1918&amp;"" ""&amp;C1918,""[^а-яa-z0-9 ]"","" ""))"),"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в"&amp;"ключая инструкции по подключению  программированию и примеры проектов   рограммное обеспечение для программирования и тестирования      ")</f>
        <v>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включая инструкции по подключению  программированию и примеры проектов   рограммное обеспечение для программирования и тестирования      </v>
      </c>
    </row>
    <row r="1919">
      <c r="A1919" s="35" t="s">
        <v>4409</v>
      </c>
      <c r="B1919" s="31" t="s">
        <v>4410</v>
      </c>
      <c r="C1919" s="31" t="s">
        <v>4411</v>
      </c>
      <c r="D1919" s="37" t="s">
        <v>1507</v>
      </c>
      <c r="E1919" s="10"/>
      <c r="F1919" s="36"/>
      <c r="G1919" s="11">
        <v>4010078.0</v>
      </c>
      <c r="H1919" s="34" t="str">
        <f>IFERROR(__xludf.DUMMYFUNCTION("LOWER(REGEXREPLACE(B1919&amp;"" ""&amp;C1919,""[^а-яa-z0-9 ]"","" ""))"),"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рограмм"&amp;"ное обеспечение для моделирования и анализа радиосигналов ")</f>
        <v>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рограммное обеспечение для моделирования и анализа радиосигналов </v>
      </c>
    </row>
    <row r="1920">
      <c r="A1920" s="35" t="s">
        <v>4412</v>
      </c>
      <c r="B1920" s="31" t="s">
        <v>4413</v>
      </c>
      <c r="C1920" s="31" t="s">
        <v>4414</v>
      </c>
      <c r="D1920" s="37" t="s">
        <v>1507</v>
      </c>
      <c r="E1920" s="10"/>
      <c r="F1920" s="36"/>
      <c r="G1920" s="11">
        <v>189041.0</v>
      </c>
      <c r="H1920" s="34" t="str">
        <f>IFERROR(__xludf.DUMMYFUNCTION("LOWER(REGEXREPLACE(B1920&amp;"" ""&amp;C1920,""[^а-яa-z0-9 ]"","" ""))"),"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f>
        <v>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v>
      </c>
    </row>
    <row r="1921">
      <c r="A1921" s="35" t="s">
        <v>4415</v>
      </c>
      <c r="B1921" s="31" t="s">
        <v>4416</v>
      </c>
      <c r="C1921" s="31" t="s">
        <v>4417</v>
      </c>
      <c r="D1921" s="37" t="s">
        <v>1507</v>
      </c>
      <c r="E1921" s="10"/>
      <c r="F1921" s="36"/>
      <c r="G1921" s="11">
        <v>255168.0</v>
      </c>
      <c r="H1921" s="34" t="str">
        <f>IFERROR(__xludf.DUMMYFUNCTION("LOWER(REGEXREPLACE(B1921&amp;"" ""&amp;C1921,""[^а-яa-z0-9 ]"","" ""))"),"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"&amp;"руководство по использованию компонентов  созданию электронных схем и монтажу на     ")</f>
        <v>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руководство по использованию компонентов  созданию электронных схем и монтажу на     </v>
      </c>
    </row>
    <row r="1922">
      <c r="A1922" s="35" t="s">
        <v>4418</v>
      </c>
      <c r="B1922" s="31" t="s">
        <v>4419</v>
      </c>
      <c r="C1922" s="31"/>
      <c r="D1922" s="36"/>
      <c r="E1922" s="10"/>
      <c r="F1922" s="36"/>
      <c r="G1922" s="11"/>
      <c r="H1922" s="34" t="str">
        <f>IFERROR(__xludf.DUMMYFUNCTION("LOWER(REGEXREPLACE(B1922&amp;"" ""&amp;C1922,""[^а-яa-z0-9 ]"","" ""))")," абинет авиамоделирования ")</f>
        <v> абинет авиамоделирования </v>
      </c>
    </row>
    <row r="1923">
      <c r="A1923" s="35" t="s">
        <v>4420</v>
      </c>
      <c r="B1923" s="31" t="s">
        <v>4421</v>
      </c>
      <c r="C1923" s="31"/>
      <c r="D1923" s="37" t="s">
        <v>1507</v>
      </c>
      <c r="E1923" s="10"/>
      <c r="F1923" s="36"/>
      <c r="G1923" s="11"/>
      <c r="H1923" s="34" t="str">
        <f>IFERROR(__xludf.DUMMYFUNCTION("LOWER(REGEXREPLACE(B1923&amp;"" ""&amp;C1923,""[^а-яa-z0-9 ]"","" ""))")," аборы по авиамоделированию ")</f>
        <v> аборы по авиамоделированию </v>
      </c>
    </row>
    <row r="1924">
      <c r="A1924" s="35" t="s">
        <v>4422</v>
      </c>
      <c r="B1924" s="31" t="s">
        <v>4423</v>
      </c>
      <c r="C1924" s="31" t="s">
        <v>4424</v>
      </c>
      <c r="D1924" s="37" t="s">
        <v>1507</v>
      </c>
      <c r="E1924" s="38">
        <v>2.0</v>
      </c>
      <c r="F1924" s="40">
        <v>0.67</v>
      </c>
      <c r="G1924" s="11">
        <v>117331.0</v>
      </c>
      <c r="H1924" s="34" t="str">
        <f>IFERROR(__xludf.DUMMYFUNCTION("LOWER(REGEXREPLACE(B1924&amp;"" ""&amp;C1924,""[^а-яa-z0-9 ]"","" ""))"),"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"&amp;" комплект входят 4 батарейки типа    ell ")</f>
        <v>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комплект входят 4 батарейки типа    ell </v>
      </c>
    </row>
    <row r="1925">
      <c r="A1925" s="35" t="s">
        <v>4425</v>
      </c>
      <c r="B1925" s="31" t="s">
        <v>4426</v>
      </c>
      <c r="C1925" s="31" t="s">
        <v>4427</v>
      </c>
      <c r="D1925" s="37" t="s">
        <v>1507</v>
      </c>
      <c r="E1925" s="38">
        <v>2.0</v>
      </c>
      <c r="F1925" s="42">
        <v>0.545</v>
      </c>
      <c r="G1925" s="11">
        <v>103355.0</v>
      </c>
      <c r="H1925" s="34" t="str">
        <f>IFERROR(__xludf.DUMMYFUNCTION("LOWER(REGEXREPLACE(B1925&amp;"" ""&amp;C1925,""[^а-яa-z0-9 ]"","" ""))"),"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f>
        <v>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v>
      </c>
    </row>
    <row r="1926">
      <c r="A1926" s="35" t="s">
        <v>4428</v>
      </c>
      <c r="B1926" s="31" t="s">
        <v>4429</v>
      </c>
      <c r="C1926" s="31" t="s">
        <v>4430</v>
      </c>
      <c r="D1926" s="37" t="s">
        <v>1507</v>
      </c>
      <c r="E1926" s="38">
        <v>2.0</v>
      </c>
      <c r="F1926" s="40">
        <v>0.76</v>
      </c>
      <c r="G1926" s="11">
        <v>157623.0</v>
      </c>
      <c r="H1926" s="34" t="str">
        <f>IFERROR(__xludf.DUMMYFUNCTION("LOWER(REGEXREPLACE(B1926&amp;"" ""&amp;C1926,""[^а-яa-z0-9 ]"","" ""))"),"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бата"&amp;"рейки типа    ell ")</f>
        <v>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батарейки типа    ell </v>
      </c>
    </row>
    <row r="1927">
      <c r="A1927" s="35" t="s">
        <v>4431</v>
      </c>
      <c r="B1927" s="31" t="s">
        <v>4432</v>
      </c>
      <c r="C1927" s="31"/>
      <c r="D1927" s="37" t="s">
        <v>1507</v>
      </c>
      <c r="E1927" s="10"/>
      <c r="F1927" s="36"/>
      <c r="G1927" s="11"/>
      <c r="H1927" s="34" t="str">
        <f>IFERROR(__xludf.DUMMYFUNCTION("LOWER(REGEXREPLACE(B1927&amp;"" ""&amp;C1927,""[^а-яa-z0-9 ]"","" ""))")," борочные модели  детали  аппараты по авиамоделированию ")</f>
        <v> борочные модели  детали  аппараты по авиамоделированию </v>
      </c>
    </row>
    <row r="1928">
      <c r="A1928" s="35" t="s">
        <v>4433</v>
      </c>
      <c r="B1928" s="31" t="s">
        <v>4434</v>
      </c>
      <c r="C1928" s="31" t="s">
        <v>4435</v>
      </c>
      <c r="D1928" s="37" t="s">
        <v>1507</v>
      </c>
      <c r="E1928" s="38">
        <v>2.0</v>
      </c>
      <c r="F1928" s="39">
        <v>2.8</v>
      </c>
      <c r="G1928" s="11">
        <v>398215.0</v>
      </c>
      <c r="H1928" s="34" t="str">
        <f>IFERROR(__xludf.DUMMYFUNCTION("LOWER(REGEXREPLACE(B1928&amp;"" ""&amp;C1928,""[^а-яa-z0-9 ]"","" ""))"),"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б"&amp;"есщеточный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f>
        <v>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v>
      </c>
    </row>
    <row r="1929">
      <c r="A1929" s="35" t="s">
        <v>4436</v>
      </c>
      <c r="B1929" s="31" t="s">
        <v>4437</v>
      </c>
      <c r="C1929" s="31" t="s">
        <v>4438</v>
      </c>
      <c r="D1929" s="37" t="s">
        <v>1507</v>
      </c>
      <c r="E1929" s="38">
        <v>2.0</v>
      </c>
      <c r="F1929" s="40">
        <v>0.16</v>
      </c>
      <c r="G1929" s="11">
        <v>440618.0</v>
      </c>
      <c r="H1929" s="34" t="str">
        <f>IFERROR(__xludf.DUMMYFUNCTION("LOWER(REGEXREPLACE(B1929&amp;"" ""&amp;C1929,""[^а-яa-z0-9 ]"","" ""))")," етательное крыло типа  via raft  xplore  it  азмах крыльев  990 мм  лина  730 мм  ес  160 г  лощадь крыла  11 17dm2  sq dm   агрузка на крыло  14 3 г дм2  5 4 унции кв фут ")</f>
        <v> етательное крыло типа  via raft  xplore  it  азмах крыльев  990 мм  лина  730 мм  ес  160 г  лощадь крыла  11 17dm2  sq dm   агрузка на крыло  14 3 г дм2  5 4 унции кв фут </v>
      </c>
    </row>
    <row r="1930">
      <c r="A1930" s="35" t="s">
        <v>4439</v>
      </c>
      <c r="B1930" s="31" t="s">
        <v>4440</v>
      </c>
      <c r="C1930" s="31" t="s">
        <v>4441</v>
      </c>
      <c r="D1930" s="37" t="s">
        <v>1507</v>
      </c>
      <c r="E1930" s="38">
        <v>2.0</v>
      </c>
      <c r="F1930" s="40">
        <v>0.89</v>
      </c>
      <c r="G1930" s="11">
        <v>408297.0</v>
      </c>
      <c r="H1930" s="34" t="str">
        <f>IFERROR(__xludf.DUMMYFUNCTION("LOWER(REGEXREPLACE(B1930&amp;"" ""&amp;C1930,""[^а-яa-z0-9 ]"","" ""))"),"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толкающ"&amp;"ие пропеллеры    гловые конические поверхности крыла и хвоста     пции     в носу и козырьке самолета    рыло из двух частей для быстрой сборки и хранения ")</f>
        <v>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толкающие пропеллеры    гловые конические поверхности крыла и хвоста     пции     в носу и козырьке самолета    рыло из двух частей для быстрой сборки и хранения </v>
      </c>
    </row>
    <row r="1931">
      <c r="A1931" s="35" t="s">
        <v>4442</v>
      </c>
      <c r="B1931" s="31" t="s">
        <v>4443</v>
      </c>
      <c r="C1931" s="31" t="s">
        <v>4444</v>
      </c>
      <c r="D1931" s="37" t="s">
        <v>1507</v>
      </c>
      <c r="E1931" s="38">
        <v>2.0</v>
      </c>
      <c r="F1931" s="40">
        <v>0.67</v>
      </c>
      <c r="G1931" s="11">
        <v>504874.0</v>
      </c>
      <c r="H1931" s="34" t="str">
        <f>IFERROR(__xludf.DUMMYFUNCTION("LOWER(REGEXREPLACE(B1931&amp;"" ""&amp;C1931,""[^а-яa-z0-9 ]"","" ""))"),"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f>
        <v>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v>
      </c>
    </row>
    <row r="1932">
      <c r="A1932" s="35" t="s">
        <v>4445</v>
      </c>
      <c r="B1932" s="31" t="s">
        <v>4446</v>
      </c>
      <c r="C1932" s="31" t="s">
        <v>4447</v>
      </c>
      <c r="D1932" s="37" t="s">
        <v>1507</v>
      </c>
      <c r="E1932" s="38">
        <v>2.0</v>
      </c>
      <c r="F1932" s="40">
        <v>0.75</v>
      </c>
      <c r="G1932" s="11">
        <v>408160.0</v>
      </c>
      <c r="H1932" s="34" t="str">
        <f>IFERROR(__xludf.DUMMYFUNCTION("LOWER(REGEXREPLACE(B1932&amp;"" ""&amp;C1932,""[^а-яa-z0-9 ]"","" ""))"),"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f>
        <v>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v>
      </c>
    </row>
    <row r="1933">
      <c r="A1933" s="35" t="s">
        <v>4448</v>
      </c>
      <c r="B1933" s="31" t="s">
        <v>4449</v>
      </c>
      <c r="C1933" s="31" t="s">
        <v>4450</v>
      </c>
      <c r="D1933" s="37" t="s">
        <v>1507</v>
      </c>
      <c r="E1933" s="38">
        <v>2.0</v>
      </c>
      <c r="F1933" s="42">
        <v>0.425</v>
      </c>
      <c r="G1933" s="11">
        <v>417247.0</v>
      </c>
      <c r="H1933" s="34" t="str">
        <f>IFERROR(__xludf.DUMMYFUNCTION("LOWER(REGEXREPLACE(B1933&amp;"" ""&amp;C1933,""[^а-яa-z0-9 ]"","" ""))"),"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но"&amp;"вичок эксперт   ервоприводы  9г x 4  ропеллер  8x6 4 лопасти")</f>
        <v>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новичок эксперт   ервоприводы  9г x 4  ропеллер  8x6 4 лопасти</v>
      </c>
    </row>
    <row r="1934">
      <c r="A1934" s="35" t="s">
        <v>4451</v>
      </c>
      <c r="B1934" s="31" t="s">
        <v>4452</v>
      </c>
      <c r="C1934" s="31" t="s">
        <v>4453</v>
      </c>
      <c r="D1934" s="37" t="s">
        <v>1507</v>
      </c>
      <c r="E1934" s="38">
        <v>2.0</v>
      </c>
      <c r="F1934" s="40">
        <v>0.25</v>
      </c>
      <c r="G1934" s="11">
        <v>564833.0</v>
      </c>
      <c r="H1934" s="34" t="str">
        <f>IFERROR(__xludf.DUMMYFUNCTION("LOWER(REGEXREPLACE(B1934&amp;"" ""&amp;C1934,""[^а-яa-z0-9 ]"","" ""))"),"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егул"&amp;"ятор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отд"&amp;"ельно  риблизительное время сборки  борка не требуется  атериал    ")</f>
        <v>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отдельно  риблизительное время сборки  борка не требуется  атериал    </v>
      </c>
    </row>
    <row r="1935">
      <c r="A1935" s="35" t="s">
        <v>4454</v>
      </c>
      <c r="B1935" s="31" t="s">
        <v>4455</v>
      </c>
      <c r="C1935" s="31" t="s">
        <v>4456</v>
      </c>
      <c r="D1935" s="37" t="s">
        <v>1507</v>
      </c>
      <c r="E1935" s="38">
        <v>2.0</v>
      </c>
      <c r="F1935" s="40">
        <v>0.12</v>
      </c>
      <c r="G1935" s="11">
        <v>98999.0</v>
      </c>
      <c r="H1935" s="34" t="str">
        <f>IFERROR(__xludf.DUMMYFUNCTION("LOWER(REGEXREPLACE(B1935&amp;"" ""&amp;C1935,""[^а-яa-z0-9 ]"","" ""))"),"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креп"&amp;"ление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"&amp;"моделях  обеспечивая точные и надежные измерения ")</f>
        <v>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моделях  обеспечивая точные и надежные измерения </v>
      </c>
    </row>
    <row r="1936">
      <c r="A1936" s="13" t="s">
        <v>4457</v>
      </c>
      <c r="B1936" s="30"/>
      <c r="C1936" s="31"/>
      <c r="D1936" s="30"/>
      <c r="E1936" s="32"/>
      <c r="F1936" s="30"/>
      <c r="G1936" s="33"/>
      <c r="H1936" s="34" t="str">
        <f>IFERROR(__xludf.DUMMYFUNCTION("LOWER(REGEXREPLACE(B1936&amp;"" ""&amp;C1936,""[^а-яa-z0-9 ]"","" ""))")," ")</f>
        <v> </v>
      </c>
    </row>
    <row r="1937">
      <c r="A1937" s="35" t="s">
        <v>4458</v>
      </c>
      <c r="B1937" s="31" t="s">
        <v>4459</v>
      </c>
      <c r="C1937" s="31"/>
      <c r="D1937" s="36"/>
      <c r="E1937" s="10"/>
      <c r="F1937" s="36"/>
      <c r="G1937" s="11"/>
      <c r="H1937" s="34" t="str">
        <f>IFERROR(__xludf.DUMMYFUNCTION("LOWER(REGEXREPLACE(B1937&amp;"" ""&amp;C1937,""[^а-яa-z0-9 ]"","" ""))")," уризм и спортивные игры ")</f>
        <v> уризм и спортивные игры </v>
      </c>
    </row>
    <row r="1938">
      <c r="A1938" s="35" t="s">
        <v>4460</v>
      </c>
      <c r="B1938" s="31" t="s">
        <v>4461</v>
      </c>
      <c r="C1938" s="31"/>
      <c r="D1938" s="37" t="s">
        <v>14</v>
      </c>
      <c r="E1938" s="10"/>
      <c r="F1938" s="36"/>
      <c r="G1938" s="11"/>
      <c r="H1938" s="34" t="str">
        <f>IFERROR(__xludf.DUMMYFUNCTION("LOWER(REGEXREPLACE(B1938&amp;"" ""&amp;C1938,""[^а-яa-z0-9 ]"","" ""))")," илетка игровая с номером ")</f>
        <v> илетка игровая с номером </v>
      </c>
    </row>
    <row r="1939">
      <c r="A1939" s="35" t="s">
        <v>4462</v>
      </c>
      <c r="B1939" s="31" t="s">
        <v>4463</v>
      </c>
      <c r="C1939" s="31" t="s">
        <v>4464</v>
      </c>
      <c r="D1939" s="37" t="s">
        <v>14</v>
      </c>
      <c r="E1939" s="38">
        <v>1.0</v>
      </c>
      <c r="F1939" s="40">
        <v>0.25</v>
      </c>
      <c r="G1939" s="11">
        <v>2486.0</v>
      </c>
      <c r="H1939" s="34" t="str">
        <f>IFERROR(__xludf.DUMMYFUNCTION("LOWER(REGEXREPLACE(B1939&amp;"" ""&amp;C1939,""[^а-яa-z0-9 ]"","" ""))")," илетка игровая с номером     010  илетка игровая с номером  манишки      010   атериал манишки сетка   кань 100  полиэстер   ез окантовки")</f>
        <v> илетка игровая с номером     010  илетка игровая с номером  манишки      010   атериал манишки сетка   кань 100  полиэстер   ез окантовки</v>
      </c>
    </row>
    <row r="1940">
      <c r="A1940" s="35" t="s">
        <v>4465</v>
      </c>
      <c r="B1940" s="31" t="s">
        <v>4466</v>
      </c>
      <c r="C1940" s="31"/>
      <c r="D1940" s="37" t="s">
        <v>14</v>
      </c>
      <c r="E1940" s="10"/>
      <c r="F1940" s="36"/>
      <c r="G1940" s="11"/>
      <c r="H1940" s="34" t="str">
        <f>IFERROR(__xludf.DUMMYFUNCTION("LOWER(REGEXREPLACE(B1940&amp;"" ""&amp;C1940,""[^а-яa-z0-9 ]"","" ""))")," асы шахматные механические ")</f>
        <v> асы шахматные механические </v>
      </c>
    </row>
    <row r="1941">
      <c r="A1941" s="35" t="s">
        <v>4467</v>
      </c>
      <c r="B1941" s="31" t="s">
        <v>4466</v>
      </c>
      <c r="C1941" s="31" t="s">
        <v>4468</v>
      </c>
      <c r="D1941" s="37" t="s">
        <v>14</v>
      </c>
      <c r="E1941" s="38">
        <v>1.0</v>
      </c>
      <c r="F1941" s="39">
        <v>0.4</v>
      </c>
      <c r="G1941" s="11">
        <v>21124.0</v>
      </c>
      <c r="H1941" s="34" t="str">
        <f>IFERROR(__xludf.DUMMYFUNCTION("LOWER(REGEXREPLACE(B1941&amp;"" ""&amp;C1941,""[^а-яa-z0-9 ]"","" ""))")," асы шахматные механические  асы шахматные механические ")</f>
        <v> асы шахматные механические  асы шахматные механические </v>
      </c>
    </row>
    <row r="1942">
      <c r="A1942" s="13" t="s">
        <v>4469</v>
      </c>
      <c r="B1942" s="30"/>
      <c r="C1942" s="31"/>
      <c r="D1942" s="30"/>
      <c r="E1942" s="32"/>
      <c r="F1942" s="30"/>
      <c r="G1942" s="33"/>
      <c r="H1942" s="34" t="str">
        <f>IFERROR(__xludf.DUMMYFUNCTION("LOWER(REGEXREPLACE(B1942&amp;"" ""&amp;C1942,""[^а-яa-z0-9 ]"","" ""))")," ")</f>
        <v> </v>
      </c>
    </row>
    <row r="1943">
      <c r="A1943" s="35" t="s">
        <v>4470</v>
      </c>
      <c r="B1943" s="31" t="s">
        <v>1621</v>
      </c>
      <c r="C1943" s="31"/>
      <c r="D1943" s="36"/>
      <c r="E1943" s="10"/>
      <c r="F1943" s="36"/>
      <c r="G1943" s="11"/>
      <c r="H1943" s="34" t="str">
        <f>IFERROR(__xludf.DUMMYFUNCTION("LOWER(REGEXREPLACE(B1943&amp;"" ""&amp;C1943,""[^а-яa-z0-9 ]"","" ""))")," нновационное и высокотехнологичное оборудование для занятий робототехникой  исследовательской и проектной деятельностью ")</f>
        <v> нновационное и высокотехнологичное оборудование для занятий робототехникой  исследовательской и проектной деятельностью </v>
      </c>
    </row>
    <row r="1944">
      <c r="A1944" s="35" t="s">
        <v>4471</v>
      </c>
      <c r="B1944" s="31" t="s">
        <v>4472</v>
      </c>
      <c r="C1944" s="31"/>
      <c r="D1944" s="37" t="s">
        <v>14</v>
      </c>
      <c r="E1944" s="10"/>
      <c r="F1944" s="36"/>
      <c r="G1944" s="11"/>
      <c r="H1944" s="34" t="str">
        <f>IFERROR(__xludf.DUMMYFUNCTION("LOWER(REGEXREPLACE(B1944&amp;"" ""&amp;C1944,""[^а-яa-z0-9 ]"","" ""))"),"3   принтер с пластиком для печати ")</f>
        <v>3   принтер с пластиком для печати </v>
      </c>
    </row>
    <row r="1945">
      <c r="A1945" s="35" t="s">
        <v>4473</v>
      </c>
      <c r="B1945" s="31" t="s">
        <v>4474</v>
      </c>
      <c r="C1945" s="31"/>
      <c r="D1945" s="37" t="s">
        <v>14</v>
      </c>
      <c r="E1945" s="10"/>
      <c r="F1945" s="36"/>
      <c r="G1945" s="11">
        <v>98125.0</v>
      </c>
      <c r="H1945" s="34" t="str">
        <f>IFERROR(__xludf.DUMMYFUNCTION("LOWER(REGEXREPLACE(B1945&amp;"" ""&amp;C1945,""[^а-яa-z0-9 ]"","" ""))")," ринтер     aser et  211dw   4  29ppm  600x600dpi  64 b             i  i  tray 100 150  duplex ")</f>
        <v> ринтер     aser et  211dw   4  29ppm  600x600dpi  64 b             i  i  tray 100 150  duplex </v>
      </c>
    </row>
    <row r="1946">
      <c r="A1946" s="35" t="s">
        <v>4475</v>
      </c>
      <c r="B1946" s="31" t="s">
        <v>4476</v>
      </c>
      <c r="C1946" s="31"/>
      <c r="D1946" s="37" t="s">
        <v>14</v>
      </c>
      <c r="E1946" s="10"/>
      <c r="F1946" s="36"/>
      <c r="G1946" s="11">
        <v>144552.0</v>
      </c>
      <c r="H1946" s="34" t="str">
        <f>IFERROR(__xludf.DUMMYFUNCTION("LOWER(REGEXREPLACE(B1946&amp;"" ""&amp;C1946,""[^а-яa-z0-9 ]"","" ""))")," ринтер     aser et      404dn  4  print 1200x1200dpi  38ppm            tray 150 pages ")</f>
        <v> ринтер     aser et      404dn  4  print 1200x1200dpi  38ppm            tray 150 pages </v>
      </c>
    </row>
    <row r="1947">
      <c r="A1947" s="35" t="s">
        <v>4477</v>
      </c>
      <c r="B1947" s="31" t="s">
        <v>4478</v>
      </c>
      <c r="C1947" s="31"/>
      <c r="D1947" s="37" t="s">
        <v>14</v>
      </c>
      <c r="E1947" s="10"/>
      <c r="F1947" s="36"/>
      <c r="G1947" s="11">
        <v>165089.0</v>
      </c>
      <c r="H1947" s="34" t="str">
        <f>IFERROR(__xludf.DUMMYFUNCTION("LOWER(REGEXREPLACE(B1947&amp;"" ""&amp;C1947,""[^а-яa-z0-9 ]"","" ""))")," ринтер  erox  310      4  print 1200x1200dpi  40ppm  tray 900 pages             i  i  duplex ")</f>
        <v> ринтер  erox  310      4  print 1200x1200dpi  40ppm  tray 900 pages             i  i  duplex </v>
      </c>
    </row>
    <row r="1948">
      <c r="A1948" s="35" t="s">
        <v>4479</v>
      </c>
      <c r="B1948" s="31" t="s">
        <v>4480</v>
      </c>
      <c r="C1948" s="31"/>
      <c r="D1948" s="37" t="s">
        <v>14</v>
      </c>
      <c r="E1948" s="10"/>
      <c r="F1948" s="36"/>
      <c r="G1948" s="11">
        <v>271115.0</v>
      </c>
      <c r="H1948" s="34" t="str">
        <f>IFERROR(__xludf.DUMMYFUNCTION("LOWER(REGEXREPLACE(B1948&amp;"" ""&amp;C1948,""[^а-яa-z0-9 ]"","" ""))")," ринтер     aser et  nterprise  455dn   4  27 27ppm  600x600dpi  1 25 b  800  z          tray150 250 ")</f>
        <v> ринтер     aser et  nterprise  455dn   4  27 27ppm  600x600dpi  1 25 b  800  z          tray150 250 </v>
      </c>
    </row>
    <row r="1949">
      <c r="A1949" s="35" t="s">
        <v>4481</v>
      </c>
      <c r="B1949" s="31" t="s">
        <v>4482</v>
      </c>
      <c r="C1949" s="31"/>
      <c r="D1949" s="37" t="s">
        <v>14</v>
      </c>
      <c r="E1949" s="10"/>
      <c r="F1949" s="36"/>
      <c r="G1949" s="11">
        <v>207834.0</v>
      </c>
      <c r="H1949" s="34" t="str">
        <f>IFERROR(__xludf.DUMMYFUNCTION("LOWER(REGEXREPLACE(B1949&amp;"" ""&amp;C1949,""[^а-яa-z0-9 ]"","" ""))")," ринтер     aser et  ro  454dn   4  27 27ppm  1200x1200dpi  tray 150 page  50000 стр мес       ")</f>
        <v> ринтер     aser et  ro  454dn   4  27 27ppm  1200x1200dpi  tray 150 page  50000 стр мес       </v>
      </c>
    </row>
    <row r="1950">
      <c r="A1950" s="35" t="s">
        <v>4483</v>
      </c>
      <c r="B1950" s="9" t="s">
        <v>4484</v>
      </c>
      <c r="C1950" s="31"/>
      <c r="D1950" s="37" t="s">
        <v>14</v>
      </c>
      <c r="E1950" s="10"/>
      <c r="F1950" s="38">
        <v>38.0</v>
      </c>
      <c r="G1950" s="11">
        <v>1022285.0</v>
      </c>
      <c r="H1950" s="34" t="str">
        <f>IFERROR(__xludf.DUMMYFUNCTION("LOWER(REGEXREPLACE(B1950&amp;"" ""&amp;C1950,""[^а-яa-z0-9 ]"","" ""))"),"3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точно"&amp;"сть печати  0 2 мм ")</f>
        <v>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точность печати  0 2 мм </v>
      </c>
    </row>
    <row r="1951">
      <c r="A1951" s="35" t="s">
        <v>4485</v>
      </c>
      <c r="B1951" s="9" t="s">
        <v>4486</v>
      </c>
      <c r="C1951" s="31"/>
      <c r="D1951" s="37" t="s">
        <v>14</v>
      </c>
      <c r="E1951" s="10"/>
      <c r="F1951" s="38">
        <v>26.0</v>
      </c>
      <c r="G1951" s="11">
        <v>671843.0</v>
      </c>
      <c r="H1951" s="34" t="str">
        <f>IFERROR(__xludf.DUMMYFUNCTION("LOWER(REGEXREPLACE(B1951&amp;"" ""&amp;C1951,""[^а-яa-z0-9 ]"","" ""))"),"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печати"&amp;" 220 200 250 мм  8 67 7 87 9 84 дюйма   толщина слоя 0 1 мм 0 4 мм  точность печати  0 1 мм  тест куба 100 мм   ")</f>
        <v>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 220 200 250 мм  8 67 7 87 9 84 дюйма   толщина слоя 0 1 мм 0 4 мм  точность печати  0 1 мм  тест куба 100 мм   </v>
      </c>
    </row>
    <row r="1952">
      <c r="A1952" s="35" t="s">
        <v>4487</v>
      </c>
      <c r="B1952" s="31" t="s">
        <v>4488</v>
      </c>
      <c r="C1952" s="31"/>
      <c r="D1952" s="37" t="s">
        <v>14</v>
      </c>
      <c r="E1952" s="10"/>
      <c r="F1952" s="39">
        <v>15.6</v>
      </c>
      <c r="G1952" s="11">
        <v>281882.0</v>
      </c>
      <c r="H1952" s="34" t="str">
        <f>IFERROR(__xludf.DUMMYFUNCTION("LOWER(REGEXREPLACE(B1952&amp;"" ""&amp;C1952,""[^а-яa-z0-9 ]"","" ""))"),"3   ринтер  lashforge  inder  филамент  экструдер с прямым приводом  точность печати  0 2 мм  скорость печати  180мм с  объем сборки 190 195 200мм  поддерживаемая нить                                 95  ")</f>
        <v>3   ринтер  lashforge  inder  филамент  экструдер с прямым приводом  точность печати  0 2 мм  скорость печати  180мм с  объем сборки 190 195 200мм  поддерживаемая нить                                 95  </v>
      </c>
    </row>
    <row r="1953">
      <c r="A1953" s="35" t="s">
        <v>4489</v>
      </c>
      <c r="B1953" s="31" t="s">
        <v>4490</v>
      </c>
      <c r="C1953" s="31"/>
      <c r="D1953" s="37" t="s">
        <v>14</v>
      </c>
      <c r="E1953" s="10"/>
      <c r="F1953" s="39">
        <v>16.5</v>
      </c>
      <c r="G1953" s="11">
        <v>663721.0</v>
      </c>
      <c r="H1953" s="34" t="str">
        <f>IFERROR(__xludf.DUMMYFUNCTION("LOWER(REGEXREPLACE(B1953&amp;"" ""&amp;C1953,""[^а-яa-z0-9 ]"","" ""))"),"3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"&amp;"мм  точность печати  0 2 мм ")</f>
        <v>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мм  точность печати  0 2 мм </v>
      </c>
    </row>
    <row r="1954">
      <c r="A1954" s="35" t="s">
        <v>4491</v>
      </c>
      <c r="B1954" s="31" t="s">
        <v>4492</v>
      </c>
      <c r="C1954" s="31"/>
      <c r="D1954" s="37" t="s">
        <v>14</v>
      </c>
      <c r="E1954" s="10"/>
      <c r="F1954" s="39">
        <v>21.5</v>
      </c>
      <c r="G1954" s="11">
        <v>484328.0</v>
      </c>
      <c r="H1954" s="34" t="str">
        <f>IFERROR(__xludf.DUMMYFUNCTION("LOWER(REGEXREPLACE(B1954&amp;"" ""&amp;C1954,""[^а-яa-z0-9 ]"","" ""))"),"3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f>
        <v>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v>
      </c>
    </row>
    <row r="1955">
      <c r="A1955" s="35" t="s">
        <v>4493</v>
      </c>
      <c r="B1955" s="9" t="s">
        <v>4494</v>
      </c>
      <c r="C1955" s="31"/>
      <c r="D1955" s="37" t="s">
        <v>14</v>
      </c>
      <c r="E1955" s="10"/>
      <c r="F1955" s="39">
        <v>12.6</v>
      </c>
      <c r="G1955" s="11">
        <v>336497.0</v>
      </c>
      <c r="H1955" s="34" t="str">
        <f>IFERROR(__xludf.DUMMYFUNCTION("LOWER(REGEXREPLACE(B1955&amp;"" ""&amp;C1955,""[^а-яa-z0-9 ]"","" ""))"),"3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м"&amp;"м 0 4 мм  точность печати  0 2 мм ")</f>
        <v>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мм 0 4 мм  точность печати  0 2 мм </v>
      </c>
    </row>
    <row r="1956">
      <c r="A1956" s="35" t="s">
        <v>4495</v>
      </c>
      <c r="B1956" s="31" t="s">
        <v>4496</v>
      </c>
      <c r="C1956" s="31"/>
      <c r="D1956" s="37" t="s">
        <v>14</v>
      </c>
      <c r="E1956" s="38">
        <v>2.0</v>
      </c>
      <c r="F1956" s="38">
        <v>30.0</v>
      </c>
      <c r="G1956" s="11">
        <v>3386628.0</v>
      </c>
      <c r="H1956" s="34" t="str">
        <f>IFERROR(__xludf.DUMMYFUNCTION("LOWER(REGEXREPLACE(B1956&amp;"" ""&amp;C1956,""[^а-яa-z0-9 ]"","" ""))"),"3  принтер  диаметр выходного отверстия 0 4мм  максимальная скорость перемещения выходного отверстия по осям       250 мм с типа  ool ool           3  ")</f>
        <v>3  принтер  диаметр выходного отверстия 0 4мм  максимальная скорость перемещения выходного отверстия по осям       250 мм с типа  ool ool           3  </v>
      </c>
    </row>
    <row r="1957">
      <c r="A1957" s="35" t="s">
        <v>4497</v>
      </c>
      <c r="B1957" s="31" t="s">
        <v>4498</v>
      </c>
      <c r="C1957" s="31" t="s">
        <v>4499</v>
      </c>
      <c r="D1957" s="37" t="s">
        <v>68</v>
      </c>
      <c r="E1957" s="10"/>
      <c r="F1957" s="39">
        <v>3.3</v>
      </c>
      <c r="G1957" s="11">
        <v>249113.0</v>
      </c>
      <c r="H1957" s="34" t="str">
        <f>IFERROR(__xludf.DUMMYFUNCTION("LOWER(REGEXREPLACE(B1957&amp;"" ""&amp;C1957,""[^а-яa-z0-9 ]"","" ""))"),"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ко"&amp;"мпоненты  1000   еталей 15х  гровых компонентов   иссии ")</f>
        <v>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компоненты  1000   еталей 15х  гровых компонентов   иссии </v>
      </c>
    </row>
    <row r="1958">
      <c r="A1958" s="35" t="s">
        <v>4500</v>
      </c>
      <c r="B1958" s="9" t="s">
        <v>4501</v>
      </c>
      <c r="C1958" s="31" t="s">
        <v>4502</v>
      </c>
      <c r="D1958" s="37" t="s">
        <v>1507</v>
      </c>
      <c r="E1958" s="10"/>
      <c r="F1958" s="40">
        <v>3.56</v>
      </c>
      <c r="G1958" s="11">
        <v>458648.0</v>
      </c>
      <c r="H1958" s="34" t="str">
        <f>IFERROR(__xludf.DUMMYFUNCTION("LOWER(REGEXREPLACE(B1958&amp;"" ""&amp;C1958,""[^а-яa-z0-9 ]"","" ""))"),"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робототехнике"&amp;"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теме"&amp;" сезона  международной программы        700  деталей ")</f>
        <v>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 сезона  международной программы        700  деталей </v>
      </c>
    </row>
    <row r="1959">
      <c r="A1959" s="35" t="s">
        <v>4503</v>
      </c>
      <c r="B1959" s="31" t="s">
        <v>4504</v>
      </c>
      <c r="C1959" s="31" t="s">
        <v>4505</v>
      </c>
      <c r="D1959" s="37" t="s">
        <v>68</v>
      </c>
      <c r="E1959" s="10"/>
      <c r="F1959" s="42">
        <v>36.287</v>
      </c>
      <c r="G1959" s="11">
        <v>1046859.0</v>
      </c>
      <c r="H1959" s="34" t="str">
        <f>IFERROR(__xludf.DUMMYFUNCTION("LOWER(REGEXREPLACE(B1959&amp;"" ""&amp;C1959,""[^а-яa-z0-9 ]"","" ""))"),"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соревнованиях"&amp;"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f>
        <v>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v>
      </c>
    </row>
    <row r="1960">
      <c r="A1960" s="35" t="s">
        <v>4506</v>
      </c>
      <c r="B1960" s="31" t="s">
        <v>4507</v>
      </c>
      <c r="C1960" s="31"/>
      <c r="D1960" s="37" t="s">
        <v>1507</v>
      </c>
      <c r="E1960" s="10"/>
      <c r="F1960" s="36"/>
      <c r="G1960" s="11"/>
      <c r="H1960" s="34" t="str">
        <f>IFERROR(__xludf.DUMMYFUNCTION("LOWER(REGEXREPLACE(B1960&amp;"" ""&amp;C1960,""[^а-яa-z0-9 ]"",""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f>
        <v>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v>
      </c>
    </row>
    <row r="1961">
      <c r="A1961" s="35" t="s">
        <v>4508</v>
      </c>
      <c r="B1961" s="31" t="s">
        <v>4509</v>
      </c>
      <c r="C1961" s="31" t="s">
        <v>4510</v>
      </c>
      <c r="D1961" s="37" t="s">
        <v>1507</v>
      </c>
      <c r="E1961" s="38">
        <v>2.0</v>
      </c>
      <c r="F1961" s="42">
        <v>3.146</v>
      </c>
      <c r="G1961" s="11">
        <v>662786.0</v>
      </c>
      <c r="H1961" s="34" t="str">
        <f>IFERROR(__xludf.DUMMYFUNCTION("LOWER(REGEXREPLACE(B1961&amp;"" ""&amp;C1961,""[^а-яa-z0-9 ]"",""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омпл"&amp;"ект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"&amp;"4   уководство по работе с командой 1 шт  5   уководство по подготовке команды 6   гровое поле x 1 7   гровые элементы по теме сезона        1000  деталей ")</f>
        <v>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4   уководство по работе с командой 1 шт  5   уководство по подготовке команды 6   гровое поле x 1 7   гровые элементы по теме сезона        1000  деталей </v>
      </c>
    </row>
    <row r="1962">
      <c r="A1962" s="35" t="s">
        <v>4511</v>
      </c>
      <c r="B1962" s="31" t="s">
        <v>4512</v>
      </c>
      <c r="C1962" s="31" t="s">
        <v>4513</v>
      </c>
      <c r="D1962" s="37" t="s">
        <v>1507</v>
      </c>
      <c r="E1962" s="38">
        <v>2.0</v>
      </c>
      <c r="F1962" s="40">
        <v>0.94</v>
      </c>
      <c r="G1962" s="11">
        <v>320059.0</v>
      </c>
      <c r="H1962" s="34" t="str">
        <f>IFERROR(__xludf.DUMMYFUNCTION("LOWER(REGEXREPLACE(B1962&amp;"" ""&amp;C1962,""[^а-яa-z0-9 ]"",""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"&amp;"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"&amp;"528 шт строительных элементов  ")</f>
        <v>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528 шт строительных элементов  </v>
      </c>
    </row>
    <row r="1963">
      <c r="A1963" s="35" t="s">
        <v>4514</v>
      </c>
      <c r="B1963" s="31" t="s">
        <v>4515</v>
      </c>
      <c r="C1963" s="31"/>
      <c r="D1963" s="37" t="s">
        <v>1507</v>
      </c>
      <c r="E1963" s="38">
        <v>2.0</v>
      </c>
      <c r="F1963" s="39">
        <v>3.8</v>
      </c>
      <c r="G1963" s="11">
        <v>815453.0</v>
      </c>
      <c r="H1963" s="34" t="str">
        <f>IFERROR(__xludf.DUMMYFUNCTION("LOWER(REGEXREPLACE(B1963&amp;"" ""&amp;C1963,""[^а-яa-z0-9 ]"",""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f>
        <v>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v>
      </c>
    </row>
    <row r="1964">
      <c r="A1964" s="35" t="s">
        <v>4516</v>
      </c>
      <c r="B1964" s="9" t="s">
        <v>4517</v>
      </c>
      <c r="C1964" s="31" t="s">
        <v>4518</v>
      </c>
      <c r="D1964" s="37" t="s">
        <v>1507</v>
      </c>
      <c r="E1964" s="38">
        <v>2.0</v>
      </c>
      <c r="F1964" s="39">
        <v>3.3</v>
      </c>
      <c r="G1964" s="11">
        <v>763809.0</v>
      </c>
      <c r="H1964" s="34" t="str">
        <f>IFERROR(__xludf.DUMMYFUNCTION("LOWER(REGEXREPLACE(B1964&amp;"" ""&amp;C1964,""[^а-яa-z0-9 ]"","" ""))"),"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ермисто"&amp;"р  ккумулятор и зарядное устройство  етали для сборки конструкции  тандартный пластиковый лоток  ratnells  2  х х   427х312х150 мм")</f>
        <v>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ермистор  ккумулятор и зарядное устройство  етали для сборки конструкции  тандартный пластиковый лоток  ratnells  2  х х   427х312х150 мм</v>
      </c>
    </row>
    <row r="1965">
      <c r="A1965" s="35" t="s">
        <v>4519</v>
      </c>
      <c r="B1965" s="31" t="s">
        <v>4520</v>
      </c>
      <c r="C1965" s="31" t="s">
        <v>4521</v>
      </c>
      <c r="D1965" s="37" t="s">
        <v>14</v>
      </c>
      <c r="E1965" s="38">
        <v>2.0</v>
      </c>
      <c r="F1965" s="39">
        <v>0.1</v>
      </c>
      <c r="G1965" s="11">
        <v>56101.0</v>
      </c>
      <c r="H1965" s="34" t="str">
        <f>IFERROR(__xludf.DUMMYFUNCTION("LOWER(REGEXREPLACE(B1965&amp;"" ""&amp;C1965,""[^а-яa-z0-9 ]"","" ""))"),"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f>
        <v>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v>
      </c>
    </row>
    <row r="1966">
      <c r="A1966" s="35" t="s">
        <v>4522</v>
      </c>
      <c r="B1966" s="9" t="s">
        <v>4523</v>
      </c>
      <c r="C1966" s="31" t="s">
        <v>4524</v>
      </c>
      <c r="D1966" s="37" t="s">
        <v>1507</v>
      </c>
      <c r="E1966" s="38">
        <v>2.0</v>
      </c>
      <c r="F1966" s="39">
        <v>0.5</v>
      </c>
      <c r="G1966" s="11">
        <v>117744.0</v>
      </c>
      <c r="H1966" s="34" t="str">
        <f>IFERROR(__xludf.DUMMYFUNCTION("LOWER(REGEXREPLACE(B1966&amp;"" ""&amp;C1966,""[^а-яa-z0-9 ]"","" ""))"),"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f>
        <v>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v>
      </c>
    </row>
    <row r="1967">
      <c r="A1967" s="35" t="s">
        <v>4525</v>
      </c>
      <c r="B1967" s="9" t="s">
        <v>4526</v>
      </c>
      <c r="C1967" s="31" t="s">
        <v>4527</v>
      </c>
      <c r="D1967" s="37" t="s">
        <v>1507</v>
      </c>
      <c r="E1967" s="38">
        <v>2.0</v>
      </c>
      <c r="F1967" s="39">
        <v>0.5</v>
      </c>
      <c r="G1967" s="11">
        <v>269227.0</v>
      </c>
      <c r="H1967" s="34" t="str">
        <f>IFERROR(__xludf.DUMMYFUNCTION("LOWER(REGEXREPLACE(B1967&amp;"" ""&amp;C1967,""[^а-яa-z0-9 ]"","" ""))"),"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f>
        <v>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v>
      </c>
    </row>
    <row r="1968">
      <c r="A1968" s="35" t="s">
        <v>4528</v>
      </c>
      <c r="B1968" s="9" t="s">
        <v>4529</v>
      </c>
      <c r="C1968" s="31" t="s">
        <v>4530</v>
      </c>
      <c r="D1968" s="37" t="s">
        <v>1507</v>
      </c>
      <c r="E1968" s="38">
        <v>2.0</v>
      </c>
      <c r="F1968" s="38">
        <v>1.0</v>
      </c>
      <c r="G1968" s="11">
        <v>269228.0</v>
      </c>
      <c r="H1968" s="34" t="str">
        <f>IFERROR(__xludf.DUMMYFUNCTION("LOWER(REGEXREPLACE(B1968&amp;"" ""&amp;C1968,""[^а-яa-z0-9 ]"","" ""))"),"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другие"&amp;" детали  всего в количестве 200 штук ")</f>
        <v>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 детали  всего в количестве 200 штук </v>
      </c>
    </row>
    <row r="1969">
      <c r="A1969" s="35" t="s">
        <v>4531</v>
      </c>
      <c r="B1969" s="31" t="s">
        <v>4532</v>
      </c>
      <c r="C1969" s="31"/>
      <c r="D1969" s="37" t="s">
        <v>1507</v>
      </c>
      <c r="E1969" s="10"/>
      <c r="F1969" s="36"/>
      <c r="G1969" s="11"/>
      <c r="H1969" s="34" t="str">
        <f>IFERROR(__xludf.DUMMYFUNCTION("LOWER(REGEXREPLACE(B1969&amp;"" ""&amp;C1969,""[^а-яa-z0-9 ]"","" ""))")," абор для подготовки к соревнованиям по робототехнике ")</f>
        <v> абор для подготовки к соревнованиям по робототехнике </v>
      </c>
    </row>
    <row r="1970">
      <c r="A1970" s="35" t="s">
        <v>4533</v>
      </c>
      <c r="B1970" s="31" t="s">
        <v>4534</v>
      </c>
      <c r="C1970" s="31" t="s">
        <v>4535</v>
      </c>
      <c r="D1970" s="37" t="s">
        <v>1507</v>
      </c>
      <c r="E1970" s="38">
        <v>2.0</v>
      </c>
      <c r="F1970" s="40">
        <v>3.75</v>
      </c>
      <c r="G1970" s="11">
        <v>689767.0</v>
      </c>
      <c r="H1970" s="34" t="str">
        <f>IFERROR(__xludf.DUMMYFUNCTION("LOWER(REGEXREPLACE(B1970&amp;"" ""&amp;C1970,""[^а-яa-z0-9 ]"","" ""))"),"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соответствов"&amp;"ать сезона соревнования ")</f>
        <v>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соответствовать сезона соревнования </v>
      </c>
    </row>
    <row r="1971">
      <c r="A1971" s="35" t="s">
        <v>4536</v>
      </c>
      <c r="B1971" s="31" t="s">
        <v>4537</v>
      </c>
      <c r="C1971" s="31" t="s">
        <v>4538</v>
      </c>
      <c r="D1971" s="37" t="s">
        <v>1507</v>
      </c>
      <c r="E1971" s="38">
        <v>2.0</v>
      </c>
      <c r="F1971" s="39">
        <v>4.9</v>
      </c>
      <c r="G1971" s="11">
        <v>530328.0</v>
      </c>
      <c r="H1971" s="34" t="str">
        <f>IFERROR(__xludf.DUMMYFUNCTION("LOWER(REGEXREPLACE(B1971&amp;"" ""&amp;C1971,""[^а-яa-z0-9 ]"","" ""))")," абор для подготовки к соревнованиям типа  xperia    09 1 шт   строенный светодиод    ")</f>
        <v> абор для подготовки к соревнованиям типа  xperia    09 1 шт   строенный светодиод    </v>
      </c>
    </row>
    <row r="1972">
      <c r="A1972" s="35" t="s">
        <v>4539</v>
      </c>
      <c r="B1972" s="31" t="s">
        <v>4540</v>
      </c>
      <c r="C1972" s="31" t="s">
        <v>4541</v>
      </c>
      <c r="D1972" s="37" t="s">
        <v>1507</v>
      </c>
      <c r="E1972" s="10"/>
      <c r="F1972" s="42">
        <v>30.691</v>
      </c>
      <c r="G1972" s="11">
        <v>689854.0</v>
      </c>
      <c r="H1972" s="34" t="str">
        <f>IFERROR(__xludf.DUMMYFUNCTION("LOWER(REGEXREPLACE(B1972&amp;"" ""&amp;C1972,""[^а-яa-z0-9 ]"","" ""))"),"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and"&amp;"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иск"&amp;"усственного интеллекта")</f>
        <v>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искусственного интеллекта</v>
      </c>
    </row>
    <row r="1973">
      <c r="A1973" s="35" t="s">
        <v>4542</v>
      </c>
      <c r="B1973" s="9" t="s">
        <v>4543</v>
      </c>
      <c r="C1973" s="31" t="s">
        <v>4544</v>
      </c>
      <c r="D1973" s="37" t="s">
        <v>1507</v>
      </c>
      <c r="E1973" s="38">
        <v>2.0</v>
      </c>
      <c r="F1973" s="39">
        <v>0.6</v>
      </c>
      <c r="G1973" s="11">
        <v>184356.0</v>
      </c>
      <c r="H1973" s="34" t="str">
        <f>IFERROR(__xludf.DUMMYFUNCTION("LOWER(REGEXREPLACE(B1973&amp;"" ""&amp;C1973,""[^а-яa-z0-9 ]"","" ""))"),"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о"&amp;"тслеживания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"&amp;"   1 сервопривод  комплект соединительных проводов    2 колеса    1 колесо металический шар    1 инструмент для разборки")</f>
        <v>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v>
      </c>
    </row>
    <row r="1974">
      <c r="A1974" s="35" t="s">
        <v>4545</v>
      </c>
      <c r="B1974" s="31" t="s">
        <v>4546</v>
      </c>
      <c r="C1974" s="31"/>
      <c r="D1974" s="37" t="s">
        <v>1507</v>
      </c>
      <c r="E1974" s="10"/>
      <c r="F1974" s="36"/>
      <c r="G1974" s="11"/>
      <c r="H1974" s="34" t="str">
        <f>IFERROR(__xludf.DUMMYFUNCTION("LOWER(REGEXREPLACE(B1974&amp;"" ""&amp;C1974,""[^а-яa-z0-9 ]"","" ""))")," абор робототехнический ")</f>
        <v> абор робототехнический </v>
      </c>
    </row>
    <row r="1975">
      <c r="A1975" s="35" t="s">
        <v>4547</v>
      </c>
      <c r="B1975" s="31" t="s">
        <v>4548</v>
      </c>
      <c r="C1975" s="31" t="s">
        <v>4549</v>
      </c>
      <c r="D1975" s="37" t="s">
        <v>1507</v>
      </c>
      <c r="E1975" s="38">
        <v>2.0</v>
      </c>
      <c r="F1975" s="40">
        <v>1.24</v>
      </c>
      <c r="G1975" s="11">
        <v>75374.0</v>
      </c>
      <c r="H1975" s="34" t="str">
        <f>IFERROR(__xludf.DUMMYFUNCTION("LOWER(REGEXREPLACE(B1975&amp;"" ""&amp;C1975,""[^а-яa-z0-9 ]"","" ""))"),"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да"&amp;"тчики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"&amp;"для датчиков   ежим связи       luetooth  2 4    овместимость  олее 500 электронных и механических деталей из сборных блоков  кубики        aspberry  i")</f>
        <v>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для датчиков   ежим связи       luetooth  2 4    овместимость  олее 500 электронных и механических деталей из сборных блоков  кубики        aspberry  i</v>
      </c>
    </row>
    <row r="1976">
      <c r="A1976" s="35" t="s">
        <v>4550</v>
      </c>
      <c r="B1976" s="31" t="s">
        <v>4551</v>
      </c>
      <c r="C1976" s="31" t="s">
        <v>4552</v>
      </c>
      <c r="D1976" s="37" t="s">
        <v>1507</v>
      </c>
      <c r="E1976" s="38">
        <v>2.0</v>
      </c>
      <c r="F1976" s="39">
        <v>1.2</v>
      </c>
      <c r="G1976" s="11">
        <v>311068.0</v>
      </c>
      <c r="H1976" s="34" t="str">
        <f>IFERROR(__xludf.DUMMYFUNCTION("LOWER(REGEXREPLACE(B1976&amp;"" ""&amp;C1976,""[^а-яa-z0-9 ]"","" ""))"),"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пр"&amp;"еобразования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f>
        <v>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v>
      </c>
    </row>
    <row r="1977">
      <c r="A1977" s="35" t="s">
        <v>4553</v>
      </c>
      <c r="B1977" s="31" t="s">
        <v>4554</v>
      </c>
      <c r="C1977" s="31" t="s">
        <v>4555</v>
      </c>
      <c r="D1977" s="37" t="s">
        <v>1507</v>
      </c>
      <c r="E1977" s="38">
        <v>2.0</v>
      </c>
      <c r="F1977" s="40">
        <v>1.86</v>
      </c>
      <c r="G1977" s="11">
        <v>427168.0</v>
      </c>
      <c r="H1977" s="34" t="str">
        <f>IFERROR(__xludf.DUMMYFUNCTION("LOWER(REGEXREPLACE(B1977&amp;"" ""&amp;C1977,""[^а-яa-z0-9 ]"",""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1шт"&amp;"   i  i  luetooth модуль   1шт   кселерометр   1шт   ополнительная плата расширения   1шт ")</f>
        <v>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   i  i  luetooth модуль   1шт   кселерометр   1шт   ополнительная плата расширения   1шт </v>
      </c>
    </row>
    <row r="1978">
      <c r="A1978" s="35" t="s">
        <v>4556</v>
      </c>
      <c r="B1978" s="31" t="s">
        <v>4557</v>
      </c>
      <c r="C1978" s="31" t="s">
        <v>4558</v>
      </c>
      <c r="D1978" s="37" t="s">
        <v>1507</v>
      </c>
      <c r="E1978" s="38">
        <v>2.0</v>
      </c>
      <c r="F1978" s="40">
        <v>1.84</v>
      </c>
      <c r="G1978" s="11">
        <v>386700.0</v>
      </c>
      <c r="H1978" s="34" t="str">
        <f>IFERROR(__xludf.DUMMYFUNCTION("LOWER(REGEXREPLACE(B1978&amp;"" ""&amp;C1978,""[^а-яa-z0-9 ]"",""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1шт"&amp;"   ополнительная плата расширения   1шт ")</f>
        <v>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   ополнительная плата расширения   1шт </v>
      </c>
    </row>
    <row r="1979">
      <c r="A1979" s="35" t="s">
        <v>4559</v>
      </c>
      <c r="B1979" s="31" t="s">
        <v>4560</v>
      </c>
      <c r="C1979" s="31" t="s">
        <v>4561</v>
      </c>
      <c r="D1979" s="37" t="s">
        <v>1507</v>
      </c>
      <c r="E1979" s="38">
        <v>2.0</v>
      </c>
      <c r="F1979" s="38">
        <v>2.0</v>
      </c>
      <c r="G1979" s="11">
        <v>178835.0</v>
      </c>
      <c r="H1979" s="34" t="str">
        <f>IFERROR(__xludf.DUMMYFUNCTION("LOWER(REGEXREPLACE(B1979&amp;"" ""&amp;C1979,""[^а-яa-z0-9 ]"","" ""))"),"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f>
        <v>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v>
      </c>
    </row>
    <row r="1980">
      <c r="A1980" s="35" t="s">
        <v>4562</v>
      </c>
      <c r="B1980" s="31" t="s">
        <v>4563</v>
      </c>
      <c r="C1980" s="31" t="s">
        <v>4564</v>
      </c>
      <c r="D1980" s="37" t="s">
        <v>1507</v>
      </c>
      <c r="E1980" s="38">
        <v>2.0</v>
      </c>
      <c r="F1980" s="39">
        <v>2.3</v>
      </c>
      <c r="G1980" s="11">
        <v>222550.0</v>
      </c>
      <c r="H1980" s="34" t="str">
        <f>IFERROR(__xludf.DUMMYFUNCTION("LOWER(REGEXREPLACE(B1980&amp;"" ""&amp;C1980,""[^а-яa-z0-9 ]"","" ""))"),"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фон"&amp;"ари   luetooth динамик   lockly графическое программирование  3 официальных персонажа  3 сервопривода  1    датчик")</f>
        <v>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фонари   luetooth динамик   lockly графическое программирование  3 официальных персонажа  3 сервопривода  1    датчик</v>
      </c>
    </row>
    <row r="1981">
      <c r="A1981" s="35" t="s">
        <v>4565</v>
      </c>
      <c r="B1981" s="31" t="s">
        <v>4566</v>
      </c>
      <c r="C1981" s="31" t="s">
        <v>4567</v>
      </c>
      <c r="D1981" s="37" t="s">
        <v>1507</v>
      </c>
      <c r="E1981" s="38">
        <v>2.0</v>
      </c>
      <c r="F1981" s="39">
        <v>2.6</v>
      </c>
      <c r="G1981" s="11">
        <v>302471.0</v>
      </c>
      <c r="H1981" s="34" t="str">
        <f>IFERROR(__xludf.DUMMYFUNCTION("LOWER(REGEXREPLACE(B1981&amp;"" ""&amp;C1981,""[^а-яa-z0-9 ]"","" ""))"),"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программир"&amp;"ование             18 проектов  предлагается 24 36 уроков ")</f>
        <v>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программирование             18 проектов  предлагается 24 36 уроков </v>
      </c>
    </row>
    <row r="1982">
      <c r="A1982" s="35" t="s">
        <v>4568</v>
      </c>
      <c r="B1982" s="31" t="s">
        <v>4569</v>
      </c>
      <c r="C1982" s="31" t="s">
        <v>4570</v>
      </c>
      <c r="D1982" s="37" t="s">
        <v>1507</v>
      </c>
      <c r="E1982" s="38">
        <v>2.0</v>
      </c>
      <c r="F1982" s="39">
        <v>2.4</v>
      </c>
      <c r="G1982" s="11">
        <v>302029.0</v>
      </c>
      <c r="H1982" s="34" t="str">
        <f>IFERROR(__xludf.DUMMYFUNCTION("LOWER(REGEXREPLACE(B1982&amp;"" ""&amp;C1982,""[^а-яa-z0-9 ]"","" ""))"),"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f>
        <v>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v>
      </c>
    </row>
    <row r="1983">
      <c r="A1983" s="35" t="s">
        <v>4571</v>
      </c>
      <c r="B1983" s="31" t="s">
        <v>4572</v>
      </c>
      <c r="C1983" s="31" t="s">
        <v>4573</v>
      </c>
      <c r="D1983" s="37" t="s">
        <v>1507</v>
      </c>
      <c r="E1983" s="38">
        <v>2.0</v>
      </c>
      <c r="F1983" s="40">
        <v>4.18</v>
      </c>
      <c r="G1983" s="11">
        <v>326608.0</v>
      </c>
      <c r="H1983" s="34" t="str">
        <f>IFERROR(__xludf.DUMMYFUNCTION("LOWER(REGEXREPLACE(B1983&amp;"" ""&amp;C1983,""[^а-яa-z0-9 ]"","" ""))"),"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"&amp;"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"&amp;"     luetooth  2 4    овместимость более 500 электронных и механических деталей из сборных блоков  датчики  rduino  кубики        aspberry  i")</f>
        <v>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luetooth  2 4    овместимость более 500 электронных и механических деталей из сборных блоков  датчики  rduino  кубики        aspberry  i</v>
      </c>
    </row>
    <row r="1984">
      <c r="A1984" s="35" t="s">
        <v>4574</v>
      </c>
      <c r="B1984" s="9" t="s">
        <v>4575</v>
      </c>
      <c r="C1984" s="31" t="s">
        <v>4576</v>
      </c>
      <c r="D1984" s="37" t="s">
        <v>1507</v>
      </c>
      <c r="E1984" s="38">
        <v>2.0</v>
      </c>
      <c r="F1984" s="40">
        <v>1.82</v>
      </c>
      <c r="G1984" s="11">
        <v>167679.0</v>
      </c>
      <c r="H1984" s="34" t="str">
        <f>IFERROR(__xludf.DUMMYFUNCTION("LOWER(REGEXREPLACE(B1984&amp;"" ""&amp;C1984,""[^а-яa-z0-9 ]"","" ""))"),"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темпер"&amp;"атуры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двигат"&amp;"елей и сервоприводов  10 портов для датчиков   ежим связи       luetooth   овместимость более 500 электронных и механических деталей  кубики      ")</f>
        <v>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двигателей и сервоприводов  10 портов для датчиков   ежим связи       luetooth   овместимость более 500 электронных и механических деталей  кубики      </v>
      </c>
    </row>
    <row r="1985">
      <c r="A1985" s="35" t="s">
        <v>4577</v>
      </c>
      <c r="B1985" s="31" t="s">
        <v>4578</v>
      </c>
      <c r="C1985" s="31" t="s">
        <v>4579</v>
      </c>
      <c r="D1985" s="37" t="s">
        <v>1507</v>
      </c>
      <c r="E1985" s="38">
        <v>2.0</v>
      </c>
      <c r="F1985" s="39">
        <v>0.4</v>
      </c>
      <c r="G1985" s="11">
        <v>170101.0</v>
      </c>
      <c r="H1985" s="34" t="str">
        <f>IFERROR(__xludf.DUMMYFUNCTION("LOWER(REGEXREPLACE(B1985&amp;"" ""&amp;C1985,""[^а-яa-z0-9 ]"","" ""))"),"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f>
        <v>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v>
      </c>
    </row>
    <row r="1986">
      <c r="A1986" s="35" t="s">
        <v>4580</v>
      </c>
      <c r="B1986" s="31" t="s">
        <v>4581</v>
      </c>
      <c r="C1986" s="31" t="s">
        <v>4582</v>
      </c>
      <c r="D1986" s="37" t="s">
        <v>1507</v>
      </c>
      <c r="E1986" s="38">
        <v>2.0</v>
      </c>
      <c r="F1986" s="38">
        <v>8.0</v>
      </c>
      <c r="G1986" s="11">
        <v>1092664.0</v>
      </c>
      <c r="H1986" s="34" t="str">
        <f>IFERROR(__xludf.DUMMYFUNCTION("LOWER(REGEXREPLACE(B1986&amp;"" ""&amp;C1986,""[^а-яa-z0-9 ]"","" ""))"),"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инструмен"&amp;"ты для крепления  конвеер ")</f>
        <v>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инструменты для крепления  конвеер </v>
      </c>
    </row>
    <row r="1987">
      <c r="A1987" s="35" t="s">
        <v>4583</v>
      </c>
      <c r="B1987" s="31" t="s">
        <v>4584</v>
      </c>
      <c r="C1987" s="31"/>
      <c r="D1987" s="37" t="s">
        <v>1507</v>
      </c>
      <c r="E1987" s="10"/>
      <c r="F1987" s="36"/>
      <c r="G1987" s="11"/>
      <c r="H1987" s="34" t="str">
        <f>IFERROR(__xludf.DUMMYFUNCTION("LOWER(REGEXREPLACE(B1987&amp;"" ""&amp;C1987,""[^а-яa-z0-9 ]"","" ""))")," абор образовательный для изучения  aspberry i и  нтернет вещей ")</f>
        <v> абор образовательный для изучения  aspberry i и  нтернет вещей </v>
      </c>
    </row>
    <row r="1988">
      <c r="A1988" s="35" t="s">
        <v>4585</v>
      </c>
      <c r="B1988" s="31" t="s">
        <v>4586</v>
      </c>
      <c r="C1988" s="31" t="s">
        <v>4587</v>
      </c>
      <c r="D1988" s="37" t="s">
        <v>1507</v>
      </c>
      <c r="E1988" s="38">
        <v>2.0</v>
      </c>
      <c r="F1988" s="38">
        <v>2.0</v>
      </c>
      <c r="G1988" s="11">
        <v>221232.0</v>
      </c>
      <c r="H1988" s="34" t="str">
        <f>IFERROR(__xludf.DUMMYFUNCTION("LOWER(REGEXREPLACE(B1988&amp;"" ""&amp;C1988,""[^а-яa-z0-9 ]"","" ""))"),"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"&amp;"и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f>
        <v>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v>
      </c>
    </row>
    <row r="1989">
      <c r="A1989" s="35" t="s">
        <v>4588</v>
      </c>
      <c r="B1989" s="31" t="s">
        <v>4589</v>
      </c>
      <c r="C1989" s="31" t="s">
        <v>4590</v>
      </c>
      <c r="D1989" s="37" t="s">
        <v>1507</v>
      </c>
      <c r="E1989" s="38">
        <v>2.0</v>
      </c>
      <c r="F1989" s="39">
        <v>3.1</v>
      </c>
      <c r="G1989" s="11">
        <v>170607.0</v>
      </c>
      <c r="H1989" s="34" t="str">
        <f>IFERROR(__xludf.DUMMYFUNCTION("LOWER(REGEXREPLACE(B1989&amp;"" ""&amp;C1989,""[^а-яa-z0-9 ]"","" ""))"),"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шт"&amp;"ук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однопла"&amp;"тный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6"&amp;"4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орты"&amp;"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сточн"&amp;"ик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"&amp;"датчика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f>
        <v>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v>
      </c>
    </row>
    <row r="1990">
      <c r="A1990" s="35" t="s">
        <v>4591</v>
      </c>
      <c r="B1990" s="31" t="s">
        <v>4592</v>
      </c>
      <c r="C1990" s="31" t="s">
        <v>4593</v>
      </c>
      <c r="D1990" s="37" t="s">
        <v>1507</v>
      </c>
      <c r="E1990" s="38">
        <v>2.0</v>
      </c>
      <c r="F1990" s="39">
        <v>1.1</v>
      </c>
      <c r="G1990" s="11">
        <v>260347.0</v>
      </c>
      <c r="H1990" s="34" t="str">
        <f>IFERROR(__xludf.DUMMYFUNCTION("LOWER(REGEXREPLACE(B1990&amp;"" ""&amp;C1990,""[^а-яa-z0-9 ]"","" ""))"),"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"&amp;"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ка"&amp;"меры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температур"&amp;"ы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f>
        <v>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v>
      </c>
    </row>
    <row r="1991">
      <c r="A1991" s="35" t="s">
        <v>4594</v>
      </c>
      <c r="B1991" s="31" t="s">
        <v>4595</v>
      </c>
      <c r="C1991" s="31" t="s">
        <v>4596</v>
      </c>
      <c r="D1991" s="37" t="s">
        <v>1507</v>
      </c>
      <c r="E1991" s="38">
        <v>2.0</v>
      </c>
      <c r="F1991" s="39">
        <v>0.3</v>
      </c>
      <c r="G1991" s="11">
        <v>309181.0</v>
      </c>
      <c r="H1991" s="34" t="str">
        <f>IFERROR(__xludf.DUMMYFUNCTION("LOWER(REGEXREPLACE(B1991&amp;"" ""&amp;C1991,""[^а-яa-z0-9 ]"","" ""))"),"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"&amp;"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светодиодны"&amp;"й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"&amp;"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f>
        <v>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v>
      </c>
    </row>
    <row r="1992">
      <c r="A1992" s="35" t="s">
        <v>4597</v>
      </c>
      <c r="B1992" s="31" t="s">
        <v>4598</v>
      </c>
      <c r="C1992" s="31" t="s">
        <v>4599</v>
      </c>
      <c r="D1992" s="37" t="s">
        <v>1507</v>
      </c>
      <c r="E1992" s="38">
        <v>2.0</v>
      </c>
      <c r="F1992" s="39">
        <v>0.5</v>
      </c>
      <c r="G1992" s="11">
        <v>151485.0</v>
      </c>
      <c r="H1992" s="34" t="str">
        <f>IFERROR(__xludf.DUMMYFUNCTION("LOWER(REGEXREPLACE(B1992&amp;"" ""&amp;C1992,""[^а-яa-z0-9 ]"","" ""))"),"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f>
        <v>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v>
      </c>
    </row>
    <row r="1993">
      <c r="A1993" s="35" t="s">
        <v>4600</v>
      </c>
      <c r="B1993" s="31" t="s">
        <v>4601</v>
      </c>
      <c r="C1993" s="31"/>
      <c r="D1993" s="37" t="s">
        <v>1507</v>
      </c>
      <c r="E1993" s="10"/>
      <c r="F1993" s="36"/>
      <c r="G1993" s="11"/>
      <c r="H1993" s="34" t="str">
        <f>IFERROR(__xludf.DUMMYFUNCTION("LOWER(REGEXREPLACE(B1993&amp;"" ""&amp;C1993,""[^а-яa-z0-9 ]"","" ""))")," абор для изучения нейротехнологий ")</f>
        <v> абор для изучения нейротехнологий </v>
      </c>
    </row>
    <row r="1994">
      <c r="A1994" s="35" t="s">
        <v>4602</v>
      </c>
      <c r="B1994" s="9" t="s">
        <v>4603</v>
      </c>
      <c r="C1994" s="31" t="s">
        <v>4604</v>
      </c>
      <c r="D1994" s="37" t="s">
        <v>1507</v>
      </c>
      <c r="E1994" s="38">
        <v>2.0</v>
      </c>
      <c r="F1994" s="40">
        <v>0.55</v>
      </c>
      <c r="G1994" s="11">
        <v>251444.0</v>
      </c>
      <c r="H1994" s="34" t="str">
        <f>IFERROR(__xludf.DUMMYFUNCTION("LOWER(REGEXREPLACE(B1994&amp;"" ""&amp;C1994,""[^а-яa-z0-9 ]"","" ""))"),"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дл"&amp;"я подключения модулей  соединительные провода  электроды  светодиоды  резисторы  макетная плата  элемент питанияс соединительным кабелем ")</f>
        <v>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для подключения модулей  соединительные провода  электроды  светодиоды  резисторы  макетная плата  элемент питанияс соединительным кабелем </v>
      </c>
    </row>
    <row r="1995">
      <c r="A1995" s="35" t="s">
        <v>4605</v>
      </c>
      <c r="B1995" s="9" t="s">
        <v>4606</v>
      </c>
      <c r="C1995" s="31" t="s">
        <v>4607</v>
      </c>
      <c r="D1995" s="37" t="s">
        <v>1507</v>
      </c>
      <c r="E1995" s="38">
        <v>2.0</v>
      </c>
      <c r="F1995" s="40">
        <v>0.95</v>
      </c>
      <c r="G1995" s="11">
        <v>589845.0</v>
      </c>
      <c r="H1995" s="34" t="str">
        <f>IFERROR(__xludf.DUMMYFUNCTION("LOWER(REGEXREPLACE(B1995&amp;"" ""&amp;C1995,""[^а-яa-z0-9 ]"","" ""))"),"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одноразо"&amp;"вые электроды эмг экг    20 шт  дополнительные электронные компоненты    1 шт   онструктивные детали робота  1 комплект флешка c по и метод  материалами  1 шт ")</f>
        <v>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одноразовые электроды эмг экг    20 шт  дополнительные электронные компоненты    1 шт   онструктивные детали робота  1 комплект флешка c по и метод  материалами  1 шт </v>
      </c>
    </row>
    <row r="1996">
      <c r="A1996" s="35" t="s">
        <v>4608</v>
      </c>
      <c r="B1996" s="9" t="s">
        <v>4609</v>
      </c>
      <c r="C1996" s="31"/>
      <c r="D1996" s="37" t="s">
        <v>1507</v>
      </c>
      <c r="E1996" s="10"/>
      <c r="F1996" s="36"/>
      <c r="G1996" s="11"/>
      <c r="H1996" s="34" t="str">
        <f>IFERROR(__xludf.DUMMYFUNCTION("LOWER(REGEXREPLACE(B1996&amp;"" ""&amp;C1996,""[^а-яa-z0-9 ]"","" ""))")," абор для исследований альтернативной энергетики с методическими материалами ")</f>
        <v> абор для исследований альтернативной энергетики с методическими материалами </v>
      </c>
    </row>
    <row r="1997">
      <c r="A1997" s="35" t="s">
        <v>4610</v>
      </c>
      <c r="B1997" s="31" t="s">
        <v>4611</v>
      </c>
      <c r="C1997" s="31" t="s">
        <v>4612</v>
      </c>
      <c r="D1997" s="37" t="s">
        <v>1507</v>
      </c>
      <c r="E1997" s="38">
        <v>2.0</v>
      </c>
      <c r="F1997" s="40">
        <v>1.65</v>
      </c>
      <c r="G1997" s="11">
        <v>677796.0</v>
      </c>
      <c r="H1997" s="34" t="str">
        <f>IFERROR(__xludf.DUMMYFUNCTION("LOWER(REGEXREPLACE(B1997&amp;"" ""&amp;C1997,""[^а-яa-z0-9 ]"","" ""))"),"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лопастей"&amp;"   5шт   осветительные приборы для студенческих экспериментов  размер  5 25мм  тип   ed  инструменты для сборки   мультиметр  болты  кусачки  шнуры  магниты ")</f>
        <v>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   5шт   осветительные приборы для студенческих экспериментов  размер  5 25мм  тип   ed  инструменты для сборки   мультиметр  болты  кусачки  шнуры  магниты </v>
      </c>
    </row>
    <row r="1998">
      <c r="A1998" s="35" t="s">
        <v>4613</v>
      </c>
      <c r="B1998" s="9" t="s">
        <v>4614</v>
      </c>
      <c r="C1998" s="31" t="s">
        <v>4615</v>
      </c>
      <c r="D1998" s="37" t="s">
        <v>1507</v>
      </c>
      <c r="E1998" s="38">
        <v>2.0</v>
      </c>
      <c r="F1998" s="39">
        <v>1.9</v>
      </c>
      <c r="G1998" s="11">
        <v>310980.0</v>
      </c>
      <c r="H1998" s="34" t="str">
        <f>IFERROR(__xludf.DUMMYFUNCTION("LOWER(REGEXREPLACE(B1998&amp;"" ""&amp;C1998,""[^а-яa-z0-9 ]"","" ""))"),"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"&amp;"  утылка с хлоридом натрия   1 шт ")</f>
        <v>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утылка с хлоридом натрия   1 шт </v>
      </c>
    </row>
    <row r="1999">
      <c r="A1999" s="35" t="s">
        <v>4616</v>
      </c>
      <c r="B1999" s="31" t="s">
        <v>4617</v>
      </c>
      <c r="C1999" s="31"/>
      <c r="D1999" s="37" t="s">
        <v>68</v>
      </c>
      <c r="E1999" s="38">
        <v>2.0</v>
      </c>
      <c r="F1999" s="39">
        <v>3.1</v>
      </c>
      <c r="G1999" s="11"/>
      <c r="H1999" s="34" t="str">
        <f>IFERROR(__xludf.DUMMYFUNCTION("LOWER(REGEXREPLACE(B1999&amp;"" ""&amp;C1999,""[^а-яa-z0-9 ]"","" ""))")," чки виртуальной реальности     treme  ")</f>
        <v> чки виртуальной реальности     treme  </v>
      </c>
    </row>
    <row r="2000">
      <c r="A2000" s="35" t="s">
        <v>4618</v>
      </c>
      <c r="B2000" s="31" t="s">
        <v>4619</v>
      </c>
      <c r="C2000" s="31"/>
      <c r="D2000" s="37" t="s">
        <v>68</v>
      </c>
      <c r="E2000" s="38">
        <v>2.0</v>
      </c>
      <c r="F2000" s="38">
        <v>13.0</v>
      </c>
      <c r="G2000" s="11">
        <v>1.1645801E7</v>
      </c>
      <c r="H2000" s="34" t="str">
        <f>IFERROR(__xludf.DUMMYFUNCTION("LOWER(REGEXREPLACE(B2000&amp;"" ""&amp;C2000,""[^а-яa-z0-9 ]"","" ""))")," арнитура виртуальной реальности  lass    remium 64  в комплекте  8 пар очков  кейс для хранения со встроенной зарядной станцией  комплекты контролеров     ")</f>
        <v> арнитура виртуальной реальности  lass    remium 64  в комплекте  8 пар очков  кейс для хранения со встроенной зарядной станцией  комплекты контролеров     </v>
      </c>
    </row>
    <row r="2001">
      <c r="A2001" s="35" t="s">
        <v>4620</v>
      </c>
      <c r="B2001" s="31" t="s">
        <v>4621</v>
      </c>
      <c r="C2001" s="31"/>
      <c r="D2001" s="37" t="s">
        <v>1507</v>
      </c>
      <c r="E2001" s="10"/>
      <c r="F2001" s="36"/>
      <c r="G2001" s="11"/>
      <c r="H2001" s="34" t="str">
        <f>IFERROR(__xludf.DUMMYFUNCTION("LOWER(REGEXREPLACE(B2001&amp;"" ""&amp;C2001,""[^а-яa-z0-9 ]"","" ""))")," абор образовательный с квадрокоптером ")</f>
        <v> абор образовательный с квадрокоптером </v>
      </c>
    </row>
    <row r="2002">
      <c r="A2002" s="35" t="s">
        <v>4622</v>
      </c>
      <c r="B2002" s="31" t="s">
        <v>4623</v>
      </c>
      <c r="C2002" s="31" t="s">
        <v>4624</v>
      </c>
      <c r="D2002" s="37" t="s">
        <v>1507</v>
      </c>
      <c r="E2002" s="38">
        <v>2.0</v>
      </c>
      <c r="F2002" s="39">
        <v>2.1</v>
      </c>
      <c r="G2002" s="11">
        <v>429806.0</v>
      </c>
      <c r="H2002" s="34" t="str">
        <f>IFERROR(__xludf.DUMMYFUNCTION("LOWER(REGEXREPLACE(B2002&amp;"" ""&amp;C2002,""[^а-яa-z0-9 ]"","" ""))"),"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f>
        <v>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v>
      </c>
    </row>
    <row r="2003">
      <c r="A2003" s="35" t="s">
        <v>4625</v>
      </c>
      <c r="B2003" s="31" t="s">
        <v>4626</v>
      </c>
      <c r="C2003" s="31" t="s">
        <v>4627</v>
      </c>
      <c r="D2003" s="37" t="s">
        <v>1507</v>
      </c>
      <c r="E2003" s="38">
        <v>2.0</v>
      </c>
      <c r="F2003" s="40">
        <v>0.87</v>
      </c>
      <c r="G2003" s="11">
        <v>1786884.0</v>
      </c>
      <c r="H2003" s="34" t="str">
        <f>IFERROR(__xludf.DUMMYFUNCTION("LOWER(REGEXREPLACE(B2003&amp;"" ""&amp;C2003,""[^а-яa-z0-9 ]"","" ""))"),"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"&amp;"4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шл"&amp;"ейф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f>
        <v>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v>
      </c>
    </row>
    <row r="2004">
      <c r="A2004" s="35" t="s">
        <v>4628</v>
      </c>
      <c r="B2004" s="31" t="s">
        <v>4629</v>
      </c>
      <c r="C2004" s="31"/>
      <c r="D2004" s="37" t="s">
        <v>14</v>
      </c>
      <c r="E2004" s="10"/>
      <c r="F2004" s="36"/>
      <c r="G2004" s="11"/>
      <c r="H2004" s="34" t="str">
        <f>IFERROR(__xludf.DUMMYFUNCTION("LOWER(REGEXREPLACE(B2004&amp;"" ""&amp;C2004,""[^а-яa-z0-9 ]"","" ""))")," обот антропоморфный ")</f>
        <v> обот антропоморфный </v>
      </c>
    </row>
    <row r="2005">
      <c r="A2005" s="35" t="s">
        <v>4630</v>
      </c>
      <c r="B2005" s="31" t="s">
        <v>4631</v>
      </c>
      <c r="C2005" s="31" t="s">
        <v>4632</v>
      </c>
      <c r="D2005" s="37" t="s">
        <v>14</v>
      </c>
      <c r="E2005" s="38">
        <v>2.0</v>
      </c>
      <c r="F2005" s="39">
        <v>4.8</v>
      </c>
      <c r="G2005" s="11">
        <v>585740.0</v>
      </c>
      <c r="H2005" s="34" t="str">
        <f>IFERROR(__xludf.DUMMYFUNCTION("LOWER(REGEXREPLACE(B2005&amp;"" ""&amp;C2005,""[^а-яa-z0-9 ]"","" ""))"),"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f>
        <v>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v>
      </c>
    </row>
    <row r="2006">
      <c r="A2006" s="35" t="s">
        <v>4633</v>
      </c>
      <c r="B2006" s="31" t="s">
        <v>4634</v>
      </c>
      <c r="C2006" s="31" t="s">
        <v>4635</v>
      </c>
      <c r="D2006" s="37" t="s">
        <v>1507</v>
      </c>
      <c r="E2006" s="38">
        <v>2.0</v>
      </c>
      <c r="F2006" s="40">
        <v>0.94</v>
      </c>
      <c r="G2006" s="11">
        <v>620241.0</v>
      </c>
      <c r="H2006" s="34" t="str">
        <f>IFERROR(__xludf.DUMMYFUNCTION("LOWER(REGEXREPLACE(B2006&amp;"" ""&amp;C2006,""[^а-яa-z0-9 ]"","" ""))"),"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"&amp;"орпусные детали ")</f>
        <v>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орпусные детали </v>
      </c>
    </row>
    <row r="2007">
      <c r="A2007" s="35" t="s">
        <v>4636</v>
      </c>
      <c r="B2007" s="31" t="s">
        <v>4637</v>
      </c>
      <c r="C2007" s="31" t="s">
        <v>4638</v>
      </c>
      <c r="D2007" s="37" t="s">
        <v>14</v>
      </c>
      <c r="E2007" s="38">
        <v>2.0</v>
      </c>
      <c r="F2007" s="39">
        <v>1.2</v>
      </c>
      <c r="G2007" s="11">
        <v>850429.0</v>
      </c>
      <c r="H2007" s="34" t="str">
        <f>IFERROR(__xludf.DUMMYFUNCTION("LOWER(REGEXREPLACE(B2007&amp;"" ""&amp;C2007,""[^а-яa-z0-9 ]"","" ""))"),"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лочно"&amp;"е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к"&amp;"омпьютерное зрение  включая опознавание жестов   ашинное обучение   озможность отправлять  получать и обрабатывать запросы в облачные базы данных")</f>
        <v>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компьютерное зрение  включая опознавание жестов   ашинное обучение   озможность отправлять  получать и обрабатывать запросы в облачные базы данных</v>
      </c>
    </row>
    <row r="2008">
      <c r="A2008" s="35" t="s">
        <v>4639</v>
      </c>
      <c r="B2008" s="31" t="s">
        <v>4640</v>
      </c>
      <c r="C2008" s="31" t="s">
        <v>4641</v>
      </c>
      <c r="D2008" s="37" t="s">
        <v>14</v>
      </c>
      <c r="E2008" s="38">
        <v>2.0</v>
      </c>
      <c r="F2008" s="40">
        <v>1.06</v>
      </c>
      <c r="G2008" s="11">
        <v>100677.0</v>
      </c>
      <c r="H2008" s="34" t="str">
        <f>IFERROR(__xludf.DUMMYFUNCTION("LOWER(REGEXREPLACE(B2008&amp;"" ""&amp;C2008,""[^а-яa-z0-9 ]"","" ""))"),"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f>
        <v>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v>
      </c>
    </row>
    <row r="2009">
      <c r="A2009" s="35" t="s">
        <v>4642</v>
      </c>
      <c r="B2009" s="31" t="s">
        <v>4643</v>
      </c>
      <c r="C2009" s="31" t="s">
        <v>4644</v>
      </c>
      <c r="D2009" s="37" t="s">
        <v>14</v>
      </c>
      <c r="E2009" s="38">
        <v>2.0</v>
      </c>
      <c r="F2009" s="42">
        <v>1.275</v>
      </c>
      <c r="G2009" s="11">
        <v>109951.0</v>
      </c>
      <c r="H2009" s="34" t="str">
        <f>IFERROR(__xludf.DUMMYFUNCTION("LOWER(REGEXREPLACE(B2009&amp;"" ""&amp;C2009,""[^а-яa-z0-9 ]"","" ""))"),"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экс"&amp;"плуатации")</f>
        <v>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эксплуатации</v>
      </c>
    </row>
    <row r="2010">
      <c r="A2010" s="35" t="s">
        <v>4645</v>
      </c>
      <c r="B2010" s="31" t="s">
        <v>4646</v>
      </c>
      <c r="C2010" s="31" t="s">
        <v>4647</v>
      </c>
      <c r="D2010" s="37" t="s">
        <v>14</v>
      </c>
      <c r="E2010" s="38">
        <v>2.0</v>
      </c>
      <c r="F2010" s="40">
        <v>1.28</v>
      </c>
      <c r="G2010" s="11">
        <v>271558.0</v>
      </c>
      <c r="H2010" s="34" t="str">
        <f>IFERROR(__xludf.DUMMYFUNCTION("LOWER(REGEXREPLACE(B2010&amp;"" ""&amp;C2010,""[^а-яa-z0-9 ]"","" ""))"),"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f>
        <v>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v>
      </c>
    </row>
    <row r="2011">
      <c r="A2011" s="35" t="s">
        <v>4648</v>
      </c>
      <c r="B2011" s="31" t="s">
        <v>4649</v>
      </c>
      <c r="C2011" s="31"/>
      <c r="D2011" s="37" t="s">
        <v>1507</v>
      </c>
      <c r="E2011" s="10"/>
      <c r="F2011" s="36"/>
      <c r="G2011" s="11"/>
      <c r="H2011" s="34" t="str">
        <f>IFERROR(__xludf.DUMMYFUNCTION("LOWER(REGEXREPLACE(B2011&amp;"" ""&amp;C2011,""[^а-яa-z0-9 ]"",""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f>
        <v> абор тренировочный для изучения программирования микроконтроллеров и датчиков  расположенных на общей физической плате с модулями интернет вещей </v>
      </c>
    </row>
    <row r="2012">
      <c r="A2012" s="35" t="s">
        <v>4650</v>
      </c>
      <c r="B2012" s="31" t="s">
        <v>4651</v>
      </c>
      <c r="C2012" s="31" t="s">
        <v>4652</v>
      </c>
      <c r="D2012" s="37" t="s">
        <v>1507</v>
      </c>
      <c r="E2012" s="38">
        <v>2.0</v>
      </c>
      <c r="F2012" s="40">
        <v>0.45</v>
      </c>
      <c r="G2012" s="11">
        <v>357771.0</v>
      </c>
      <c r="H2012" s="34" t="str">
        <f>IFERROR(__xludf.DUMMYFUNCTION("LOWER(REGEXREPLACE(B2012&amp;"" ""&amp;C2012,""[^а-яa-z0-9 ]"",""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ток"&amp;"а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110"&amp;"     абочий ток   до 0 05 м    егулируемое время задержки от 0 3 до 18 с    исплей  тип матрицы  жидкокристаллический  количество пикселов  16х2  тип подключение   2  ")</f>
        <v>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     абочий ток   до 0 05 м    егулируемое время задержки от 0 3 до 18 с    исплей  тип матрицы  жидкокристаллический  количество пикселов  16х2  тип подключение   2  </v>
      </c>
    </row>
    <row r="2013">
      <c r="A2013" s="35" t="s">
        <v>4653</v>
      </c>
      <c r="B2013" s="31" t="s">
        <v>4654</v>
      </c>
      <c r="C2013" s="31" t="s">
        <v>4655</v>
      </c>
      <c r="D2013" s="37" t="s">
        <v>1507</v>
      </c>
      <c r="E2013" s="10"/>
      <c r="F2013" s="36"/>
      <c r="G2013" s="11">
        <v>320955.0</v>
      </c>
      <c r="H2013" s="34" t="str">
        <f>IFERROR(__xludf.DUMMYFUNCTION("LOWER(REGEXREPLACE(B2013&amp;"" ""&amp;C2013,""[^а-яa-z0-9 ]"",""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омплек"&amp;"тация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движения"&amp;"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atural"&amp;"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"&amp;"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уст"&amp;"ановки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напряже"&amp;"ние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для"&amp;"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"&amp;"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"&amp;"аккумуляторной батареи   2 шт   уководство пользователя   1 шт ")</f>
        <v>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аккумуляторной батареи   2 шт   уководство пользователя   1 шт </v>
      </c>
    </row>
    <row r="2014">
      <c r="A2014" s="35" t="s">
        <v>4656</v>
      </c>
      <c r="B2014" s="31" t="s">
        <v>4657</v>
      </c>
      <c r="C2014" s="31" t="s">
        <v>4658</v>
      </c>
      <c r="D2014" s="37" t="s">
        <v>1507</v>
      </c>
      <c r="E2014" s="38">
        <v>2.0</v>
      </c>
      <c r="F2014" s="40">
        <v>0.45</v>
      </c>
      <c r="G2014" s="11">
        <v>278297.0</v>
      </c>
      <c r="H2014" s="34" t="str">
        <f>IFERROR(__xludf.DUMMYFUNCTION("LOWER(REGEXREPLACE(B2014&amp;"" ""&amp;C2014,""[^а-яa-z0-9 ]"","" ""))"),"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f>
        <v>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v>
      </c>
    </row>
    <row r="2015">
      <c r="A2015" s="35" t="s">
        <v>4659</v>
      </c>
      <c r="B2015" s="31" t="s">
        <v>4660</v>
      </c>
      <c r="C2015" s="31"/>
      <c r="D2015" s="37" t="s">
        <v>1507</v>
      </c>
      <c r="E2015" s="10"/>
      <c r="F2015" s="36"/>
      <c r="G2015" s="11"/>
      <c r="H2015" s="34" t="str">
        <f>IFERROR(__xludf.DUMMYFUNCTION("LOWER(REGEXREPLACE(B2015&amp;"" ""&amp;C2015,""[^а-яa-z0-9 ]"","" ""))")," абор образовательный на базе  рдуино с научными датчиками ")</f>
        <v> абор образовательный на базе  рдуино с научными датчиками </v>
      </c>
    </row>
    <row r="2016">
      <c r="A2016" s="35" t="s">
        <v>4661</v>
      </c>
      <c r="B2016" s="31" t="s">
        <v>4662</v>
      </c>
      <c r="C2016" s="31" t="s">
        <v>4663</v>
      </c>
      <c r="D2016" s="37" t="s">
        <v>1507</v>
      </c>
      <c r="E2016" s="38">
        <v>2.0</v>
      </c>
      <c r="F2016" s="39">
        <v>1.2</v>
      </c>
      <c r="G2016" s="11">
        <v>39429.0</v>
      </c>
      <c r="H2016" s="34" t="str">
        <f>IFERROR(__xludf.DUMMYFUNCTION("LOWER(REGEXREPLACE(B2016&amp;"" ""&amp;C2016,""[^а-яa-z0-9 ]"","" ""))"),"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"&amp;"  датчик вибрации 1 шт   датчик цвета 1 шт ")</f>
        <v>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датчик вибрации 1 шт   датчик цвета 1 шт </v>
      </c>
    </row>
    <row r="2017">
      <c r="A2017" s="35" t="s">
        <v>4664</v>
      </c>
      <c r="B2017" s="31" t="s">
        <v>4665</v>
      </c>
      <c r="C2017" s="31" t="s">
        <v>4666</v>
      </c>
      <c r="D2017" s="37" t="s">
        <v>1507</v>
      </c>
      <c r="E2017" s="38">
        <v>2.0</v>
      </c>
      <c r="F2017" s="40">
        <v>0.65</v>
      </c>
      <c r="G2017" s="11">
        <v>133800.0</v>
      </c>
      <c r="H2017" s="34" t="str">
        <f>IFERROR(__xludf.DUMMYFUNCTION("LOWER(REGEXREPLACE(B2017&amp;"" ""&amp;C2017,""[^а-яa-z0-9 ]"","" ""))"),"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"&amp;"10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потенциом"&amp;"етр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атчи"&amp;"к 6 степеней свободы")</f>
        <v>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атчик 6 степеней свободы</v>
      </c>
    </row>
    <row r="2018">
      <c r="A2018" s="35" t="s">
        <v>4667</v>
      </c>
      <c r="B2018" s="31" t="s">
        <v>4668</v>
      </c>
      <c r="C2018" s="31" t="s">
        <v>4669</v>
      </c>
      <c r="D2018" s="37" t="s">
        <v>1507</v>
      </c>
      <c r="E2018" s="38">
        <v>2.0</v>
      </c>
      <c r="F2018" s="39">
        <v>1.2</v>
      </c>
      <c r="G2018" s="11">
        <v>41205.0</v>
      </c>
      <c r="H2018" s="34" t="str">
        <f>IFERROR(__xludf.DUMMYFUNCTION("LOWER(REGEXREPLACE(B2018&amp;"" ""&amp;C2018,""[^а-яa-z0-9 ]"","" ""))"),"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f>
        <v>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v>
      </c>
    </row>
    <row r="2019">
      <c r="A2019" s="35" t="s">
        <v>4670</v>
      </c>
      <c r="B2019" s="31" t="s">
        <v>4671</v>
      </c>
      <c r="C2019" s="31" t="s">
        <v>4672</v>
      </c>
      <c r="D2019" s="37" t="s">
        <v>14</v>
      </c>
      <c r="E2019" s="38">
        <v>2.0</v>
      </c>
      <c r="F2019" s="39">
        <v>11.1</v>
      </c>
      <c r="G2019" s="11">
        <v>571619.0</v>
      </c>
      <c r="H2019" s="34" t="str">
        <f>IFERROR(__xludf.DUMMYFUNCTION("LOWER(REGEXREPLACE(B2019&amp;"" ""&amp;C2019,""[^а-яa-z0-9 ]"","" ""))"),"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f>
        <v>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v>
      </c>
    </row>
    <row r="2020">
      <c r="A2020" s="35" t="s">
        <v>4673</v>
      </c>
      <c r="B2020" s="31" t="s">
        <v>4674</v>
      </c>
      <c r="C2020" s="31"/>
      <c r="D2020" s="37" t="s">
        <v>14</v>
      </c>
      <c r="E2020" s="38">
        <v>2.0</v>
      </c>
      <c r="F2020" s="39">
        <v>8.9</v>
      </c>
      <c r="G2020" s="11"/>
      <c r="H2020" s="34" t="str">
        <f>IFERROR(__xludf.DUMMYFUNCTION("LOWER(REGEXREPLACE(B2020&amp;"" ""&amp;C2020,""[^а-яa-z0-9 ]"","" ""))")," ринтер 3   ni aker  ro ")</f>
        <v> ринтер 3   ni aker  ro </v>
      </c>
    </row>
    <row r="2021">
      <c r="A2021" s="35" t="s">
        <v>4675</v>
      </c>
      <c r="B2021" s="31" t="s">
        <v>4676</v>
      </c>
      <c r="C2021" s="31"/>
      <c r="D2021" s="37" t="s">
        <v>14</v>
      </c>
      <c r="E2021" s="38">
        <v>2.0</v>
      </c>
      <c r="F2021" s="40">
        <v>7.15</v>
      </c>
      <c r="G2021" s="11">
        <v>1833613.0</v>
      </c>
      <c r="H2021" s="34" t="str">
        <f>IFERROR(__xludf.DUMMYFUNCTION("LOWER(REGEXREPLACE(B2021&amp;"" ""&amp;C2021,""[^а-яa-z0-9 ]"","" ""))"),"3  принтер с расходным материалом  ni aker  ro orge ")</f>
        <v>3  принтер с расходным материалом  ni aker  ro orge </v>
      </c>
    </row>
    <row r="2022">
      <c r="A2022" s="35" t="s">
        <v>4677</v>
      </c>
      <c r="B2022" s="31" t="s">
        <v>4678</v>
      </c>
      <c r="C2022" s="31"/>
      <c r="D2022" s="37" t="s">
        <v>14</v>
      </c>
      <c r="E2022" s="38">
        <v>2.0</v>
      </c>
      <c r="F2022" s="38">
        <v>11.0</v>
      </c>
      <c r="G2022" s="11">
        <v>2149807.0</v>
      </c>
      <c r="H2022" s="34" t="str">
        <f>IFERROR(__xludf.DUMMYFUNCTION("LOWER(REGEXREPLACE(B2022&amp;"" ""&amp;C2022,""[^а-яa-z0-9 ]"","" ""))"),"3  принтер  ni aker    ")</f>
        <v>3  принтер  ni aker    </v>
      </c>
    </row>
    <row r="2023">
      <c r="A2023" s="35" t="s">
        <v>4679</v>
      </c>
      <c r="B2023" s="31" t="s">
        <v>4680</v>
      </c>
      <c r="C2023" s="31" t="s">
        <v>4681</v>
      </c>
      <c r="D2023" s="37" t="s">
        <v>14</v>
      </c>
      <c r="E2023" s="38">
        <v>2.0</v>
      </c>
      <c r="F2023" s="40">
        <v>19.87</v>
      </c>
      <c r="G2023" s="11">
        <v>1220720.0</v>
      </c>
      <c r="H2023" s="34" t="str">
        <f>IFERROR(__xludf.DUMMYFUNCTION("LOWER(REGEXREPLACE(B2023&amp;"" ""&amp;C2023,""[^а-яa-z0-9 ]"","" ""))")," танок модульный для создания 3  моделей  ni hape  азмер 500х280х420мм  мощность  1300  т  тип пластика                          ips")</f>
        <v> танок модульный для создания 3  моделей  ni hape  азмер 500х280х420мм  мощность  1300  т  тип пластика                          ips</v>
      </c>
    </row>
    <row r="2024">
      <c r="A2024" s="35" t="s">
        <v>4682</v>
      </c>
      <c r="B2024" s="31" t="s">
        <v>4683</v>
      </c>
      <c r="C2024" s="31" t="s">
        <v>4684</v>
      </c>
      <c r="D2024" s="37" t="s">
        <v>14</v>
      </c>
      <c r="E2024" s="38">
        <v>2.0</v>
      </c>
      <c r="F2024" s="38">
        <v>19.0</v>
      </c>
      <c r="G2024" s="11">
        <v>362666.0</v>
      </c>
      <c r="H2024" s="34" t="str">
        <f>IFERROR(__xludf.DUMMYFUNCTION("LOWER(REGEXREPLACE(B2024&amp;"" ""&amp;C2024,""[^а-яa-z0-9 ]"","" ""))"),"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f>
        <v>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v>
      </c>
    </row>
    <row r="2025">
      <c r="A2025" s="35" t="s">
        <v>4685</v>
      </c>
      <c r="B2025" s="31" t="s">
        <v>4686</v>
      </c>
      <c r="C2025" s="31"/>
      <c r="D2025" s="37" t="s">
        <v>14</v>
      </c>
      <c r="E2025" s="10"/>
      <c r="F2025" s="36"/>
      <c r="G2025" s="11"/>
      <c r="H2025" s="34" t="str">
        <f>IFERROR(__xludf.DUMMYFUNCTION("LOWER(REGEXREPLACE(B2025&amp;"" ""&amp;C2025,""[^а-яa-z0-9 ]"","" ""))")," тол для робототехники ")</f>
        <v> тол для робототехники </v>
      </c>
    </row>
    <row r="2026">
      <c r="A2026" s="35" t="s">
        <v>4687</v>
      </c>
      <c r="B2026" s="31" t="s">
        <v>4688</v>
      </c>
      <c r="C2026" s="31" t="s">
        <v>4689</v>
      </c>
      <c r="D2026" s="37" t="s">
        <v>14</v>
      </c>
      <c r="E2026" s="38">
        <v>2.0</v>
      </c>
      <c r="F2026" s="38">
        <v>95.0</v>
      </c>
      <c r="G2026" s="11">
        <v>576815.0</v>
      </c>
      <c r="H2026" s="34" t="str">
        <f>IFERROR(__xludf.DUMMYFUNCTION("LOWER(REGEXREPLACE(B2026&amp;"" ""&amp;C2026,""[^а-яa-z0-9 ]"","" ""))"),"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возможно"&amp;"сть изменить положение поля из горизонтального к вертикальному для большей эргономики и экономии пространства   абариты тумбы  длина 1400мм х 540мм х 840мм")</f>
        <v>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абариты тумбы  длина 1400мм х 540мм х 840мм</v>
      </c>
    </row>
    <row r="2027">
      <c r="A2027" s="35" t="s">
        <v>4690</v>
      </c>
      <c r="B2027" s="31" t="s">
        <v>4691</v>
      </c>
      <c r="C2027" s="31" t="s">
        <v>4692</v>
      </c>
      <c r="D2027" s="37" t="s">
        <v>14</v>
      </c>
      <c r="E2027" s="38">
        <v>2.0</v>
      </c>
      <c r="F2027" s="38">
        <v>18.0</v>
      </c>
      <c r="G2027" s="11">
        <v>141903.0</v>
      </c>
      <c r="H2027" s="34" t="str">
        <f>IFERROR(__xludf.DUMMYFUNCTION("LOWER(REGEXREPLACE(B2027&amp;"" ""&amp;C2027,""[^а-яa-z0-9 ]"","" ""))"),"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конструкции"&amp;"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изгот"&amp;"овлен из профильной трубы 40х40мм  покрытие полимернопорошковое ")</f>
        <v>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изготовлен из профильной трубы 40х40мм  покрытие полимернопорошковое </v>
      </c>
    </row>
    <row r="2028">
      <c r="A2028" s="35" t="s">
        <v>4693</v>
      </c>
      <c r="B2028" s="31" t="s">
        <v>4694</v>
      </c>
      <c r="C2028" s="31" t="s">
        <v>4695</v>
      </c>
      <c r="D2028" s="37" t="s">
        <v>68</v>
      </c>
      <c r="E2028" s="38">
        <v>2.0</v>
      </c>
      <c r="F2028" s="38">
        <v>35.0</v>
      </c>
      <c r="G2028" s="11">
        <v>270431.0</v>
      </c>
      <c r="H2028" s="34" t="str">
        <f>IFERROR(__xludf.DUMMYFUNCTION("LOWER(REGEXREPLACE(B2028&amp;"" ""&amp;C2028,""[^а-яa-z0-9 ]"","" ""))"),"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и"&amp;"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880х"&amp;"300х620мм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f>
        <v>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v>
      </c>
    </row>
    <row r="2029">
      <c r="A2029" s="35" t="s">
        <v>4696</v>
      </c>
      <c r="B2029" s="31" t="s">
        <v>4697</v>
      </c>
      <c r="C2029" s="31" t="s">
        <v>4698</v>
      </c>
      <c r="D2029" s="37" t="s">
        <v>14</v>
      </c>
      <c r="E2029" s="38">
        <v>2.0</v>
      </c>
      <c r="F2029" s="38">
        <v>81.0</v>
      </c>
      <c r="G2029" s="11">
        <v>124416.0</v>
      </c>
      <c r="H2029" s="34" t="str">
        <f>IFERROR(__xludf.DUMMYFUNCTION("LOWER(REGEXREPLACE(B2029&amp;"" ""&amp;C2029,""[^а-яa-z0-9 ]"","" ""))"),"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по"&amp;"местить до 10 стандартных коробок        акже имеется полка для размещения соревновательных элементов")</f>
        <v>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поместить до 10 стандартных коробок        акже имеется полка для размещения соревновательных элементов</v>
      </c>
    </row>
    <row r="2030">
      <c r="A2030" s="35" t="s">
        <v>4699</v>
      </c>
      <c r="B2030" s="31" t="s">
        <v>4700</v>
      </c>
      <c r="C2030" s="31" t="s">
        <v>4701</v>
      </c>
      <c r="D2030" s="37" t="s">
        <v>14</v>
      </c>
      <c r="E2030" s="38">
        <v>2.0</v>
      </c>
      <c r="F2030" s="38">
        <v>3.0</v>
      </c>
      <c r="G2030" s="11">
        <v>264911.0</v>
      </c>
      <c r="H2030" s="34" t="str">
        <f>IFERROR(__xludf.DUMMYFUNCTION("LOWER(REGEXREPLACE(B2030&amp;"" ""&amp;C2030,""[^а-яa-z0-9 ]"","" ""))"),"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к"&amp;"ромка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"&amp;"на колесах  диаметром 45мм  толщиной 30мм  с функцией блокировки ")</f>
        <v>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на колесах  диаметром 45мм  толщиной 30мм  с функцией блокировки </v>
      </c>
    </row>
    <row r="2031">
      <c r="A2031" s="35" t="s">
        <v>4702</v>
      </c>
      <c r="B2031" s="31" t="s">
        <v>4703</v>
      </c>
      <c r="C2031" s="31" t="s">
        <v>4704</v>
      </c>
      <c r="D2031" s="37" t="s">
        <v>14</v>
      </c>
      <c r="E2031" s="38">
        <v>2.0</v>
      </c>
      <c r="F2031" s="38">
        <v>41.0</v>
      </c>
      <c r="G2031" s="11">
        <v>76408.0</v>
      </c>
      <c r="H2031" s="34" t="str">
        <f>IFERROR(__xludf.DUMMYFUNCTION("LOWER(REGEXREPLACE(B2031&amp;"" ""&amp;C2031,""[^а-яa-z0-9 ]"","" ""))"),"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"&amp;"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"&amp;"повреждения пользователей ")</f>
        <v>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2032">
      <c r="A2032" s="35" t="s">
        <v>4705</v>
      </c>
      <c r="B2032" s="31" t="s">
        <v>4706</v>
      </c>
      <c r="C2032" s="31" t="s">
        <v>4707</v>
      </c>
      <c r="D2032" s="37" t="s">
        <v>14</v>
      </c>
      <c r="E2032" s="38">
        <v>2.0</v>
      </c>
      <c r="F2032" s="38">
        <v>56.0</v>
      </c>
      <c r="G2032" s="11">
        <v>95489.0</v>
      </c>
      <c r="H2032" s="34" t="str">
        <f>IFERROR(__xludf.DUMMYFUNCTION("LOWER(REGEXREPLACE(B2032&amp;"" ""&amp;C2032,""[^а-яa-z0-9 ]"","" ""))"),"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металло"&amp;"каркас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"&amp;"674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6х40м"&amp;"м    4х винтов  8х80мм    основании конструкции установлены регулируемые опоры ")</f>
        <v>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6х40мм    4х винтов  8х80мм    основании конструкции установлены регулируемые опоры </v>
      </c>
    </row>
    <row r="2033">
      <c r="A2033" s="35" t="s">
        <v>4708</v>
      </c>
      <c r="B2033" s="31" t="s">
        <v>4709</v>
      </c>
      <c r="C2033" s="31" t="s">
        <v>4710</v>
      </c>
      <c r="D2033" s="37" t="s">
        <v>14</v>
      </c>
      <c r="E2033" s="38">
        <v>2.0</v>
      </c>
      <c r="F2033" s="38">
        <v>145.0</v>
      </c>
      <c r="G2033" s="11">
        <v>231815.0</v>
      </c>
      <c r="H2033" s="34" t="str">
        <f>IFERROR(__xludf.DUMMYFUNCTION("LOWER(REGEXREPLACE(B2033&amp;"" ""&amp;C2033,""[^а-яa-z0-9 ]"","" ""))"),"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сто"&amp;"лешницы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еталлический"&amp;"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поворо"&amp;"тные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за"&amp;"казчиком по каталогу     ")</f>
        <v>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заказчиком по каталогу     </v>
      </c>
    </row>
    <row r="2034">
      <c r="A2034" s="35" t="s">
        <v>4711</v>
      </c>
      <c r="B2034" s="31" t="s">
        <v>4712</v>
      </c>
      <c r="C2034" s="31" t="s">
        <v>4713</v>
      </c>
      <c r="D2034" s="37" t="s">
        <v>1507</v>
      </c>
      <c r="E2034" s="38">
        <v>2.0</v>
      </c>
      <c r="F2034" s="40">
        <v>0.98</v>
      </c>
      <c r="G2034" s="11">
        <v>111425.0</v>
      </c>
      <c r="H2034" s="34" t="str">
        <f>IFERROR(__xludf.DUMMYFUNCTION("LOWER(REGEXREPLACE(B2034&amp;"" ""&amp;C2034,""[^а-яa-z0-9 ]"","" ""))"),"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5мм"&amp;"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f>
        <v>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v>
      </c>
    </row>
    <row r="2035">
      <c r="A2035" s="35" t="s">
        <v>4714</v>
      </c>
      <c r="B2035" s="31" t="s">
        <v>4715</v>
      </c>
      <c r="C2035" s="31"/>
      <c r="D2035" s="37" t="s">
        <v>68</v>
      </c>
      <c r="E2035" s="10"/>
      <c r="F2035" s="36"/>
      <c r="G2035" s="11"/>
      <c r="H2035" s="34" t="str">
        <f>IFERROR(__xludf.DUMMYFUNCTION("LOWER(REGEXREPLACE(B2035&amp;"" ""&amp;C2035,""[^а-яa-z0-9 ]"","" ""))")," омплект тренировочных полей для занятий робототехникой ")</f>
        <v> омплект тренировочных полей для занятий робототехникой </v>
      </c>
    </row>
    <row r="2036">
      <c r="A2036" s="35" t="s">
        <v>4716</v>
      </c>
      <c r="B2036" s="31" t="s">
        <v>4717</v>
      </c>
      <c r="C2036" s="31" t="s">
        <v>4718</v>
      </c>
      <c r="D2036" s="37" t="s">
        <v>68</v>
      </c>
      <c r="E2036" s="38">
        <v>2.0</v>
      </c>
      <c r="F2036" s="39">
        <v>1.8</v>
      </c>
      <c r="G2036" s="11">
        <v>77754.0</v>
      </c>
      <c r="H2036" s="34" t="str">
        <f>IFERROR(__xludf.DUMMYFUNCTION("LOWER(REGEXREPLACE(B2036&amp;"" ""&amp;C2036,""[^а-яa-z0-9 ]"","" ""))"),"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поле"&amp;"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f>
        <v>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v>
      </c>
    </row>
    <row r="2037">
      <c r="A2037" s="35" t="s">
        <v>4719</v>
      </c>
      <c r="B2037" s="31" t="s">
        <v>4720</v>
      </c>
      <c r="C2037" s="31" t="s">
        <v>4721</v>
      </c>
      <c r="D2037" s="37" t="s">
        <v>14</v>
      </c>
      <c r="E2037" s="38">
        <v>2.0</v>
      </c>
      <c r="F2037" s="38">
        <v>34.0</v>
      </c>
      <c r="G2037" s="11">
        <v>256920.0</v>
      </c>
      <c r="H2037" s="34" t="str">
        <f>IFERROR(__xludf.DUMMYFUNCTION("LOWER(REGEXREPLACE(B2037&amp;"" ""&amp;C2037,""[^а-яa-z0-9 ]"","" ""))"),"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мо"&amp;"йки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м"&amp;"ойка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f>
        <v>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v>
      </c>
    </row>
    <row r="2038">
      <c r="A2038" s="41" t="s">
        <v>4722</v>
      </c>
      <c r="B2038" s="30"/>
      <c r="C2038" s="31"/>
      <c r="D2038" s="30"/>
      <c r="E2038" s="32"/>
      <c r="F2038" s="30"/>
      <c r="G2038" s="33"/>
      <c r="H2038" s="34" t="str">
        <f>IFERROR(__xludf.DUMMYFUNCTION("LOWER(REGEXREPLACE(B2038&amp;"" ""&amp;C2038,""[^а-яa-z0-9 ]"","" ""))")," ")</f>
        <v> </v>
      </c>
    </row>
    <row r="2039">
      <c r="A2039" s="35" t="s">
        <v>4723</v>
      </c>
      <c r="B2039" s="31" t="s">
        <v>4724</v>
      </c>
      <c r="C2039" s="31"/>
      <c r="D2039" s="36"/>
      <c r="E2039" s="10"/>
      <c r="F2039" s="36"/>
      <c r="G2039" s="11"/>
      <c r="H2039" s="34" t="str">
        <f>IFERROR(__xludf.DUMMYFUNCTION("LOWER(REGEXREPLACE(B2039&amp;"" ""&amp;C2039,""[^а-яa-z0-9 ]"","" ""))")," олифункциональное оборудование ")</f>
        <v> олифункциональное оборудование </v>
      </c>
    </row>
    <row r="2040">
      <c r="A2040" s="35" t="s">
        <v>4725</v>
      </c>
      <c r="B2040" s="31" t="s">
        <v>4726</v>
      </c>
      <c r="C2040" s="31"/>
      <c r="D2040" s="37" t="s">
        <v>14</v>
      </c>
      <c r="E2040" s="10"/>
      <c r="F2040" s="36"/>
      <c r="G2040" s="11"/>
      <c r="H2040" s="34" t="str">
        <f>IFERROR(__xludf.DUMMYFUNCTION("LOWER(REGEXREPLACE(B2040&amp;"" ""&amp;C2040,""[^а-яa-z0-9 ]"","" ""))")," ат напольный для создания мягкого пола ")</f>
        <v> ат напольный для создания мягкого пола </v>
      </c>
    </row>
    <row r="2041">
      <c r="A2041" s="35" t="s">
        <v>4727</v>
      </c>
      <c r="B2041" s="31" t="s">
        <v>4728</v>
      </c>
      <c r="C2041" s="31"/>
      <c r="D2041" s="37" t="s">
        <v>14</v>
      </c>
      <c r="E2041" s="10"/>
      <c r="F2041" s="36"/>
      <c r="G2041" s="11">
        <v>116912.0</v>
      </c>
      <c r="H2041" s="34" t="str">
        <f>IFERROR(__xludf.DUMMYFUNCTION("LOWER(REGEXREPLACE(B2041&amp;"" ""&amp;C2041,""[^а-яa-z0-9 ]"","" ""))")," ат напольный  размер  200х100х10 см ")</f>
        <v> ат напольный  размер  200х100х10 см </v>
      </c>
    </row>
    <row r="2042">
      <c r="A2042" s="35" t="s">
        <v>4729</v>
      </c>
      <c r="B2042" s="31" t="s">
        <v>4730</v>
      </c>
      <c r="C2042" s="31"/>
      <c r="D2042" s="37" t="s">
        <v>14</v>
      </c>
      <c r="E2042" s="10"/>
      <c r="F2042" s="36"/>
      <c r="G2042" s="11">
        <v>55425.0</v>
      </c>
      <c r="H2042" s="34" t="str">
        <f>IFERROR(__xludf.DUMMYFUNCTION("LOWER(REGEXREPLACE(B2042&amp;"" ""&amp;C2042,""[^а-яa-z0-9 ]"","" ""))")," ат напольный  размер  138х62х10 см ")</f>
        <v> ат напольный  размер  138х62х10 см </v>
      </c>
    </row>
    <row r="2043">
      <c r="A2043" s="35" t="s">
        <v>4731</v>
      </c>
      <c r="B2043" s="31" t="s">
        <v>4732</v>
      </c>
      <c r="C2043" s="31"/>
      <c r="D2043" s="37" t="s">
        <v>68</v>
      </c>
      <c r="E2043" s="10"/>
      <c r="F2043" s="36"/>
      <c r="G2043" s="11"/>
      <c r="H2043" s="34" t="str">
        <f>IFERROR(__xludf.DUMMYFUNCTION("LOWER(REGEXREPLACE(B2043&amp;"" ""&amp;C2043,""[^а-яa-z0-9 ]"","" ""))")," ухой бассейн с мягкими стенками разной конфигурации  угловые квадратные  круглые с наполнителем  цветные пластиковые шарики одного размера ")</f>
        <v> ухой бассейн с мягкими стенками разной конфигурации  угловые квадратные  круглые с наполнителем  цветные пластиковые шарики одного размера </v>
      </c>
    </row>
    <row r="2044">
      <c r="A2044" s="35" t="s">
        <v>4733</v>
      </c>
      <c r="B2044" s="31" t="s">
        <v>4734</v>
      </c>
      <c r="C2044" s="31"/>
      <c r="D2044" s="37" t="s">
        <v>68</v>
      </c>
      <c r="E2044" s="10"/>
      <c r="F2044" s="36"/>
      <c r="G2044" s="11">
        <v>363725.0</v>
      </c>
      <c r="H2044" s="34" t="str">
        <f>IFERROR(__xludf.DUMMYFUNCTION("LOWER(REGEXREPLACE(B2044&amp;"" ""&amp;C2044,""[^а-яa-z0-9 ]"","" ""))")," ухой бассейн  шаров 2000шт размер  200х200х50 ")</f>
        <v> ухой бассейн  шаров 2000шт размер  200х200х50 </v>
      </c>
    </row>
    <row r="2045">
      <c r="A2045" s="35" t="s">
        <v>4735</v>
      </c>
      <c r="B2045" s="31" t="s">
        <v>4736</v>
      </c>
      <c r="C2045" s="31" t="s">
        <v>4737</v>
      </c>
      <c r="D2045" s="37" t="s">
        <v>68</v>
      </c>
      <c r="E2045" s="10"/>
      <c r="F2045" s="36"/>
      <c r="G2045" s="11">
        <v>320424.0</v>
      </c>
      <c r="H2045" s="34" t="str">
        <f>IFERROR(__xludf.DUMMYFUNCTION("LOWER(REGEXREPLACE(B2045&amp;"" ""&amp;C2045,""[^а-яa-z0-9 ]"","" ""))"),"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экологич"&amp;"еским характеристикам безопасности  не токсичные  антивандальные  с высоким процентом износоустойчивости   а также согласно цветовым решениям помещения ")</f>
        <v>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2046">
      <c r="A2046" s="35" t="s">
        <v>4738</v>
      </c>
      <c r="B2046" s="31" t="s">
        <v>4739</v>
      </c>
      <c r="C2046" s="31"/>
      <c r="D2046" s="37" t="s">
        <v>68</v>
      </c>
      <c r="E2046" s="10"/>
      <c r="F2046" s="36"/>
      <c r="G2046" s="11"/>
      <c r="H2046" s="34" t="str">
        <f>IFERROR(__xludf.DUMMYFUNCTION("LOWER(REGEXREPLACE(B2046&amp;"" ""&amp;C2046,""[^а-яa-z0-9 ]"","" ""))")," ягкие полифункциональные конструкторы ")</f>
        <v> ягкие полифункциональные конструкторы </v>
      </c>
    </row>
    <row r="2047">
      <c r="A2047" s="35" t="s">
        <v>4740</v>
      </c>
      <c r="B2047" s="31" t="s">
        <v>4741</v>
      </c>
      <c r="C2047" s="31"/>
      <c r="D2047" s="37" t="s">
        <v>68</v>
      </c>
      <c r="E2047" s="10"/>
      <c r="F2047" s="36"/>
      <c r="G2047" s="11">
        <v>1138806.0</v>
      </c>
      <c r="H2047" s="34" t="str">
        <f>IFERROR(__xludf.DUMMYFUNCTION("LOWER(REGEXREPLACE(B2047&amp;"" ""&amp;C2047,""[^а-яa-z0-9 ]"","" ""))")," олифункциональный набор   адуга   омплектация  предметов 52  видов фигур 11 ")</f>
        <v> олифункциональный набор   адуга   омплектация  предметов 52  видов фигур 11 </v>
      </c>
    </row>
    <row r="2048">
      <c r="A2048" s="35" t="s">
        <v>4742</v>
      </c>
      <c r="B2048" s="31" t="s">
        <v>4743</v>
      </c>
      <c r="C2048" s="31"/>
      <c r="D2048" s="37" t="s">
        <v>68</v>
      </c>
      <c r="E2048" s="10"/>
      <c r="F2048" s="36"/>
      <c r="G2048" s="11">
        <v>805391.0</v>
      </c>
      <c r="H2048" s="34" t="str">
        <f>IFERROR(__xludf.DUMMYFUNCTION("LOWER(REGEXREPLACE(B2048&amp;"" ""&amp;C2048,""[^а-яa-z0-9 ]"","" ""))")," олифункциональный набор   адуга   омплектация  предметов 36  видов фигур 11 ")</f>
        <v> олифункциональный набор   адуга   омплектация  предметов 36  видов фигур 11 </v>
      </c>
    </row>
    <row r="2049">
      <c r="A2049" s="35" t="s">
        <v>4744</v>
      </c>
      <c r="B2049" s="9" t="s">
        <v>4745</v>
      </c>
      <c r="C2049" s="31"/>
      <c r="D2049" s="37" t="s">
        <v>68</v>
      </c>
      <c r="E2049" s="10"/>
      <c r="F2049" s="36"/>
      <c r="G2049" s="11">
        <v>502287.0</v>
      </c>
      <c r="H2049" s="34" t="str">
        <f>IFERROR(__xludf.DUMMYFUNCTION("LOWER(REGEXREPLACE(B2049&amp;"" ""&amp;C2049,""[^а-яa-z0-9 ]"","" ""))")," олифункциональный набор   адуга     203   омплектация  предметов 22  видов фигур 10 ")</f>
        <v> олифункциональный набор   адуга     203   омплектация  предметов 22  видов фигур 10 </v>
      </c>
    </row>
    <row r="2050">
      <c r="A2050" s="35" t="s">
        <v>4746</v>
      </c>
      <c r="B2050" s="31" t="s">
        <v>4747</v>
      </c>
      <c r="C2050" s="31"/>
      <c r="D2050" s="37" t="s">
        <v>68</v>
      </c>
      <c r="E2050" s="10"/>
      <c r="F2050" s="36"/>
      <c r="G2050" s="11">
        <v>424346.0</v>
      </c>
      <c r="H2050" s="34" t="str">
        <f>IFERROR(__xludf.DUMMYFUNCTION("LOWER(REGEXREPLACE(B2050&amp;"" ""&amp;C2050,""[^а-яa-z0-9 ]"","" ""))")," олифункциональный набор   адуга   омплектация  предметов 18  видов фигур 7 ")</f>
        <v> олифункциональный набор   адуга   омплектация  предметов 18  видов фигур 7 </v>
      </c>
    </row>
    <row r="2051">
      <c r="A2051" s="35" t="s">
        <v>4748</v>
      </c>
      <c r="B2051" s="31" t="s">
        <v>4749</v>
      </c>
      <c r="C2051" s="31"/>
      <c r="D2051" s="37" t="s">
        <v>68</v>
      </c>
      <c r="E2051" s="10"/>
      <c r="F2051" s="36"/>
      <c r="G2051" s="11">
        <v>216503.0</v>
      </c>
      <c r="H2051" s="34" t="str">
        <f>IFERROR(__xludf.DUMMYFUNCTION("LOWER(REGEXREPLACE(B2051&amp;"" ""&amp;C2051,""[^а-яa-z0-9 ]"","" ""))")," олифункциональный набор   адуга   омплектация  предметов 12  видов фигур 6 ")</f>
        <v> олифункциональный набор   адуга   омплектация  предметов 12  видов фигур 6 </v>
      </c>
    </row>
    <row r="2052">
      <c r="A2052" s="35" t="s">
        <v>4750</v>
      </c>
      <c r="B2052" s="31" t="s">
        <v>4751</v>
      </c>
      <c r="C2052" s="31"/>
      <c r="D2052" s="37" t="s">
        <v>68</v>
      </c>
      <c r="E2052" s="10"/>
      <c r="F2052" s="36"/>
      <c r="G2052" s="11">
        <v>348137.0</v>
      </c>
      <c r="H2052" s="34" t="str">
        <f>IFERROR(__xludf.DUMMYFUNCTION("LOWER(REGEXREPLACE(B2052&amp;"" ""&amp;C2052,""[^а-яa-z0-9 ]"","" ""))")," онструктор   астер    омплектация  предметов 24  видов фигур 8 ")</f>
        <v> онструктор   астер    омплектация  предметов 24  видов фигур 8 </v>
      </c>
    </row>
    <row r="2053">
      <c r="A2053" s="35" t="s">
        <v>4752</v>
      </c>
      <c r="B2053" s="31" t="s">
        <v>4753</v>
      </c>
      <c r="C2053" s="31"/>
      <c r="D2053" s="37" t="s">
        <v>68</v>
      </c>
      <c r="E2053" s="10"/>
      <c r="F2053" s="36"/>
      <c r="G2053" s="11">
        <v>688480.0</v>
      </c>
      <c r="H2053" s="34" t="str">
        <f>IFERROR(__xludf.DUMMYFUNCTION("LOWER(REGEXREPLACE(B2053&amp;"" ""&amp;C2053,""[^а-яa-z0-9 ]"","" ""))")," онструктор   антазия    омплектация  предметов 13  видов фигур 6 ")</f>
        <v> онструктор   антазия    омплектация  предметов 13  видов фигур 6 </v>
      </c>
    </row>
    <row r="2054">
      <c r="A2054" s="35" t="s">
        <v>4754</v>
      </c>
      <c r="B2054" s="31" t="s">
        <v>4755</v>
      </c>
      <c r="C2054" s="31"/>
      <c r="D2054" s="37" t="s">
        <v>68</v>
      </c>
      <c r="E2054" s="10"/>
      <c r="F2054" s="36"/>
      <c r="G2054" s="11">
        <v>247679.0</v>
      </c>
      <c r="H2054" s="34" t="str">
        <f>IFERROR(__xludf.DUMMYFUNCTION("LOWER(REGEXREPLACE(B2054&amp;"" ""&amp;C2054,""[^а-яa-z0-9 ]"","" ""))")," олифункциональный набор   номик   омплектация  предметов 28  видов фигур 7 ")</f>
        <v> олифункциональный набор   номик   омплектация  предметов 28  видов фигур 7 </v>
      </c>
    </row>
    <row r="2055">
      <c r="A2055" s="35" t="s">
        <v>4756</v>
      </c>
      <c r="B2055" s="31" t="s">
        <v>4757</v>
      </c>
      <c r="C2055" s="31"/>
      <c r="D2055" s="37" t="s">
        <v>68</v>
      </c>
      <c r="E2055" s="10"/>
      <c r="F2055" s="36"/>
      <c r="G2055" s="11">
        <v>190523.0</v>
      </c>
      <c r="H2055" s="34" t="str">
        <f>IFERROR(__xludf.DUMMYFUNCTION("LOWER(REGEXREPLACE(B2055&amp;"" ""&amp;C2055,""[^а-яa-z0-9 ]"","" ""))")," онструктор   стровок        омплектация  предметов 9  видов фигур 4 ")</f>
        <v> онструктор   стровок        омплектация  предметов 9  видов фигур 4 </v>
      </c>
    </row>
    <row r="2056">
      <c r="A2056" s="35" t="s">
        <v>4758</v>
      </c>
      <c r="B2056" s="31" t="s">
        <v>4759</v>
      </c>
      <c r="C2056" s="31"/>
      <c r="D2056" s="37" t="s">
        <v>68</v>
      </c>
      <c r="E2056" s="10"/>
      <c r="F2056" s="36"/>
      <c r="G2056" s="11">
        <v>147222.0</v>
      </c>
      <c r="H2056" s="34" t="str">
        <f>IFERROR(__xludf.DUMMYFUNCTION("LOWER(REGEXREPLACE(B2056&amp;"" ""&amp;C2056,""[^а-яa-z0-9 ]"","" ""))")," онструктор   орка     омплектация  предметов 3  видов фигур 3 ")</f>
        <v> онструктор   орка     омплектация  предметов 3  видов фигур 3 </v>
      </c>
    </row>
    <row r="2057">
      <c r="A2057" s="35" t="s">
        <v>4760</v>
      </c>
      <c r="B2057" s="31" t="s">
        <v>4761</v>
      </c>
      <c r="C2057" s="31"/>
      <c r="D2057" s="37" t="s">
        <v>68</v>
      </c>
      <c r="E2057" s="10"/>
      <c r="F2057" s="36"/>
      <c r="G2057" s="11">
        <v>207843.0</v>
      </c>
      <c r="H2057" s="34" t="str">
        <f>IFERROR(__xludf.DUMMYFUNCTION("LOWER(REGEXREPLACE(B2057&amp;"" ""&amp;C2057,""[^а-яa-z0-9 ]"","" ""))")," онструктор   литка     омплектация  6 треугольников  скрепленных шарнирно   азмер  303х40х44 см ")</f>
        <v> онструктор   литка     омплектация  6 треугольников  скрепленных шарнирно   азмер  303х40х44 см </v>
      </c>
    </row>
    <row r="2058">
      <c r="A2058" s="35" t="s">
        <v>4762</v>
      </c>
      <c r="B2058" s="31" t="s">
        <v>4763</v>
      </c>
      <c r="C2058" s="31"/>
      <c r="D2058" s="37" t="s">
        <v>68</v>
      </c>
      <c r="E2058" s="10"/>
      <c r="F2058" s="36"/>
      <c r="G2058" s="11">
        <v>129902.0</v>
      </c>
      <c r="H2058" s="34" t="str">
        <f>IFERROR(__xludf.DUMMYFUNCTION("LOWER(REGEXREPLACE(B2058&amp;"" ""&amp;C2058,""[^а-яa-z0-9 ]"","" ""))")," онструктор   азлы   2      омплектация  предметов 2  видов фигур 2 ")</f>
        <v> онструктор   азлы   2      омплектация  предметов 2  видов фигур 2 </v>
      </c>
    </row>
    <row r="2059">
      <c r="A2059" s="35" t="s">
        <v>4764</v>
      </c>
      <c r="B2059" s="31" t="s">
        <v>4765</v>
      </c>
      <c r="C2059" s="31"/>
      <c r="D2059" s="36"/>
      <c r="E2059" s="10"/>
      <c r="F2059" s="36"/>
      <c r="G2059" s="11"/>
      <c r="H2059" s="34" t="str">
        <f>IFERROR(__xludf.DUMMYFUNCTION("LOWER(REGEXREPLACE(B2059&amp;"" ""&amp;C2059,""[^а-яa-z0-9 ]"","" ""))")," нтерактивные модули и панно ")</f>
        <v> нтерактивные модули и панно </v>
      </c>
    </row>
    <row r="2060">
      <c r="A2060" s="35" t="s">
        <v>4766</v>
      </c>
      <c r="B2060" s="31" t="s">
        <v>4767</v>
      </c>
      <c r="C2060" s="31"/>
      <c r="D2060" s="37" t="s">
        <v>14</v>
      </c>
      <c r="E2060" s="10"/>
      <c r="F2060" s="36"/>
      <c r="G2060" s="11"/>
      <c r="H2060" s="34" t="str">
        <f>IFERROR(__xludf.DUMMYFUNCTION("LOWER(REGEXREPLACE(B2060&amp;"" ""&amp;C2060,""[^а-яa-z0-9 ]"","" ""))")," нтерактивная звуковая панель для звукового воздействия  развития логики  игровой терапии и различать голоса животных ")</f>
        <v> нтерактивная звуковая панель для звукового воздействия  развития логики  игровой терапии и различать голоса животных </v>
      </c>
    </row>
    <row r="2061">
      <c r="A2061" s="35" t="s">
        <v>4768</v>
      </c>
      <c r="B2061" s="31" t="s">
        <v>4769</v>
      </c>
      <c r="C2061" s="31"/>
      <c r="D2061" s="37" t="s">
        <v>14</v>
      </c>
      <c r="E2061" s="10"/>
      <c r="F2061" s="36"/>
      <c r="G2061" s="11">
        <v>440800.0</v>
      </c>
      <c r="H2061" s="34" t="str">
        <f>IFERROR(__xludf.DUMMYFUNCTION("LOWER(REGEXREPLACE(B2061&amp;"" ""&amp;C2061,""[^а-яa-z0-9 ]"","" ""))")," нтерактивная звуковая панель   жунгли  размер   100  100 ")</f>
        <v> нтерактивная звуковая панель   жунгли  размер   100  100 </v>
      </c>
    </row>
    <row r="2062">
      <c r="A2062" s="35" t="s">
        <v>4770</v>
      </c>
      <c r="B2062" s="31" t="s">
        <v>4771</v>
      </c>
      <c r="C2062" s="31"/>
      <c r="D2062" s="37" t="s">
        <v>14</v>
      </c>
      <c r="E2062" s="10"/>
      <c r="F2062" s="36"/>
      <c r="G2062" s="11">
        <v>440800.0</v>
      </c>
      <c r="H2062" s="34" t="str">
        <f>IFERROR(__xludf.DUMMYFUNCTION("LOWER(REGEXREPLACE(B2062&amp;"" ""&amp;C2062,""[^а-яa-z0-9 ]"","" ""))")," нтерактивная звуковая панель   омашние животные   размер   100  100 ")</f>
        <v> нтерактивная звуковая панель   омашние животные   размер   100  100 </v>
      </c>
    </row>
    <row r="2063">
      <c r="A2063" s="35" t="s">
        <v>4772</v>
      </c>
      <c r="B2063" s="31" t="s">
        <v>4773</v>
      </c>
      <c r="C2063" s="31"/>
      <c r="D2063" s="37" t="s">
        <v>14</v>
      </c>
      <c r="E2063" s="10"/>
      <c r="F2063" s="36"/>
      <c r="G2063" s="11">
        <v>465049.0</v>
      </c>
      <c r="H2063" s="34" t="str">
        <f>IFERROR(__xludf.DUMMYFUNCTION("LOWER(REGEXREPLACE(B2063&amp;"" ""&amp;C2063,""[^а-яa-z0-9 ]"","" ""))")," нтерактивная звуковая панель   гадай звук   размер   45  48 ")</f>
        <v> нтерактивная звуковая панель   гадай звук   размер   45  48 </v>
      </c>
    </row>
    <row r="2064">
      <c r="A2064" s="35" t="s">
        <v>4774</v>
      </c>
      <c r="B2064" s="31" t="s">
        <v>4775</v>
      </c>
      <c r="C2064" s="31"/>
      <c r="D2064" s="37" t="s">
        <v>14</v>
      </c>
      <c r="E2064" s="10"/>
      <c r="F2064" s="36"/>
      <c r="G2064" s="11">
        <v>465915.0</v>
      </c>
      <c r="H2064" s="34" t="str">
        <f>IFERROR(__xludf.DUMMYFUNCTION("LOWER(REGEXREPLACE(B2064&amp;"" ""&amp;C2064,""[^а-яa-z0-9 ]"","" ""))")," нтерактивная звуковая панель   гадай звук  сравни животное   размер   40  80  13 ")</f>
        <v> нтерактивная звуковая панель   гадай звук  сравни животное   размер   40  80  13 </v>
      </c>
    </row>
    <row r="2065">
      <c r="A2065" s="35" t="s">
        <v>4776</v>
      </c>
      <c r="B2065" s="31" t="s">
        <v>4777</v>
      </c>
      <c r="C2065" s="31"/>
      <c r="D2065" s="37" t="s">
        <v>14</v>
      </c>
      <c r="E2065" s="10"/>
      <c r="F2065" s="36"/>
      <c r="G2065" s="11"/>
      <c r="H2065" s="34" t="str">
        <f>IFERROR(__xludf.DUMMYFUNCTION("LOWER(REGEXREPLACE(B2065&amp;"" ""&amp;C2065,""[^а-яa-z0-9 ]"","" ""))")," кустическая настенная тактильная панель ")</f>
        <v> кустическая настенная тактильная панель </v>
      </c>
    </row>
    <row r="2066">
      <c r="A2066" s="35" t="s">
        <v>4778</v>
      </c>
      <c r="B2066" s="31" t="s">
        <v>4777</v>
      </c>
      <c r="C2066" s="31"/>
      <c r="D2066" s="37" t="s">
        <v>14</v>
      </c>
      <c r="E2066" s="10"/>
      <c r="F2066" s="36"/>
      <c r="G2066" s="11">
        <v>322157.0</v>
      </c>
      <c r="H2066" s="34" t="str">
        <f>IFERROR(__xludf.DUMMYFUNCTION("LOWER(REGEXREPLACE(B2066&amp;"" ""&amp;C2066,""[^а-яa-z0-9 ]"","" ""))")," кустическая настенная тактильная панель ")</f>
        <v> кустическая настенная тактильная панель </v>
      </c>
    </row>
    <row r="2067">
      <c r="A2067" s="35" t="s">
        <v>4779</v>
      </c>
      <c r="B2067" s="31" t="s">
        <v>4780</v>
      </c>
      <c r="C2067" s="31"/>
      <c r="D2067" s="36"/>
      <c r="E2067" s="10"/>
      <c r="F2067" s="36"/>
      <c r="G2067" s="11"/>
      <c r="H2067" s="34" t="str">
        <f>IFERROR(__xludf.DUMMYFUNCTION("LOWER(REGEXREPLACE(B2067&amp;"" ""&amp;C2067,""[^а-яa-z0-9 ]"","" ""))")," идактические и обучающие игры и пособия ")</f>
        <v> идактические и обучающие игры и пособия </v>
      </c>
    </row>
    <row r="2068">
      <c r="A2068" s="35" t="s">
        <v>4781</v>
      </c>
      <c r="B2068" s="31" t="s">
        <v>4782</v>
      </c>
      <c r="C2068" s="31"/>
      <c r="D2068" s="37" t="s">
        <v>68</v>
      </c>
      <c r="E2068" s="10"/>
      <c r="F2068" s="36"/>
      <c r="G2068" s="11">
        <v>255474.0</v>
      </c>
      <c r="H2068" s="34" t="str">
        <f>IFERROR(__xludf.DUMMYFUNCTION("LOWER(REGEXREPLACE(B2068&amp;"" ""&amp;C2068,""[^а-яa-z0-9 ]"","" ""))")," истемный дидактический материал для формирования математических знаний ")</f>
        <v> истемный дидактический материал для формирования математических знаний </v>
      </c>
    </row>
    <row r="2069">
      <c r="A2069" s="35" t="s">
        <v>4783</v>
      </c>
      <c r="B2069" s="31" t="s">
        <v>4784</v>
      </c>
      <c r="C2069" s="31"/>
      <c r="D2069" s="37" t="s">
        <v>68</v>
      </c>
      <c r="E2069" s="10"/>
      <c r="F2069" s="36"/>
      <c r="G2069" s="11"/>
      <c r="H2069" s="34" t="str">
        <f>IFERROR(__xludf.DUMMYFUNCTION("LOWER(REGEXREPLACE(B2069&amp;"" ""&amp;C2069,""[^а-яa-z0-9 ]"","" ""))")," ультимедийный интерактивный обучающий программно методический комплекс ")</f>
        <v> ультимедийный интерактивный обучающий программно методический комплекс </v>
      </c>
    </row>
    <row r="2070">
      <c r="A2070" s="35" t="s">
        <v>4785</v>
      </c>
      <c r="B2070" s="31" t="s">
        <v>4786</v>
      </c>
      <c r="C2070" s="31"/>
      <c r="D2070" s="37" t="s">
        <v>68</v>
      </c>
      <c r="E2070" s="10"/>
      <c r="F2070" s="36"/>
      <c r="G2070" s="11">
        <v>3204245.0</v>
      </c>
      <c r="H2070" s="34" t="str">
        <f>IFERROR(__xludf.DUMMYFUNCTION("LOWER(REGEXREPLACE(B2070&amp;"" ""&amp;C2070,""[^а-яa-z0-9 ]"","" ""))")," ультимедийный интерактивный обучающий программно методический комплекс  du uest   зраиль   с персональным компьютером ")</f>
        <v> ультимедийный интерактивный обучающий программно методический комплекс  du uest   зраиль   с персональным компьютером </v>
      </c>
    </row>
    <row r="2071">
      <c r="A2071" s="13" t="s">
        <v>4787</v>
      </c>
      <c r="B2071" s="9"/>
      <c r="C2071" s="31"/>
      <c r="D2071" s="9"/>
      <c r="E2071" s="10"/>
      <c r="F2071" s="9"/>
      <c r="G2071" s="11"/>
      <c r="H2071" s="34" t="str">
        <f>IFERROR(__xludf.DUMMYFUNCTION("LOWER(REGEXREPLACE(B2071&amp;"" ""&amp;C2071,""[^а-яa-z0-9 ]"","" ""))")," ")</f>
        <v> </v>
      </c>
    </row>
    <row r="2072">
      <c r="A2072" s="35" t="s">
        <v>4788</v>
      </c>
      <c r="B2072" s="31" t="s">
        <v>4789</v>
      </c>
      <c r="C2072" s="31"/>
      <c r="D2072" s="36"/>
      <c r="E2072" s="10"/>
      <c r="F2072" s="36"/>
      <c r="G2072" s="11"/>
      <c r="H2072" s="34" t="str">
        <f>IFERROR(__xludf.DUMMYFUNCTION("LOWER(REGEXREPLACE(B2072&amp;"" ""&amp;C2072,""[^а-яa-z0-9 ]"","" ""))")," ал лечебной физкультуры ")</f>
        <v> ал лечебной физкультуры </v>
      </c>
    </row>
    <row r="2073">
      <c r="A2073" s="35" t="s">
        <v>4790</v>
      </c>
      <c r="B2073" s="31" t="s">
        <v>4791</v>
      </c>
      <c r="C2073" s="31"/>
      <c r="D2073" s="37" t="s">
        <v>14</v>
      </c>
      <c r="E2073" s="10"/>
      <c r="F2073" s="36"/>
      <c r="G2073" s="11"/>
      <c r="H2073" s="34" t="str">
        <f>IFERROR(__xludf.DUMMYFUNCTION("LOWER(REGEXREPLACE(B2073&amp;"" ""&amp;C2073,""[^а-яa-z0-9 ]"","" ""))")," есы медицинские ")</f>
        <v> есы медицинские </v>
      </c>
    </row>
    <row r="2074">
      <c r="A2074" s="35" t="s">
        <v>4792</v>
      </c>
      <c r="B2074" s="31" t="s">
        <v>4793</v>
      </c>
      <c r="C2074" s="31" t="s">
        <v>4794</v>
      </c>
      <c r="D2074" s="37" t="s">
        <v>14</v>
      </c>
      <c r="E2074" s="38">
        <v>2.0</v>
      </c>
      <c r="F2074" s="39">
        <v>2.3</v>
      </c>
      <c r="G2074" s="11">
        <v>247025.0</v>
      </c>
      <c r="H2074" s="34" t="str">
        <f>IFERROR(__xludf.DUMMYFUNCTION("LOWER(REGEXREPLACE(B2074&amp;"" ""&amp;C2074,""[^а-яa-z0-9 ]"","" ""))"),"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года"&amp;"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"&amp;"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д"&amp;"юйма    ес  2 3 кг   5 фунтов    итание  батарейки    омплектующие блоки    ключает 4 батарейки типа   ")</f>
        <v>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дюйма    ес  2 3 кг   5 фунтов    итание  батарейки    омплектующие блоки    ключает 4 батарейки типа   </v>
      </c>
    </row>
    <row r="2075">
      <c r="A2075" s="35" t="s">
        <v>4795</v>
      </c>
      <c r="B2075" s="9" t="s">
        <v>4796</v>
      </c>
      <c r="C2075" s="31" t="s">
        <v>4797</v>
      </c>
      <c r="D2075" s="37" t="s">
        <v>14</v>
      </c>
      <c r="E2075" s="38">
        <v>2.0</v>
      </c>
      <c r="F2075" s="39">
        <v>6.2</v>
      </c>
      <c r="G2075" s="11">
        <v>732284.0</v>
      </c>
      <c r="H2075" s="34" t="str">
        <f>IFERROR(__xludf.DUMMYFUNCTION("LOWER(REGEXREPLACE(B2075&amp;"" ""&amp;C2075,""[^а-яa-z0-9 ]"","" ""))"),"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"&amp;"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f>
        <v>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v>
      </c>
    </row>
    <row r="2076">
      <c r="A2076" s="35" t="s">
        <v>4798</v>
      </c>
      <c r="B2076" s="31" t="s">
        <v>4799</v>
      </c>
      <c r="C2076" s="31"/>
      <c r="D2076" s="37" t="s">
        <v>14</v>
      </c>
      <c r="E2076" s="10"/>
      <c r="F2076" s="36"/>
      <c r="G2076" s="11"/>
      <c r="H2076" s="34" t="str">
        <f>IFERROR(__xludf.DUMMYFUNCTION("LOWER(REGEXREPLACE(B2076&amp;"" ""&amp;C2076,""[^а-яa-z0-9 ]"","" ""))")," ента измерительная ")</f>
        <v> ента измерительная </v>
      </c>
    </row>
    <row r="2077">
      <c r="A2077" s="35" t="s">
        <v>4800</v>
      </c>
      <c r="B2077" s="31" t="s">
        <v>4801</v>
      </c>
      <c r="C2077" s="31" t="s">
        <v>4802</v>
      </c>
      <c r="D2077" s="37" t="s">
        <v>14</v>
      </c>
      <c r="E2077" s="10"/>
      <c r="F2077" s="39">
        <v>0.2</v>
      </c>
      <c r="G2077" s="11">
        <v>1528.0</v>
      </c>
      <c r="H2077" s="34" t="str">
        <f>IFERROR(__xludf.DUMMYFUNCTION("LOWER(REGEXREPLACE(B2077&amp;"" ""&amp;C2077,""[^а-яa-z0-9 ]"","" ""))")," ента измерительная  длина 1000 мм      с армированным нейлоном  делан из     с армированным нейлоном   лина ленты 1000мм  шкала с ценой деления 100мм ")</f>
        <v> ента измерительная  длина 1000 мм      с армированным нейлоном  делан из     с армированным нейлоном   лина ленты 1000мм  шкала с ценой деления 100мм </v>
      </c>
    </row>
    <row r="2078">
      <c r="A2078" s="35" t="s">
        <v>4803</v>
      </c>
      <c r="B2078" s="31" t="s">
        <v>4804</v>
      </c>
      <c r="C2078" s="31" t="s">
        <v>4805</v>
      </c>
      <c r="D2078" s="37" t="s">
        <v>14</v>
      </c>
      <c r="E2078" s="10"/>
      <c r="F2078" s="42">
        <v>0.005</v>
      </c>
      <c r="G2078" s="11">
        <v>530.0</v>
      </c>
      <c r="H2078" s="34" t="str">
        <f>IFERROR(__xludf.DUMMYFUNCTION("LOWER(REGEXREPLACE(B2078&amp;"" ""&amp;C2078,""[^а-яa-z0-9 ]"","" ""))")," ента измерительная  длина 1500 мм  гибкая с нанесенными делениями  ента измерительная двухсторонняя сантиметровая  гибкая с нанесенными делениями ")</f>
        <v> ента измерительная  длина 1500 мм  гибкая с нанесенными делениями  ента измерительная двухсторонняя сантиметровая  гибкая с нанесенными делениями </v>
      </c>
    </row>
    <row r="2079">
      <c r="A2079" s="35" t="s">
        <v>4806</v>
      </c>
      <c r="B2079" s="31" t="s">
        <v>4807</v>
      </c>
      <c r="C2079" s="31"/>
      <c r="D2079" s="37" t="s">
        <v>14</v>
      </c>
      <c r="E2079" s="10"/>
      <c r="F2079" s="36"/>
      <c r="G2079" s="11">
        <v>52604.0</v>
      </c>
      <c r="H2079" s="34" t="str">
        <f>IFERROR(__xludf.DUMMYFUNCTION("LOWER(REGEXREPLACE(B2079&amp;"" ""&amp;C2079,""[^а-яa-z0-9 ]"","" ""))")," ведская стенка ")</f>
        <v> ведская стенка </v>
      </c>
    </row>
    <row r="2080">
      <c r="A2080" s="35" t="s">
        <v>4808</v>
      </c>
      <c r="B2080" s="31" t="s">
        <v>4809</v>
      </c>
      <c r="C2080" s="31" t="s">
        <v>4810</v>
      </c>
      <c r="D2080" s="37" t="s">
        <v>14</v>
      </c>
      <c r="E2080" s="10"/>
      <c r="F2080" s="36"/>
      <c r="G2080" s="11">
        <v>58454.0</v>
      </c>
      <c r="H2080" s="34" t="str">
        <f>IFERROR(__xludf.DUMMYFUNCTION("LOWER(REGEXREPLACE(B2080&amp;"" ""&amp;C2080,""[^а-яa-z0-9 ]"","" ""))"),"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складывает"&amp;"ся   азмеры  1800 х 460 х 460 мм ")</f>
        <v>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складывается   азмеры  1800 х 460 х 460 мм </v>
      </c>
    </row>
    <row r="2081">
      <c r="A2081" s="35" t="s">
        <v>4811</v>
      </c>
      <c r="B2081" s="31" t="s">
        <v>4812</v>
      </c>
      <c r="C2081" s="31"/>
      <c r="D2081" s="37" t="s">
        <v>14</v>
      </c>
      <c r="E2081" s="10"/>
      <c r="F2081" s="36"/>
      <c r="G2081" s="11"/>
      <c r="H2081" s="34" t="str">
        <f>IFERROR(__xludf.DUMMYFUNCTION("LOWER(REGEXREPLACE(B2081&amp;"" ""&amp;C2081,""[^а-яa-z0-9 ]"","" ""))")," атут ")</f>
        <v> атут </v>
      </c>
    </row>
    <row r="2082">
      <c r="A2082" s="35" t="s">
        <v>4813</v>
      </c>
      <c r="B2082" s="31" t="s">
        <v>4814</v>
      </c>
      <c r="C2082" s="31"/>
      <c r="D2082" s="37" t="s">
        <v>14</v>
      </c>
      <c r="E2082" s="10"/>
      <c r="F2082" s="36"/>
      <c r="G2082" s="11">
        <v>264134.0</v>
      </c>
      <c r="H2082" s="34" t="str">
        <f>IFERROR(__xludf.DUMMYFUNCTION("LOWER(REGEXREPLACE(B2082&amp;"" ""&amp;C2082,""[^а-яa-z0-9 ]"","" ""))")," етский каркасный пружинный батут   рыжок    азмер  120х120х29 см ")</f>
        <v> етский каркасный пружинный батут   рыжок    азмер  120х120х29 см </v>
      </c>
    </row>
    <row r="2083">
      <c r="A2083" s="35" t="s">
        <v>4815</v>
      </c>
      <c r="B2083" s="31" t="s">
        <v>4816</v>
      </c>
      <c r="C2083" s="31"/>
      <c r="D2083" s="36"/>
      <c r="E2083" s="10"/>
      <c r="F2083" s="36"/>
      <c r="G2083" s="11"/>
      <c r="H2083" s="34" t="str">
        <f>IFERROR(__xludf.DUMMYFUNCTION("LOWER(REGEXREPLACE(B2083&amp;"" ""&amp;C2083,""[^а-яa-z0-9 ]"","" ""))")," абинет логопеда ")</f>
        <v> абинет логопеда </v>
      </c>
    </row>
    <row r="2084">
      <c r="A2084" s="35" t="s">
        <v>4817</v>
      </c>
      <c r="B2084" s="31" t="s">
        <v>4818</v>
      </c>
      <c r="C2084" s="31"/>
      <c r="D2084" s="37" t="s">
        <v>68</v>
      </c>
      <c r="E2084" s="10"/>
      <c r="F2084" s="36"/>
      <c r="G2084" s="11"/>
      <c r="H2084" s="34" t="str">
        <f>IFERROR(__xludf.DUMMYFUNCTION("LOWER(REGEXREPLACE(B2084&amp;"" ""&amp;C2084,""[^а-яa-z0-9 ]"","" ""))")," огопедический зонд постановочный ")</f>
        <v> огопедический зонд постановочный </v>
      </c>
    </row>
    <row r="2085">
      <c r="A2085" s="35" t="s">
        <v>4819</v>
      </c>
      <c r="B2085" s="31" t="s">
        <v>4820</v>
      </c>
      <c r="C2085" s="31"/>
      <c r="D2085" s="37" t="s">
        <v>68</v>
      </c>
      <c r="E2085" s="10"/>
      <c r="F2085" s="36"/>
      <c r="G2085" s="11">
        <v>32042.0</v>
      </c>
      <c r="H2085" s="34" t="str">
        <f>IFERROR(__xludf.DUMMYFUNCTION("LOWER(REGEXREPLACE(B2085&amp;"" ""&amp;C2085,""[^а-яa-z0-9 ]"","" ""))")," онды постановочные  комплект из 7 штук  по методике      ау  ")</f>
        <v> онды постановочные  комплект из 7 штук  по методике      ау  </v>
      </c>
    </row>
    <row r="2086">
      <c r="A2086" s="35" t="s">
        <v>4821</v>
      </c>
      <c r="B2086" s="31" t="s">
        <v>4822</v>
      </c>
      <c r="C2086" s="31"/>
      <c r="D2086" s="37" t="s">
        <v>68</v>
      </c>
      <c r="E2086" s="10"/>
      <c r="F2086" s="36"/>
      <c r="G2086" s="11"/>
      <c r="H2086" s="34" t="str">
        <f>IFERROR(__xludf.DUMMYFUNCTION("LOWER(REGEXREPLACE(B2086&amp;"" ""&amp;C2086,""[^а-яa-z0-9 ]"","" ""))")," огопедический зонд массажный ")</f>
        <v> огопедический зонд массажный </v>
      </c>
    </row>
    <row r="2087">
      <c r="A2087" s="35" t="s">
        <v>4823</v>
      </c>
      <c r="B2087" s="31" t="s">
        <v>4824</v>
      </c>
      <c r="C2087" s="31"/>
      <c r="D2087" s="37" t="s">
        <v>68</v>
      </c>
      <c r="E2087" s="10"/>
      <c r="F2087" s="36"/>
      <c r="G2087" s="11">
        <v>38971.0</v>
      </c>
      <c r="H2087" s="34" t="str">
        <f>IFERROR(__xludf.DUMMYFUNCTION("LOWER(REGEXREPLACE(B2087&amp;"" ""&amp;C2087,""[^а-яa-z0-9 ]"","" ""))")," онды массажные  комплект из 12 штук ")</f>
        <v> онды массажные  комплект из 12 штук </v>
      </c>
    </row>
    <row r="2088">
      <c r="A2088" s="35" t="s">
        <v>4825</v>
      </c>
      <c r="B2088" s="31" t="s">
        <v>4826</v>
      </c>
      <c r="C2088" s="31"/>
      <c r="D2088" s="37" t="s">
        <v>68</v>
      </c>
      <c r="E2088" s="10"/>
      <c r="F2088" s="36"/>
      <c r="G2088" s="11">
        <v>20784.0</v>
      </c>
      <c r="H2088" s="34" t="str">
        <f>IFERROR(__xludf.DUMMYFUNCTION("LOWER(REGEXREPLACE(B2088&amp;"" ""&amp;C2088,""[^а-яa-z0-9 ]"","" ""))")," онды массажные  комплект из 8 штук ")</f>
        <v> онды массажные  комплект из 8 штук </v>
      </c>
    </row>
    <row r="2089">
      <c r="A2089" s="35" t="s">
        <v>4827</v>
      </c>
      <c r="B2089" s="31" t="s">
        <v>4828</v>
      </c>
      <c r="C2089" s="31"/>
      <c r="D2089" s="37" t="s">
        <v>68</v>
      </c>
      <c r="E2089" s="10"/>
      <c r="F2089" s="36"/>
      <c r="G2089" s="11">
        <v>17320.0</v>
      </c>
      <c r="H2089" s="34" t="str">
        <f>IFERROR(__xludf.DUMMYFUNCTION("LOWER(REGEXREPLACE(B2089&amp;"" ""&amp;C2089,""[^а-яa-z0-9 ]"","" ""))")," онды массажные  комплект из 4 штук ")</f>
        <v> онды массажные  комплект из 4 штук </v>
      </c>
    </row>
    <row r="2090">
      <c r="A2090" s="35" t="s">
        <v>4829</v>
      </c>
      <c r="B2090" s="31" t="s">
        <v>4830</v>
      </c>
      <c r="C2090" s="31"/>
      <c r="D2090" s="36"/>
      <c r="E2090" s="10"/>
      <c r="F2090" s="36"/>
      <c r="G2090" s="11"/>
      <c r="H2090" s="34" t="str">
        <f>IFERROR(__xludf.DUMMYFUNCTION("LOWER(REGEXREPLACE(B2090&amp;"" ""&amp;C2090,""[^а-яa-z0-9 ]"","" ""))")," абинет психолога ")</f>
        <v> абинет психолога </v>
      </c>
    </row>
    <row r="2091">
      <c r="A2091" s="35" t="s">
        <v>4831</v>
      </c>
      <c r="B2091" s="31" t="s">
        <v>4832</v>
      </c>
      <c r="C2091" s="31"/>
      <c r="D2091" s="37" t="s">
        <v>14</v>
      </c>
      <c r="E2091" s="10"/>
      <c r="F2091" s="36"/>
      <c r="G2091" s="11"/>
      <c r="H2091" s="34" t="str">
        <f>IFERROR(__xludf.DUMMYFUNCTION("LOWER(REGEXREPLACE(B2091&amp;"" ""&amp;C2091,""[^а-яa-z0-9 ]"","" ""))")," иван ")</f>
        <v> иван </v>
      </c>
    </row>
    <row r="2092">
      <c r="A2092" s="35" t="s">
        <v>4833</v>
      </c>
      <c r="B2092" s="9" t="s">
        <v>4834</v>
      </c>
      <c r="C2092" s="31"/>
      <c r="D2092" s="37" t="s">
        <v>14</v>
      </c>
      <c r="E2092" s="10"/>
      <c r="F2092" s="36"/>
      <c r="G2092" s="11">
        <v>125277.0</v>
      </c>
      <c r="H2092" s="34" t="str">
        <f>IFERROR(__xludf.DUMMYFUNCTION("LOWER(REGEXREPLACE(B2092&amp;"" ""&amp;C2092,""[^а-яa-z0-9 ]"","" ""))")," иван  модель  раво  3    лина  1820 мм  ширина  830 мм  высота  730 мм  посадочных мест  3  материал  обивка   эко кожа  наполнитель  поролон  синтепон  синтепух ")</f>
        <v> иван  модель  раво  3    лина  1820 мм  ширина  830 мм  высота  730 мм  посадочных мест  3  материал  обивка   эко кожа  наполнитель  поролон  синтепон  синтепух </v>
      </c>
    </row>
    <row r="2093">
      <c r="A2093" s="35" t="s">
        <v>4835</v>
      </c>
      <c r="B2093" s="31" t="s">
        <v>4836</v>
      </c>
      <c r="C2093" s="31"/>
      <c r="D2093" s="37" t="s">
        <v>14</v>
      </c>
      <c r="E2093" s="10"/>
      <c r="F2093" s="36"/>
      <c r="G2093" s="11">
        <v>122460.0</v>
      </c>
      <c r="H2093" s="34" t="str">
        <f>IFERROR(__xludf.DUMMYFUNCTION("LOWER(REGEXREPLACE(B2093&amp;"" ""&amp;C2093,""[^а-яa-z0-9 ]"","" ""))")," иван  модель   лья    лина  1920 мм  ширина  840 мм  высота  720 мм  посадочных мест  3  наполнитель  поролон  синтепон  синтепух ")</f>
        <v> иван  модель   лья    лина  1920 мм  ширина  840 мм  высота  720 мм  посадочных мест  3  наполнитель  поролон  синтепон  синтепух </v>
      </c>
    </row>
    <row r="2094">
      <c r="A2094" s="35" t="s">
        <v>4837</v>
      </c>
      <c r="B2094" s="9" t="s">
        <v>4838</v>
      </c>
      <c r="C2094" s="31"/>
      <c r="D2094" s="37" t="s">
        <v>14</v>
      </c>
      <c r="E2094" s="10"/>
      <c r="F2094" s="36"/>
      <c r="G2094" s="11">
        <v>142020.0</v>
      </c>
      <c r="H2094" s="34" t="str">
        <f>IFERROR(__xludf.DUMMYFUNCTION("LOWER(REGEXREPLACE(B2094&amp;"" ""&amp;C2094,""[^а-яa-z0-9 ]"","" ""))")," иван  модель  улагер  2    лина  1590 мм  ширина  900 мм  высота до сидения  650 мм  посадочных мест  2  материал  обивка   эко кожа  наполнитель  поролон  синтепон ")</f>
        <v> иван  модель  улагер  2    лина  1590 мм  ширина  900 мм  высота до сидения  650 мм  посадочных мест  2  материал  обивка   эко кожа  наполнитель  поролон  синтепон </v>
      </c>
    </row>
    <row r="2095">
      <c r="A2095" s="35" t="s">
        <v>4839</v>
      </c>
      <c r="B2095" s="9" t="s">
        <v>4840</v>
      </c>
      <c r="C2095" s="31"/>
      <c r="D2095" s="37" t="s">
        <v>14</v>
      </c>
      <c r="E2095" s="10"/>
      <c r="F2095" s="36"/>
      <c r="G2095" s="11">
        <v>158773.0</v>
      </c>
      <c r="H2095" s="34" t="str">
        <f>IFERROR(__xludf.DUMMYFUNCTION("LOWER(REGEXREPLACE(B2095&amp;"" ""&amp;C2095,""[^а-яa-z0-9 ]"","" ""))")," иван  модель  улагер  3    лина  1970 мм  ширина  900 мм  высота до сидения  650 мм  посадочных мест  3  материал  обивка   эко кожа  наполнитель  поролон  синтепон ")</f>
        <v> иван  модель  улагер  3    лина  1970 мм  ширина  900 мм  высота до сидения  650 мм  посадочных мест  3  материал  обивка   эко кожа  наполнитель  поролон  синтепон </v>
      </c>
    </row>
    <row r="2096">
      <c r="A2096" s="35" t="s">
        <v>4841</v>
      </c>
      <c r="B2096" s="31" t="s">
        <v>4842</v>
      </c>
      <c r="C2096" s="31"/>
      <c r="D2096" s="37" t="s">
        <v>14</v>
      </c>
      <c r="E2096" s="10"/>
      <c r="F2096" s="36"/>
      <c r="G2096" s="11">
        <v>164286.0</v>
      </c>
      <c r="H2096" s="34" t="str">
        <f>IFERROR(__xludf.DUMMYFUNCTION("LOWER(REGEXREPLACE(B2096&amp;"" ""&amp;C2096,""[^а-яa-z0-9 ]"","" ""))"),"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f>
        <v>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v>
      </c>
    </row>
    <row r="2097">
      <c r="A2097" s="35" t="s">
        <v>4843</v>
      </c>
      <c r="B2097" s="31" t="s">
        <v>4844</v>
      </c>
      <c r="C2097" s="31"/>
      <c r="D2097" s="37" t="s">
        <v>14</v>
      </c>
      <c r="E2097" s="10"/>
      <c r="F2097" s="36"/>
      <c r="G2097" s="11">
        <v>160630.0</v>
      </c>
      <c r="H2097" s="34" t="str">
        <f>IFERROR(__xludf.DUMMYFUNCTION("LOWER(REGEXREPLACE(B2097&amp;"" ""&amp;C2097,""[^а-яa-z0-9 ]"","" ""))")," иван  модель  иверпуль  2    лина  1500 мм  ширина  940 мм  высота  890 мм  посадочных мест  2  материал  обивка   гобелен уплотненный  наполнитель  поролон  синтепон ")</f>
        <v> иван  модель  иверпуль  2    лина  1500 мм  ширина  940 мм  высота  890 мм  посадочных мест  2  материал  обивка   гобелен уплотненный  наполнитель  поролон  синтепон </v>
      </c>
    </row>
    <row r="2098">
      <c r="A2098" s="35" t="s">
        <v>4845</v>
      </c>
      <c r="B2098" s="31" t="s">
        <v>4846</v>
      </c>
      <c r="C2098" s="31"/>
      <c r="D2098" s="37" t="s">
        <v>14</v>
      </c>
      <c r="E2098" s="10"/>
      <c r="F2098" s="36"/>
      <c r="G2098" s="11">
        <v>184839.0</v>
      </c>
      <c r="H2098" s="34" t="str">
        <f>IFERROR(__xludf.DUMMYFUNCTION("LOWER(REGEXREPLACE(B2098&amp;"" ""&amp;C2098,""[^а-яa-z0-9 ]"","" ""))")," иван  модель  иверпуль  3    лина  2030 мм  ширина  940 мм  высота  890 мм  посадочных мест  3  наполнитель  поролон  синтепон  синтепух ")</f>
        <v> иван  модель  иверпуль  3    лина  2030 мм  ширина  940 мм  высота  890 мм  посадочных мест  3  наполнитель  поролон  синтепон  синтепух </v>
      </c>
    </row>
    <row r="2099">
      <c r="A2099" s="35" t="s">
        <v>4847</v>
      </c>
      <c r="B2099" s="9" t="s">
        <v>4848</v>
      </c>
      <c r="C2099" s="31"/>
      <c r="D2099" s="37" t="s">
        <v>14</v>
      </c>
      <c r="E2099" s="10"/>
      <c r="F2099" s="36"/>
      <c r="G2099" s="11">
        <v>99915.0</v>
      </c>
      <c r="H2099" s="34" t="str">
        <f>IFERROR(__xludf.DUMMYFUNCTION("LOWER(REGEXREPLACE(B2099&amp;"" ""&amp;C2099,""[^а-яa-z0-9 ]"","" ""))")," иван  модель   айс 2    лина  1330 мм  ширина  750 мм  высота  700 мм  посадочных мест  2  материал  обивка   эко кожа  наполнитель  поролон  синтепон  синтепух ")</f>
        <v> иван  модель   айс 2    лина  1330 мм  ширина  750 мм  высота  700 мм  посадочных мест  2  материал  обивка   эко кожа  наполнитель  поролон  синтепон  синтепух </v>
      </c>
    </row>
    <row r="2100">
      <c r="A2100" s="35" t="s">
        <v>4849</v>
      </c>
      <c r="B2100" s="9" t="s">
        <v>4850</v>
      </c>
      <c r="C2100" s="31"/>
      <c r="D2100" s="37" t="s">
        <v>14</v>
      </c>
      <c r="E2100" s="10"/>
      <c r="F2100" s="36"/>
      <c r="G2100" s="11">
        <v>128679.0</v>
      </c>
      <c r="H2100" s="34" t="str">
        <f>IFERROR(__xludf.DUMMYFUNCTION("LOWER(REGEXREPLACE(B2100&amp;"" ""&amp;C2100,""[^а-яa-z0-9 ]"","" ""))"),"  иван  модель  ллегро   2     лина  1760 мм  ширина  760 мм  высота  640 мм  посадочных мест  2  материал  обивка   эко кожа  наполнитель  поролон  синтепон  синтепух  ")</f>
        <v>  иван  модель  ллегро   2     лина  1760 мм  ширина  760 мм  высота  640 мм  посадочных мест  2  материал  обивка   эко кожа  наполнитель  поролон  синтепон  синтепух  </v>
      </c>
    </row>
    <row r="2101">
      <c r="A2101" s="35" t="s">
        <v>4851</v>
      </c>
      <c r="B2101" s="9" t="s">
        <v>4852</v>
      </c>
      <c r="C2101" s="31"/>
      <c r="D2101" s="37" t="s">
        <v>14</v>
      </c>
      <c r="E2101" s="10"/>
      <c r="F2101" s="36"/>
      <c r="G2101" s="11">
        <v>103143.0</v>
      </c>
      <c r="H2101" s="34" t="str">
        <f>IFERROR(__xludf.DUMMYFUNCTION("LOWER(REGEXREPLACE(B2101&amp;"" ""&amp;C2101,""[^а-яa-z0-9 ]"","" ""))")," иван  модель  раво  2    лина  1350 мм  ширина  830 мм  высота  730 мм  посадочных мест  2  материал  обивка   эко кожа  наполнитель  поролон  синтепон  синтепух ")</f>
        <v> иван  модель  раво  2    лина  1350 мм  ширина  830 мм  высота  730 мм  посадочных мест  2  материал  обивка   эко кожа  наполнитель  поролон  синтепон  синтепух </v>
      </c>
    </row>
    <row r="2102">
      <c r="A2102" s="35" t="s">
        <v>4853</v>
      </c>
      <c r="B2102" s="31" t="s">
        <v>4854</v>
      </c>
      <c r="C2102" s="31"/>
      <c r="D2102" s="37" t="s">
        <v>14</v>
      </c>
      <c r="E2102" s="10"/>
      <c r="F2102" s="36"/>
      <c r="G2102" s="11">
        <v>108147.0</v>
      </c>
      <c r="H2102" s="34" t="str">
        <f>IFERROR(__xludf.DUMMYFUNCTION("LOWER(REGEXREPLACE(B2102&amp;"" ""&amp;C2102,""[^а-яa-z0-9 ]"","" ""))"),"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f>
        <v>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v>
      </c>
    </row>
    <row r="2103">
      <c r="A2103" s="35" t="s">
        <v>4855</v>
      </c>
      <c r="B2103" s="31" t="s">
        <v>4856</v>
      </c>
      <c r="C2103" s="31"/>
      <c r="D2103" s="37" t="s">
        <v>14</v>
      </c>
      <c r="E2103" s="10"/>
      <c r="F2103" s="36"/>
      <c r="G2103" s="11">
        <v>131634.0</v>
      </c>
      <c r="H2103" s="34" t="str">
        <f>IFERROR(__xludf.DUMMYFUNCTION("LOWER(REGEXREPLACE(B2103&amp;"" ""&amp;C2103,""[^а-яa-z0-9 ]"","" ""))")," иван  модель  руно  3    лина  2250 мм  ширина  870 мм  высота  590 мм  посадочных мест  3  материал  обивка   гобелен кзам     наполнитель  поролон  синтепон  синтепух ")</f>
        <v> иван  модель  руно  3    лина  2250 мм  ширина  870 мм  высота  590 мм  посадочных мест  3  материал  обивка   гобелен кзам     наполнитель  поролон  синтепон  синтепух </v>
      </c>
    </row>
    <row r="2104">
      <c r="A2104" s="35" t="s">
        <v>4857</v>
      </c>
      <c r="B2104" s="31" t="s">
        <v>4858</v>
      </c>
      <c r="C2104" s="31"/>
      <c r="D2104" s="37" t="s">
        <v>14</v>
      </c>
      <c r="E2104" s="10"/>
      <c r="F2104" s="36"/>
      <c r="G2104" s="11">
        <v>131098.0</v>
      </c>
      <c r="H2104" s="34" t="str">
        <f>IFERROR(__xludf.DUMMYFUNCTION("LOWER(REGEXREPLACE(B2104&amp;"" ""&amp;C2104,""[^а-яa-z0-9 ]"","" ""))"),"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f>
        <v>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v>
      </c>
    </row>
    <row r="2105">
      <c r="A2105" s="35" t="s">
        <v>4859</v>
      </c>
      <c r="B2105" s="31" t="s">
        <v>4860</v>
      </c>
      <c r="C2105" s="31"/>
      <c r="D2105" s="37" t="s">
        <v>14</v>
      </c>
      <c r="E2105" s="10"/>
      <c r="F2105" s="36"/>
      <c r="G2105" s="11">
        <v>164763.0</v>
      </c>
      <c r="H2105" s="34" t="str">
        <f>IFERROR(__xludf.DUMMYFUNCTION("LOWER(REGEXREPLACE(B2105&amp;"" ""&amp;C2105,""[^а-яa-z0-9 ]"","" ""))")," иван  модель  ерсаль  3    лина  2110 мм  ширина  840 мм  высота  750 мм  посадочных мест  3  наполнитель  поролон  синтепон  синтепух ")</f>
        <v> иван  модель  ерсаль  3    лина  2110 мм  ширина  840 мм  высота  750 мм  посадочных мест  3  наполнитель  поролон  синтепон  синтепух </v>
      </c>
    </row>
    <row r="2106">
      <c r="A2106" s="35" t="s">
        <v>4861</v>
      </c>
      <c r="B2106" s="31" t="s">
        <v>4862</v>
      </c>
      <c r="C2106" s="31"/>
      <c r="D2106" s="37" t="s">
        <v>14</v>
      </c>
      <c r="E2106" s="10"/>
      <c r="F2106" s="36"/>
      <c r="G2106" s="11">
        <v>168612.0</v>
      </c>
      <c r="H2106" s="34" t="str">
        <f>IFERROR(__xludf.DUMMYFUNCTION("LOWER(REGEXREPLACE(B2106&amp;"" ""&amp;C2106,""[^а-яa-z0-9 ]"","" ""))")," иван  модель  иктория  3    лина  2300 мм  ширина  960 мм  высота  640 мм  посадочных мест  3  материал  обивка   эко кожа  наполнитель  поролон  синтепон ")</f>
        <v> иван  модель  иктория  3    лина  2300 мм  ширина  960 мм  высота  640 мм  посадочных мест  3  материал  обивка   эко кожа  наполнитель  поролон  синтепон </v>
      </c>
    </row>
    <row r="2107">
      <c r="A2107" s="35" t="s">
        <v>4863</v>
      </c>
      <c r="B2107" s="9" t="s">
        <v>4864</v>
      </c>
      <c r="C2107" s="31"/>
      <c r="D2107" s="37" t="s">
        <v>14</v>
      </c>
      <c r="E2107" s="10"/>
      <c r="F2107" s="36"/>
      <c r="G2107" s="11">
        <v>134339.0</v>
      </c>
      <c r="H2107" s="34" t="str">
        <f>IFERROR(__xludf.DUMMYFUNCTION("LOWER(REGEXREPLACE(B2107&amp;"" ""&amp;C2107,""[^а-яa-z0-9 ]"","" ""))")," иван  модель  амильтон  3    лина  2140 мм  ширина  770 мм  высота  600 мм  посадочных мест  3  материал  обивка   эко кожа  наполнитель  поролон  синтепон  синтепух ")</f>
        <v> иван  модель  амильтон  3    лина  2140 мм  ширина  770 мм  высота  600 мм  посадочных мест  3  материал  обивка   эко кожа  наполнитель  поролон  синтепон  синтепух </v>
      </c>
    </row>
    <row r="2108">
      <c r="A2108" s="35" t="s">
        <v>4865</v>
      </c>
      <c r="B2108" s="31" t="s">
        <v>4866</v>
      </c>
      <c r="C2108" s="31"/>
      <c r="D2108" s="37" t="s">
        <v>14</v>
      </c>
      <c r="E2108" s="10"/>
      <c r="F2108" s="36"/>
      <c r="G2108" s="11">
        <v>133348.0</v>
      </c>
      <c r="H2108" s="34" t="str">
        <f>IFERROR(__xludf.DUMMYFUNCTION("LOWER(REGEXREPLACE(B2108&amp;"" ""&amp;C2108,""[^а-яa-z0-9 ]"","" ""))")," иван  модель   еральд 2    лина  1970 мм  ширина  800 мм  высота  700 мм  посадочных мест  2  материал  обивка   гобелен эко кожа  наполнитель  поролон  синтепон  синтепух ")</f>
        <v> иван  модель   еральд 2    лина  1970 мм  ширина  800 мм  высота  700 мм  посадочных мест  2  материал  обивка   гобелен эко кожа  наполнитель  поролон  синтепон  синтепух </v>
      </c>
    </row>
    <row r="2109">
      <c r="A2109" s="35" t="s">
        <v>4867</v>
      </c>
      <c r="B2109" s="31" t="s">
        <v>4868</v>
      </c>
      <c r="C2109" s="31"/>
      <c r="D2109" s="37" t="s">
        <v>14</v>
      </c>
      <c r="E2109" s="10"/>
      <c r="F2109" s="36"/>
      <c r="G2109" s="11">
        <v>133531.0</v>
      </c>
      <c r="H2109" s="34" t="str">
        <f>IFERROR(__xludf.DUMMYFUNCTION("LOWER(REGEXREPLACE(B2109&amp;"" ""&amp;C2109,""[^а-яa-z0-9 ]"","" ""))")," иван  модель   рион 3    лина  2050 мм  ширина  850 мм  высота  650 мм  посадочных мест  3  наполнитель  поролон  синтепон ")</f>
        <v> иван  модель   рион 3    лина  2050 мм  ширина  850 мм  высота  650 мм  посадочных мест  3  наполнитель  поролон  синтепон </v>
      </c>
    </row>
    <row r="2110">
      <c r="A2110" s="35" t="s">
        <v>4869</v>
      </c>
      <c r="B2110" s="31" t="s">
        <v>4870</v>
      </c>
      <c r="C2110" s="31"/>
      <c r="D2110" s="37" t="s">
        <v>14</v>
      </c>
      <c r="E2110" s="10"/>
      <c r="F2110" s="36"/>
      <c r="G2110" s="11">
        <v>123228.0</v>
      </c>
      <c r="H2110" s="34" t="str">
        <f>IFERROR(__xludf.DUMMYFUNCTION("LOWER(REGEXREPLACE(B2110&amp;"" ""&amp;C2110,""[^а-яa-z0-9 ]"","" ""))")," иван  модель   офи    лина  2070 мм  ширина  780 мм  высота  640 мм  посадочных мест  3  наполнитель  поролон  синтепон ")</f>
        <v> иван  модель   офи    лина  2070 мм  ширина  780 мм  высота  640 мм  посадочных мест  3  наполнитель  поролон  синтепон </v>
      </c>
    </row>
    <row r="2111">
      <c r="A2111" s="35" t="s">
        <v>4871</v>
      </c>
      <c r="B2111" s="31" t="s">
        <v>4872</v>
      </c>
      <c r="C2111" s="31"/>
      <c r="D2111" s="37" t="s">
        <v>14</v>
      </c>
      <c r="E2111" s="10"/>
      <c r="F2111" s="36"/>
      <c r="G2111" s="11">
        <v>100540.0</v>
      </c>
      <c r="H2111" s="34" t="str">
        <f>IFERROR(__xludf.DUMMYFUNCTION("LOWER(REGEXREPLACE(B2111&amp;"" ""&amp;C2111,""[^а-яa-z0-9 ]"","" ""))")," иван  модель   лья 2    лина  1460 мм  ширина  860 мм  высота  720 мм  посадочных мест  2  материал  обивка   гобелен  наполнитель  поролон  синтепон  синтепух ")</f>
        <v> иван  модель   лья 2    лина  1460 мм  ширина  860 мм  высота  720 мм  посадочных мест  2  материал  обивка   гобелен  наполнитель  поролон  синтепон  синтепух </v>
      </c>
    </row>
    <row r="2112">
      <c r="A2112" s="35" t="s">
        <v>4873</v>
      </c>
      <c r="B2112" s="9" t="s">
        <v>4874</v>
      </c>
      <c r="C2112" s="31"/>
      <c r="D2112" s="37" t="s">
        <v>14</v>
      </c>
      <c r="E2112" s="10"/>
      <c r="F2112" s="36"/>
      <c r="G2112" s="11">
        <v>222040.0</v>
      </c>
      <c r="H2112" s="34" t="str">
        <f>IFERROR(__xludf.DUMMYFUNCTION("LOWER(REGEXREPLACE(B2112&amp;"" ""&amp;C2112,""[^а-яa-z0-9 ]"","" ""))")," иван  модель   ксфорд 3    лина  2200 мм  ширина  850 мм  высота  700 мм  посадочных мест  3 ")</f>
        <v> иван  модель   ксфорд 3    лина  2200 мм  ширина  850 мм  высота  700 мм  посадочных мест  3 </v>
      </c>
    </row>
    <row r="2113">
      <c r="A2113" s="35" t="s">
        <v>4875</v>
      </c>
      <c r="B2113" s="9" t="s">
        <v>4876</v>
      </c>
      <c r="C2113" s="31"/>
      <c r="D2113" s="37" t="s">
        <v>14</v>
      </c>
      <c r="E2113" s="10"/>
      <c r="F2113" s="36"/>
      <c r="G2113" s="11">
        <v>109393.0</v>
      </c>
      <c r="H2113" s="34" t="str">
        <f>IFERROR(__xludf.DUMMYFUNCTION("LOWER(REGEXREPLACE(B2113&amp;"" ""&amp;C2113,""[^а-яa-z0-9 ]"","" ""))")," иван  модель  ивьера  2    лина  1720 мм  ширина  900 мм  высота  730 мм  посадочных мест  2  материал  обивка   эко кожа  наполнитель  поролон  синтепон ")</f>
        <v> иван  модель  ивьера  2    лина  1720 мм  ширина  900 мм  высота  730 мм  посадочных мест  2  материал  обивка   эко кожа  наполнитель  поролон  синтепон </v>
      </c>
    </row>
    <row r="2114">
      <c r="A2114" s="35" t="s">
        <v>4877</v>
      </c>
      <c r="B2114" s="31" t="s">
        <v>4878</v>
      </c>
      <c r="C2114" s="31"/>
      <c r="D2114" s="37" t="s">
        <v>14</v>
      </c>
      <c r="E2114" s="10"/>
      <c r="F2114" s="36"/>
      <c r="G2114" s="11">
        <v>149804.0</v>
      </c>
      <c r="H2114" s="34" t="str">
        <f>IFERROR(__xludf.DUMMYFUNCTION("LOWER(REGEXREPLACE(B2114&amp;"" ""&amp;C2114,""[^а-яa-z0-9 ]"","" ""))")," иван  модель  омеро  2    лина  1640 мм  ширина  920 мм  высота  750 мм  посадочных мест  2  материал  ножки   металл  обивка   гобелен  наполнитель  поролон  синтепон  синтепух ")</f>
        <v> иван  модель  омеро  2    лина  1640 мм  ширина  920 мм  высота  750 мм  посадочных мест  2  материал  ножки   металл  обивка   гобелен  наполнитель  поролон  синтепон  синтепух </v>
      </c>
    </row>
    <row r="2115">
      <c r="A2115" s="35" t="s">
        <v>4879</v>
      </c>
      <c r="B2115" s="31" t="s">
        <v>4880</v>
      </c>
      <c r="C2115" s="31"/>
      <c r="D2115" s="36"/>
      <c r="E2115" s="10"/>
      <c r="F2115" s="36"/>
      <c r="G2115" s="11"/>
      <c r="H2115" s="34" t="str">
        <f>IFERROR(__xludf.DUMMYFUNCTION("LOWER(REGEXREPLACE(B2115&amp;"" ""&amp;C2115,""[^а-яa-z0-9 ]"","" ""))")," абинет для детей раннего возраста  от 0 до 3 х лет  ")</f>
        <v> абинет для детей раннего возраста  от 0 до 3 х лет  </v>
      </c>
    </row>
    <row r="2116">
      <c r="A2116" s="35" t="s">
        <v>4881</v>
      </c>
      <c r="B2116" s="31" t="s">
        <v>4882</v>
      </c>
      <c r="C2116" s="31"/>
      <c r="D2116" s="37" t="s">
        <v>68</v>
      </c>
      <c r="E2116" s="10"/>
      <c r="F2116" s="36"/>
      <c r="G2116" s="11"/>
      <c r="H2116" s="34" t="str">
        <f>IFERROR(__xludf.DUMMYFUNCTION("LOWER(REGEXREPLACE(B2116&amp;"" ""&amp;C2116,""[^а-яa-z0-9 ]"","" ""))")," олифункциональный модуль ")</f>
        <v> олифункциональный модуль </v>
      </c>
    </row>
    <row r="2117">
      <c r="A2117" s="35" t="s">
        <v>4883</v>
      </c>
      <c r="B2117" s="31" t="s">
        <v>4884</v>
      </c>
      <c r="C2117" s="31"/>
      <c r="D2117" s="37" t="s">
        <v>68</v>
      </c>
      <c r="E2117" s="10"/>
      <c r="F2117" s="36"/>
      <c r="G2117" s="11">
        <v>277124.0</v>
      </c>
      <c r="H2117" s="34" t="str">
        <f>IFERROR(__xludf.DUMMYFUNCTION("LOWER(REGEXREPLACE(B2117&amp;"" ""&amp;C2117,""[^а-яa-z0-9 ]"","" ""))")," абор мягких модулей   алуны   омплектация  параллепипеды 9  лента 1   азмер  120х60х100 см ")</f>
        <v> абор мягких модулей   алуны   омплектация  параллепипеды 9  лента 1   азмер  120х60х100 см </v>
      </c>
    </row>
    <row r="2118">
      <c r="A2118" s="35" t="s">
        <v>4885</v>
      </c>
      <c r="B2118" s="31" t="s">
        <v>4886</v>
      </c>
      <c r="C2118" s="31"/>
      <c r="D2118" s="37" t="s">
        <v>68</v>
      </c>
      <c r="E2118" s="10"/>
      <c r="F2118" s="36"/>
      <c r="G2118" s="11">
        <v>163676.0</v>
      </c>
      <c r="H2118" s="34" t="str">
        <f>IFERROR(__xludf.DUMMYFUNCTION("LOWER(REGEXREPLACE(B2118&amp;"" ""&amp;C2118,""[^а-яa-z0-9 ]"","" ""))")," етский набор мягких модулей   астокол   омплектация  цилиндры 5  мат 1   азмер  120х60х100 см ")</f>
        <v> етский набор мягких модулей   астокол   омплектация  цилиндры 5  мат 1   азмер  120х60х100 см </v>
      </c>
    </row>
    <row r="2119">
      <c r="A2119" s="35" t="s">
        <v>4887</v>
      </c>
      <c r="B2119" s="31" t="s">
        <v>4888</v>
      </c>
      <c r="C2119" s="31"/>
      <c r="D2119" s="37" t="s">
        <v>68</v>
      </c>
      <c r="E2119" s="10"/>
      <c r="F2119" s="36"/>
      <c r="G2119" s="11">
        <v>288382.0</v>
      </c>
      <c r="H2119" s="34" t="str">
        <f>IFERROR(__xludf.DUMMYFUNCTION("LOWER(REGEXREPLACE(B2119&amp;"" ""&amp;C2119,""[^а-яa-z0-9 ]"","" ""))")," етский набор мягких модулей   омашка  1   омплектация  предметов 9 ")</f>
        <v> етский набор мягких модулей   омашка  1   омплектация  предметов 9 </v>
      </c>
    </row>
    <row r="2120">
      <c r="A2120" s="35" t="s">
        <v>4889</v>
      </c>
      <c r="B2120" s="31" t="s">
        <v>4890</v>
      </c>
      <c r="C2120" s="31"/>
      <c r="D2120" s="37" t="s">
        <v>68</v>
      </c>
      <c r="E2120" s="10"/>
      <c r="F2120" s="36"/>
      <c r="G2120" s="11">
        <v>387107.0</v>
      </c>
      <c r="H2120" s="34" t="str">
        <f>IFERROR(__xludf.DUMMYFUNCTION("LOWER(REGEXREPLACE(B2120&amp;"" ""&amp;C2120,""[^а-яa-z0-9 ]"","" ""))")," етский набор мягких модулей   омашка  2   омплектация  предметов 15 ")</f>
        <v> етский набор мягких модулей   омашка  2   омплектация  предметов 15 </v>
      </c>
    </row>
    <row r="2121">
      <c r="A2121" s="35" t="s">
        <v>4891</v>
      </c>
      <c r="B2121" s="31" t="s">
        <v>4892</v>
      </c>
      <c r="C2121" s="31"/>
      <c r="D2121" s="37" t="s">
        <v>68</v>
      </c>
      <c r="E2121" s="10"/>
      <c r="F2121" s="36"/>
      <c r="G2121" s="11">
        <v>467647.0</v>
      </c>
      <c r="H2121" s="34" t="str">
        <f>IFERROR(__xludf.DUMMYFUNCTION("LOWER(REGEXREPLACE(B2121&amp;"" ""&amp;C2121,""[^а-яa-z0-9 ]"","" ""))")," етский набор мягких модулей   омашка  3   омплектация  предметов 19 ")</f>
        <v> етский набор мягких модулей   омашка  3   омплектация  предметов 19 </v>
      </c>
    </row>
    <row r="2122">
      <c r="A2122" s="35" t="s">
        <v>4893</v>
      </c>
      <c r="B2122" s="31" t="s">
        <v>4894</v>
      </c>
      <c r="C2122" s="31"/>
      <c r="D2122" s="37" t="s">
        <v>68</v>
      </c>
      <c r="E2122" s="10"/>
      <c r="F2122" s="36"/>
      <c r="G2122" s="11">
        <v>282320.0</v>
      </c>
      <c r="H2122" s="34" t="str">
        <f>IFERROR(__xludf.DUMMYFUNCTION("LOWER(REGEXREPLACE(B2122&amp;"" ""&amp;C2122,""[^а-яa-z0-9 ]"","" ""))")," етский конструктор   еселый паровозик   омплектация  предметов 15  видов фигур 5 ")</f>
        <v> етский конструктор   еселый паровозик   омплектация  предметов 15  видов фигур 5 </v>
      </c>
    </row>
    <row r="2123">
      <c r="A2123" s="35" t="s">
        <v>4895</v>
      </c>
      <c r="B2123" s="31" t="s">
        <v>4896</v>
      </c>
      <c r="C2123" s="31"/>
      <c r="D2123" s="37" t="s">
        <v>68</v>
      </c>
      <c r="E2123" s="10"/>
      <c r="F2123" s="36"/>
      <c r="G2123" s="11">
        <v>160212.0</v>
      </c>
      <c r="H2123" s="34" t="str">
        <f>IFERROR(__xludf.DUMMYFUNCTION("LOWER(REGEXREPLACE(B2123&amp;"" ""&amp;C2123,""[^а-яa-z0-9 ]"","" ""))")," етский конструктор   еселые сундучки   омплектация  предметов 4  видов фигур 4 ")</f>
        <v> етский конструктор   еселые сундучки   омплектация  предметов 4  видов фигур 4 </v>
      </c>
    </row>
    <row r="2124">
      <c r="A2124" s="35" t="s">
        <v>4897</v>
      </c>
      <c r="B2124" s="31" t="s">
        <v>4898</v>
      </c>
      <c r="C2124" s="31"/>
      <c r="D2124" s="37" t="s">
        <v>68</v>
      </c>
      <c r="E2124" s="10"/>
      <c r="F2124" s="36"/>
      <c r="G2124" s="11">
        <v>72745.0</v>
      </c>
      <c r="H2124" s="34" t="str">
        <f>IFERROR(__xludf.DUMMYFUNCTION("LOWER(REGEXREPLACE(B2124&amp;"" ""&amp;C2124,""[^а-яa-z0-9 ]"","" ""))")," омплект для скрининга психофизического развития детей раннего возраста ")</f>
        <v> омплект для скрининга психофизического развития детей раннего возраста </v>
      </c>
    </row>
    <row r="2125">
      <c r="A2125" s="13" t="s">
        <v>4899</v>
      </c>
      <c r="B2125" s="30"/>
      <c r="C2125" s="31"/>
      <c r="D2125" s="30"/>
      <c r="E2125" s="32"/>
      <c r="F2125" s="30"/>
      <c r="G2125" s="33"/>
      <c r="H2125" s="34" t="str">
        <f>IFERROR(__xludf.DUMMYFUNCTION("LOWER(REGEXREPLACE(B2125&amp;"" ""&amp;C2125,""[^а-яa-z0-9 ]"","" ""))")," ")</f>
        <v> </v>
      </c>
    </row>
    <row r="2126">
      <c r="A2126" s="35" t="s">
        <v>4900</v>
      </c>
      <c r="B2126" s="9" t="s">
        <v>4901</v>
      </c>
      <c r="C2126" s="31"/>
      <c r="D2126" s="36"/>
      <c r="E2126" s="10"/>
      <c r="F2126" s="36"/>
      <c r="G2126" s="11"/>
      <c r="H2126" s="34" t="str">
        <f>IFERROR(__xludf.DUMMYFUNCTION("LOWER(REGEXREPLACE(B2126&amp;"" ""&amp;C2126,""[^а-яa-z0-9 ]"","" ""))")," абинет для психолого медико педагогических консультаций ")</f>
        <v> абинет для психолого медико педагогических консультаций </v>
      </c>
    </row>
    <row r="2127">
      <c r="A2127" s="35" t="s">
        <v>4902</v>
      </c>
      <c r="B2127" s="31" t="s">
        <v>4903</v>
      </c>
      <c r="C2127" s="31"/>
      <c r="D2127" s="37" t="s">
        <v>14</v>
      </c>
      <c r="E2127" s="10"/>
      <c r="F2127" s="36"/>
      <c r="G2127" s="11"/>
      <c r="H2127" s="34" t="str">
        <f>IFERROR(__xludf.DUMMYFUNCTION("LOWER(REGEXREPLACE(B2127&amp;"" ""&amp;C2127,""[^а-яa-z0-9 ]"","" ""))")," толик пеленальный ")</f>
        <v> толик пеленальный </v>
      </c>
    </row>
    <row r="2128">
      <c r="A2128" s="35" t="s">
        <v>4904</v>
      </c>
      <c r="B2128" s="31" t="s">
        <v>4905</v>
      </c>
      <c r="C2128" s="31"/>
      <c r="D2128" s="37" t="s">
        <v>14</v>
      </c>
      <c r="E2128" s="10"/>
      <c r="F2128" s="36"/>
      <c r="G2128" s="11">
        <v>43650.0</v>
      </c>
      <c r="H2128" s="34" t="str">
        <f>IFERROR(__xludf.DUMMYFUNCTION("LOWER(REGEXREPLACE(B2128&amp;"" ""&amp;C2128,""[^а-яa-z0-9 ]"","" ""))")," тол пеленальный с полкой ")</f>
        <v> тол пеленальный с полкой </v>
      </c>
    </row>
    <row r="2129">
      <c r="A2129" s="13" t="s">
        <v>4906</v>
      </c>
      <c r="B2129" s="30"/>
      <c r="C2129" s="31"/>
      <c r="D2129" s="30"/>
      <c r="E2129" s="32"/>
      <c r="F2129" s="30"/>
      <c r="G2129" s="33"/>
      <c r="H2129" s="34" t="str">
        <f>IFERROR(__xludf.DUMMYFUNCTION("LOWER(REGEXREPLACE(B2129&amp;"" ""&amp;C2129,""[^а-яa-z0-9 ]"","" ""))")," ")</f>
        <v> </v>
      </c>
    </row>
    <row r="2130">
      <c r="A2130" s="35" t="s">
        <v>4907</v>
      </c>
      <c r="B2130" s="31" t="s">
        <v>4789</v>
      </c>
      <c r="C2130" s="31"/>
      <c r="D2130" s="36"/>
      <c r="E2130" s="10"/>
      <c r="F2130" s="36"/>
      <c r="G2130" s="11"/>
      <c r="H2130" s="34" t="str">
        <f>IFERROR(__xludf.DUMMYFUNCTION("LOWER(REGEXREPLACE(B2130&amp;"" ""&amp;C2130,""[^а-яa-z0-9 ]"","" ""))")," ал лечебной физкультуры ")</f>
        <v> ал лечебной физкультуры </v>
      </c>
    </row>
    <row r="2131">
      <c r="A2131" s="35" t="s">
        <v>4908</v>
      </c>
      <c r="B2131" s="31" t="s">
        <v>4909</v>
      </c>
      <c r="C2131" s="31"/>
      <c r="D2131" s="37" t="s">
        <v>14</v>
      </c>
      <c r="E2131" s="10"/>
      <c r="F2131" s="36"/>
      <c r="G2131" s="11"/>
      <c r="H2131" s="34" t="str">
        <f>IFERROR(__xludf.DUMMYFUNCTION("LOWER(REGEXREPLACE(B2131&amp;"" ""&amp;C2131,""[^а-яa-z0-9 ]"","" ""))")," елосипед для детей с ограниченными возможностями ")</f>
        <v> елосипед для детей с ограниченными возможностями </v>
      </c>
    </row>
    <row r="2132">
      <c r="A2132" s="35" t="s">
        <v>4910</v>
      </c>
      <c r="B2132" s="31" t="s">
        <v>4911</v>
      </c>
      <c r="C2132" s="31"/>
      <c r="D2132" s="37" t="s">
        <v>14</v>
      </c>
      <c r="E2132" s="10"/>
      <c r="F2132" s="36"/>
      <c r="G2132" s="11">
        <v>2710618.0</v>
      </c>
      <c r="H2132" s="34" t="str">
        <f>IFERROR(__xludf.DUMMYFUNCTION("LOWER(REGEXREPLACE(B2132&amp;"" ""&amp;C2132,""[^а-яa-z0-9 ]"","" ""))")," 120  ртопедический велосипед маленького размера ")</f>
        <v> 120  ртопедический велосипед маленького размера </v>
      </c>
    </row>
    <row r="2133">
      <c r="A2133" s="35" t="s">
        <v>4912</v>
      </c>
      <c r="B2133" s="31" t="s">
        <v>4913</v>
      </c>
      <c r="C2133" s="31"/>
      <c r="D2133" s="37" t="s">
        <v>14</v>
      </c>
      <c r="E2133" s="10"/>
      <c r="F2133" s="36"/>
      <c r="G2133" s="11">
        <v>2857840.0</v>
      </c>
      <c r="H2133" s="34" t="str">
        <f>IFERROR(__xludf.DUMMYFUNCTION("LOWER(REGEXREPLACE(B2133&amp;"" ""&amp;C2133,""[^а-яa-z0-9 ]"","" ""))")," 130  ртопедический велосипед среднего размера ")</f>
        <v> 130  ртопедический велосипед среднего размера </v>
      </c>
    </row>
    <row r="2134">
      <c r="A2134" s="35" t="s">
        <v>4914</v>
      </c>
      <c r="B2134" s="31" t="s">
        <v>4915</v>
      </c>
      <c r="C2134" s="31"/>
      <c r="D2134" s="37" t="s">
        <v>14</v>
      </c>
      <c r="E2134" s="10"/>
      <c r="F2134" s="36"/>
      <c r="G2134" s="11">
        <v>4286760.0</v>
      </c>
      <c r="H2134" s="34" t="str">
        <f>IFERROR(__xludf.DUMMYFUNCTION("LOWER(REGEXREPLACE(B2134&amp;"" ""&amp;C2134,""[^а-яa-z0-9 ]"","" ""))")," 140  ртопедический велосипед большого размера ")</f>
        <v> 140  ртопедический велосипед большого размера </v>
      </c>
    </row>
    <row r="2135">
      <c r="A2135" s="35" t="s">
        <v>4916</v>
      </c>
      <c r="B2135" s="31" t="s">
        <v>4917</v>
      </c>
      <c r="C2135" s="31"/>
      <c r="D2135" s="37" t="s">
        <v>68</v>
      </c>
      <c r="E2135" s="10"/>
      <c r="F2135" s="36"/>
      <c r="G2135" s="11">
        <v>545588.0</v>
      </c>
      <c r="H2135" s="34" t="str">
        <f>IFERROR(__xludf.DUMMYFUNCTION("LOWER(REGEXREPLACE(B2135&amp;"" ""&amp;C2135,""[^а-яa-z0-9 ]"","" ""))")," абивной мяч в комплект входят три мяча диаметрами 25  50 и 75 см ")</f>
        <v> абивной мяч в комплект входят три мяча диаметрами 25  50 и 75 см </v>
      </c>
    </row>
    <row r="2136">
      <c r="A2136" s="13" t="s">
        <v>4918</v>
      </c>
      <c r="B2136" s="30"/>
      <c r="C2136" s="31"/>
      <c r="D2136" s="30"/>
      <c r="E2136" s="32"/>
      <c r="F2136" s="30"/>
      <c r="G2136" s="33"/>
      <c r="H2136" s="34" t="str">
        <f>IFERROR(__xludf.DUMMYFUNCTION("LOWER(REGEXREPLACE(B2136&amp;"" ""&amp;C2136,""[^а-яa-z0-9 ]"","" ""))")," ")</f>
        <v> </v>
      </c>
    </row>
    <row r="2137">
      <c r="A2137" s="35" t="s">
        <v>4919</v>
      </c>
      <c r="B2137" s="31" t="s">
        <v>4920</v>
      </c>
      <c r="C2137" s="31"/>
      <c r="D2137" s="36"/>
      <c r="E2137" s="10"/>
      <c r="F2137" s="36"/>
      <c r="G2137" s="11"/>
      <c r="H2137" s="34" t="str">
        <f>IFERROR(__xludf.DUMMYFUNCTION("LOWER(REGEXREPLACE(B2137&amp;"" ""&amp;C2137,""[^а-яa-z0-9 ]"","" ""))")," пециальная мебель ")</f>
        <v> пециальная мебель </v>
      </c>
    </row>
    <row r="2138">
      <c r="A2138" s="35" t="s">
        <v>4921</v>
      </c>
      <c r="B2138" s="9" t="s">
        <v>4922</v>
      </c>
      <c r="C2138" s="31"/>
      <c r="D2138" s="37" t="s">
        <v>14</v>
      </c>
      <c r="E2138" s="10"/>
      <c r="F2138" s="36"/>
      <c r="G2138" s="11"/>
      <c r="H2138" s="34" t="str">
        <f>IFERROR(__xludf.DUMMYFUNCTION("LOWER(REGEXREPLACE(B2138&amp;"" ""&amp;C2138,""[^а-яa-z0-9 ]"","" ""))")," тол парта для детей с нарушениями опорно двигательного аппарата ")</f>
        <v> тол парта для детей с нарушениями опорно двигательного аппарата </v>
      </c>
    </row>
    <row r="2139">
      <c r="A2139" s="35" t="s">
        <v>4923</v>
      </c>
      <c r="B2139" s="31" t="s">
        <v>4924</v>
      </c>
      <c r="C2139" s="31"/>
      <c r="D2139" s="37" t="s">
        <v>14</v>
      </c>
      <c r="E2139" s="10"/>
      <c r="F2139" s="36"/>
      <c r="G2139" s="11">
        <v>160212.0</v>
      </c>
      <c r="H2139" s="34" t="str">
        <f>IFERROR(__xludf.DUMMYFUNCTION("LOWER(REGEXREPLACE(B2139&amp;"" ""&amp;C2139,""[^а-яa-z0-9 ]"","" ""))")," арта    37 02 01 ")</f>
        <v> арта    37 02 01 </v>
      </c>
    </row>
    <row r="2140">
      <c r="A2140" s="35" t="s">
        <v>4925</v>
      </c>
      <c r="B2140" s="31" t="s">
        <v>4926</v>
      </c>
      <c r="C2140" s="31"/>
      <c r="D2140" s="37" t="s">
        <v>14</v>
      </c>
      <c r="E2140" s="10"/>
      <c r="F2140" s="36"/>
      <c r="G2140" s="11">
        <v>168872.0</v>
      </c>
      <c r="H2140" s="34" t="str">
        <f>IFERROR(__xludf.DUMMYFUNCTION("LOWER(REGEXREPLACE(B2140&amp;"" ""&amp;C2140,""[^а-яa-z0-9 ]"","" ""))")," арта    37 02 11 ")</f>
        <v> арта    37 02 11 </v>
      </c>
    </row>
    <row r="2141">
      <c r="A2141" s="35" t="s">
        <v>4927</v>
      </c>
      <c r="B2141" s="31" t="s">
        <v>4928</v>
      </c>
      <c r="C2141" s="31"/>
      <c r="D2141" s="37" t="s">
        <v>14</v>
      </c>
      <c r="E2141" s="10"/>
      <c r="F2141" s="36"/>
      <c r="G2141" s="11">
        <v>134232.0</v>
      </c>
      <c r="H2141" s="34" t="str">
        <f>IFERROR(__xludf.DUMMYFUNCTION("LOWER(REGEXREPLACE(B2141&amp;"" ""&amp;C2141,""[^а-яa-z0-9 ]"","" ""))")," арта    37 02 51  складная  ")</f>
        <v> арта    37 02 51  складная  </v>
      </c>
    </row>
    <row r="2142">
      <c r="A2142" s="35" t="s">
        <v>4929</v>
      </c>
      <c r="B2142" s="31" t="s">
        <v>4789</v>
      </c>
      <c r="C2142" s="31"/>
      <c r="D2142" s="36"/>
      <c r="E2142" s="10"/>
      <c r="F2142" s="36"/>
      <c r="G2142" s="11"/>
      <c r="H2142" s="34" t="str">
        <f>IFERROR(__xludf.DUMMYFUNCTION("LOWER(REGEXREPLACE(B2142&amp;"" ""&amp;C2142,""[^а-яa-z0-9 ]"","" ""))")," ал лечебной физкультуры ")</f>
        <v> ал лечебной физкультуры </v>
      </c>
    </row>
    <row r="2143">
      <c r="A2143" s="35" t="s">
        <v>4930</v>
      </c>
      <c r="B2143" s="31" t="s">
        <v>4931</v>
      </c>
      <c r="C2143" s="31"/>
      <c r="D2143" s="37" t="s">
        <v>14</v>
      </c>
      <c r="E2143" s="10"/>
      <c r="F2143" s="36"/>
      <c r="G2143" s="11"/>
      <c r="H2143" s="34" t="str">
        <f>IFERROR(__xludf.DUMMYFUNCTION("LOWER(REGEXREPLACE(B2143&amp;"" ""&amp;C2143,""[^а-яa-z0-9 ]"","" ""))")," кладка   многофункциональная терапевтическая система до 4 5 лет ")</f>
        <v> кладка   многофункциональная терапевтическая система до 4 5 лет </v>
      </c>
    </row>
    <row r="2144">
      <c r="A2144" s="35" t="s">
        <v>4932</v>
      </c>
      <c r="B2144" s="31" t="s">
        <v>4933</v>
      </c>
      <c r="C2144" s="31"/>
      <c r="D2144" s="37" t="s">
        <v>14</v>
      </c>
      <c r="E2144" s="10"/>
      <c r="F2144" s="36"/>
      <c r="G2144" s="11">
        <v>1645423.0</v>
      </c>
      <c r="H2144" s="34" t="str">
        <f>IFERROR(__xludf.DUMMYFUNCTION("LOWER(REGEXREPLACE(B2144&amp;"" ""&amp;C2144,""[^а-яa-z0-9 ]"","" ""))")," кладка   оловастик       atterson  edical ")</f>
        <v> кладка   оловастик       atterson  edical </v>
      </c>
    </row>
    <row r="2145">
      <c r="A2145" s="13" t="s">
        <v>4934</v>
      </c>
      <c r="B2145" s="30"/>
      <c r="C2145" s="31"/>
      <c r="D2145" s="30"/>
      <c r="E2145" s="32"/>
      <c r="F2145" s="30"/>
      <c r="G2145" s="33"/>
      <c r="H2145" s="34" t="str">
        <f>IFERROR(__xludf.DUMMYFUNCTION("LOWER(REGEXREPLACE(B2145&amp;"" ""&amp;C2145,""[^а-яa-z0-9 ]"","" ""))")," ")</f>
        <v> </v>
      </c>
    </row>
    <row r="2146">
      <c r="A2146" s="35" t="s">
        <v>4935</v>
      </c>
      <c r="B2146" s="31" t="s">
        <v>4936</v>
      </c>
      <c r="C2146" s="31"/>
      <c r="D2146" s="36"/>
      <c r="E2146" s="10"/>
      <c r="F2146" s="36"/>
      <c r="G2146" s="11"/>
      <c r="H2146" s="34" t="str">
        <f>IFERROR(__xludf.DUMMYFUNCTION("LOWER(REGEXREPLACE(B2146&amp;"" ""&amp;C2146,""[^а-яa-z0-9 ]"","" ""))")," екотека  библиотека игрушек  ")</f>
        <v> екотека  библиотека игрушек  </v>
      </c>
    </row>
    <row r="2147">
      <c r="A2147" s="35" t="s">
        <v>4937</v>
      </c>
      <c r="B2147" s="31" t="s">
        <v>4938</v>
      </c>
      <c r="C2147" s="31"/>
      <c r="D2147" s="37" t="s">
        <v>14</v>
      </c>
      <c r="E2147" s="10"/>
      <c r="F2147" s="36"/>
      <c r="G2147" s="11"/>
      <c r="H2147" s="34" t="str">
        <f>IFERROR(__xludf.DUMMYFUNCTION("LOWER(REGEXREPLACE(B2147&amp;"" ""&amp;C2147,""[^а-яa-z0-9 ]"","" ""))")," канер ")</f>
        <v> канер </v>
      </c>
    </row>
    <row r="2148">
      <c r="A2148" s="35" t="s">
        <v>4939</v>
      </c>
      <c r="B2148" s="31" t="s">
        <v>4940</v>
      </c>
      <c r="C2148" s="31"/>
      <c r="D2148" s="37" t="s">
        <v>14</v>
      </c>
      <c r="E2148" s="10"/>
      <c r="F2148" s="36"/>
      <c r="G2148" s="11">
        <v>169554.0</v>
      </c>
      <c r="H2148" s="34" t="str">
        <f>IFERROR(__xludf.DUMMYFUNCTION("LOWER(REGEXREPLACE(B2148&amp;"" ""&amp;C2148,""[^а-яa-z0-9 ]"","" ""))")," канер  anon image            225      4  600x600dpi  1500 скан день           2 0 ")</f>
        <v> канер  anon image            225      4  600x600dpi  1500 скан день           2 0 </v>
      </c>
    </row>
    <row r="2149">
      <c r="A2149" s="35" t="s">
        <v>4941</v>
      </c>
      <c r="B2149" s="31" t="s">
        <v>4942</v>
      </c>
      <c r="C2149" s="31"/>
      <c r="D2149" s="37" t="s">
        <v>14</v>
      </c>
      <c r="E2149" s="10"/>
      <c r="F2149" s="36"/>
      <c r="G2149" s="11">
        <v>236762.0</v>
      </c>
      <c r="H2149" s="34" t="str">
        <f>IFERROR(__xludf.DUMMYFUNCTION("LOWER(REGEXREPLACE(B2149&amp;"" ""&amp;C2149,""[^а-яa-z0-9 ]"","" ""))")," канер  anon image            130   4  600x600dpi  3500 скан день        i  i      3 0 ")</f>
        <v> канер  anon image            130   4  600x600dpi  3500 скан день        i  i      3 0 </v>
      </c>
    </row>
    <row r="2150">
      <c r="A2150" s="35" t="s">
        <v>4943</v>
      </c>
      <c r="B2150" s="31" t="s">
        <v>4944</v>
      </c>
      <c r="C2150" s="31"/>
      <c r="D2150" s="37" t="s">
        <v>14</v>
      </c>
      <c r="E2150" s="10"/>
      <c r="F2150" s="36"/>
      <c r="G2150" s="11">
        <v>76751.0</v>
      </c>
      <c r="H2150" s="34" t="str">
        <f>IFERROR(__xludf.DUMMYFUNCTION("LOWER(REGEXREPLACE(B2150&amp;"" ""&amp;C2150,""[^а-яa-z0-9 ]"","" ""))")," канер  pson  ork orce    70   4  600x600dpi  48 bit  скорость сканирования 5 5с  portable      2 0 ")</f>
        <v> канер  pson  ork orce    70   4  600x600dpi  48 bit  скорость сканирования 5 5с  portable      2 0 </v>
      </c>
    </row>
    <row r="2151">
      <c r="A2151" s="35" t="s">
        <v>4945</v>
      </c>
      <c r="B2151" s="31" t="s">
        <v>4946</v>
      </c>
      <c r="C2151" s="31"/>
      <c r="D2151" s="37" t="s">
        <v>14</v>
      </c>
      <c r="E2151" s="38">
        <v>2.0</v>
      </c>
      <c r="F2151" s="39">
        <v>1.8</v>
      </c>
      <c r="G2151" s="11">
        <v>171319.0</v>
      </c>
      <c r="H2151" s="34" t="str">
        <f>IFERROR(__xludf.DUMMYFUNCTION("LOWER(REGEXREPLACE(B2151&amp;"" ""&amp;C2151,""[^а-яa-z0-9 ]"","" ""))")," канер  pson  orkforce     310  4  600x600dpi  25 ppm           ")</f>
        <v> канер  pson  orkforce     310  4  600x600dpi  25 ppm           </v>
      </c>
    </row>
    <row r="2152">
      <c r="A2152" s="35" t="s">
        <v>4947</v>
      </c>
      <c r="B2152" s="31" t="s">
        <v>4948</v>
      </c>
      <c r="C2152" s="31"/>
      <c r="D2152" s="37" t="s">
        <v>14</v>
      </c>
      <c r="E2152" s="38">
        <v>2.0</v>
      </c>
      <c r="F2152" s="39">
        <v>2.6</v>
      </c>
      <c r="G2152" s="11">
        <v>219010.0</v>
      </c>
      <c r="H2152" s="34" t="str">
        <f>IFERROR(__xludf.DUMMYFUNCTION("LOWER(REGEXREPLACE(B2152&amp;"" ""&amp;C2152,""[^а-яa-z0-9 ]"","" ""))")," канер  pson  orkforce      320   30 ppm             i  i ")</f>
        <v> канер  pson  orkforce      320   30 ppm             i  i </v>
      </c>
    </row>
    <row r="2153">
      <c r="A2153" s="35" t="s">
        <v>4949</v>
      </c>
      <c r="B2153" s="31" t="s">
        <v>4950</v>
      </c>
      <c r="C2153" s="31"/>
      <c r="D2153" s="37" t="s">
        <v>14</v>
      </c>
      <c r="E2153" s="38">
        <v>2.0</v>
      </c>
      <c r="F2153" s="39">
        <v>4.6</v>
      </c>
      <c r="G2153" s="11">
        <v>261406.0</v>
      </c>
      <c r="H2153" s="34" t="str">
        <f>IFERROR(__xludf.DUMMYFUNCTION("LOWER(REGEXREPLACE(B2153&amp;"" ""&amp;C2153,""[^а-яa-z0-9 ]"","" ""))")," канер  pson  ork orce     530    35 ppm           ")</f>
        <v> канер  pson  ork orce     530    35 ppm           </v>
      </c>
    </row>
    <row r="2154">
      <c r="A2154" s="35" t="s">
        <v>4951</v>
      </c>
      <c r="B2154" s="31" t="s">
        <v>4952</v>
      </c>
      <c r="C2154" s="31"/>
      <c r="D2154" s="37" t="s">
        <v>14</v>
      </c>
      <c r="E2154" s="38">
        <v>2.0</v>
      </c>
      <c r="F2154" s="39">
        <v>8.4</v>
      </c>
      <c r="G2154" s="11">
        <v>2900119.0</v>
      </c>
      <c r="H2154" s="34" t="str">
        <f>IFERROR(__xludf.DUMMYFUNCTION("LOWER(REGEXREPLACE(B2154&amp;"" ""&amp;C2154,""[^а-яa-z0-9 ]"","" ""))")," канер  pson  ork orce     32000  90 ppm           ")</f>
        <v> канер  pson  ork orce     32000  90 ppm           </v>
      </c>
    </row>
    <row r="2155">
      <c r="A2155" s="35" t="s">
        <v>4953</v>
      </c>
      <c r="B2155" s="31" t="s">
        <v>4954</v>
      </c>
      <c r="C2155" s="31"/>
      <c r="D2155" s="37" t="s">
        <v>14</v>
      </c>
      <c r="E2155" s="38">
        <v>2.0</v>
      </c>
      <c r="F2155" s="38">
        <v>30.0</v>
      </c>
      <c r="G2155" s="11">
        <v>4799747.0</v>
      </c>
      <c r="H2155" s="34" t="str">
        <f>IFERROR(__xludf.DUMMYFUNCTION("LOWER(REGEXREPLACE(B2155&amp;"" ""&amp;C2155,""[^а-яa-z0-9 ]"","" ""))")," канер планшетный со слайд модулем  pson  xpression 13000    ro  2400x4800      ")</f>
        <v> канер планшетный со слайд модулем  pson  xpression 13000    ro  2400x4800      </v>
      </c>
    </row>
    <row r="2156">
      <c r="A2156" s="35" t="s">
        <v>4955</v>
      </c>
      <c r="B2156" s="31" t="s">
        <v>4956</v>
      </c>
      <c r="C2156" s="31"/>
      <c r="D2156" s="37" t="s">
        <v>14</v>
      </c>
      <c r="E2156" s="10"/>
      <c r="F2156" s="36"/>
      <c r="G2156" s="11"/>
      <c r="H2156" s="34" t="str">
        <f>IFERROR(__xludf.DUMMYFUNCTION("LOWER(REGEXREPLACE(B2156&amp;"" ""&amp;C2156,""[^а-яa-z0-9 ]"","" ""))")," опировальное устройство ")</f>
        <v> опировальное устройство </v>
      </c>
    </row>
    <row r="2157">
      <c r="A2157" s="35" t="s">
        <v>4957</v>
      </c>
      <c r="B2157" s="31" t="s">
        <v>4958</v>
      </c>
      <c r="C2157" s="31"/>
      <c r="D2157" s="37" t="s">
        <v>14</v>
      </c>
      <c r="E2157" s="10"/>
      <c r="F2157" s="36"/>
      <c r="G2157" s="11">
        <v>473125.0</v>
      </c>
      <c r="H2157" s="34" t="str">
        <f>IFERROR(__xludf.DUMMYFUNCTION("LOWER(REGEXREPLACE(B2157&amp;"" ""&amp;C2157,""[^а-яa-z0-9 ]"","" ""))")," опировальный аппарат  anon image       2425   3  print 600x600dpi  25ppm  scan 600x600dpi           ")</f>
        <v> опировальный аппарат  anon image       2425   3  print 600x600dpi  25ppm  scan 600x600dpi           </v>
      </c>
    </row>
    <row r="2158">
      <c r="A2158" s="35" t="s">
        <v>4959</v>
      </c>
      <c r="B2158" s="9" t="s">
        <v>4960</v>
      </c>
      <c r="C2158" s="31"/>
      <c r="D2158" s="37" t="s">
        <v>14</v>
      </c>
      <c r="E2158" s="10"/>
      <c r="F2158" s="36"/>
      <c r="G2158" s="11">
        <v>410625.0</v>
      </c>
      <c r="H2158" s="34" t="str">
        <f>IFERROR(__xludf.DUMMYFUNCTION("LOWER(REGEXREPLACE(B2158&amp;"" ""&amp;C2158,""[^а-яa-z0-9 ]"","" ""))")," опировальный аппарат  anon i 1643i    4 43 с мин  цифр  25 400   600х600dpi  uplex         б тон ера ")</f>
        <v> опировальный аппарат  anon i 1643i    4 43 с мин  цифр  25 400   600х600dpi  uplex         б тон ера </v>
      </c>
    </row>
    <row r="2159">
      <c r="A2159" s="35" t="s">
        <v>4961</v>
      </c>
      <c r="B2159" s="31" t="s">
        <v>4962</v>
      </c>
      <c r="C2159" s="31"/>
      <c r="D2159" s="37" t="s">
        <v>14</v>
      </c>
      <c r="E2159" s="10"/>
      <c r="F2159" s="36"/>
      <c r="G2159" s="11">
        <v>348125.0</v>
      </c>
      <c r="H2159" s="34" t="str">
        <f>IFERROR(__xludf.DUMMYFUNCTION("LOWER(REGEXREPLACE(B2159&amp;"" ""&amp;C2159,""[^а-яa-z0-9 ]"","" ""))")," опировальный аппарат  anon   2206    4 22  3 11с мин цифр 25 400   600х600d pi      тонер ")</f>
        <v> опировальный аппарат  anon   2206    4 22  3 11с мин цифр 25 400   600х600d pi      тонер </v>
      </c>
    </row>
    <row r="2160">
      <c r="A2160" s="35" t="s">
        <v>4963</v>
      </c>
      <c r="B2160" s="31" t="s">
        <v>4964</v>
      </c>
      <c r="C2160" s="31"/>
      <c r="D2160" s="37" t="s">
        <v>14</v>
      </c>
      <c r="E2160" s="10"/>
      <c r="F2160" s="36"/>
      <c r="G2160" s="11">
        <v>424798.0</v>
      </c>
      <c r="H2160" s="34" t="str">
        <f>IFERROR(__xludf.DUMMYFUNCTION("LOWER(REGEXREPLACE(B2160&amp;"" ""&amp;C2160,""[^а-яa-z0-9 ]"","" ""))")," опировальный аппарат  anon   2206     4 22  3 11с мин цифр 25 400   600х600d pi      i i  без тонера ")</f>
        <v> опировальный аппарат  anon   2206     4 22  3 11с мин цифр 25 400   600х600d pi      i i  без тонера </v>
      </c>
    </row>
    <row r="2161">
      <c r="A2161" s="35" t="s">
        <v>4965</v>
      </c>
      <c r="B2161" s="31" t="s">
        <v>4966</v>
      </c>
      <c r="C2161" s="31"/>
      <c r="D2161" s="37" t="s">
        <v>14</v>
      </c>
      <c r="E2161" s="10"/>
      <c r="F2161" s="36"/>
      <c r="G2161" s="11"/>
      <c r="H2161" s="34" t="str">
        <f>IFERROR(__xludf.DUMMYFUNCTION("LOWER(REGEXREPLACE(B2161&amp;"" ""&amp;C2161,""[^а-яa-z0-9 ]"","" ""))")," ультимедийный проектор ")</f>
        <v> ультимедийный проектор </v>
      </c>
    </row>
    <row r="2162">
      <c r="A2162" s="35" t="s">
        <v>4967</v>
      </c>
      <c r="B2162" s="9" t="s">
        <v>4968</v>
      </c>
      <c r="C2162" s="31"/>
      <c r="D2162" s="37" t="s">
        <v>14</v>
      </c>
      <c r="E2162" s="10"/>
      <c r="F2162" s="36"/>
      <c r="G2162" s="11">
        <v>239474.0</v>
      </c>
      <c r="H2162" s="34" t="str">
        <f>IFERROR(__xludf.DUMMYFUNCTION("LOWER(REGEXREPLACE(B2162&amp;"" ""&amp;C2162,""[^а-яa-z0-9 ]"","" ""))")," роектор  cer  1255       3   4000lm  20000 1       1024х768  0 63 7 62m  5000hr  2 4kg ")</f>
        <v> роектор  cer  1255       3   4000lm  20000 1       1024х768  0 63 7 62m  5000hr  2 4kg </v>
      </c>
    </row>
    <row r="2163">
      <c r="A2163" s="35" t="s">
        <v>4969</v>
      </c>
      <c r="B2163" s="9" t="s">
        <v>4970</v>
      </c>
      <c r="C2163" s="31"/>
      <c r="D2163" s="37" t="s">
        <v>14</v>
      </c>
      <c r="E2163" s="10"/>
      <c r="F2163" s="36"/>
      <c r="G2163" s="11">
        <v>225914.0</v>
      </c>
      <c r="H2163" s="34" t="str">
        <f>IFERROR(__xludf.DUMMYFUNCTION("LOWER(REGEXREPLACE(B2163&amp;"" ""&amp;C2163,""[^а-яa-z0-9 ]"","" ""))")," роектор  cer  250i       300lm  5000 1          1920x1080 60 z  0 736 2 54m  20000hr  0 8kg   lack ")</f>
        <v> роектор  cer  250i       300lm  5000 1          1920x1080 60 z  0 736 2 54m  20000hr  0 8kg   lack </v>
      </c>
    </row>
    <row r="2164">
      <c r="A2164" s="35" t="s">
        <v>4971</v>
      </c>
      <c r="B2164" s="9" t="s">
        <v>4972</v>
      </c>
      <c r="C2164" s="31"/>
      <c r="D2164" s="37" t="s">
        <v>14</v>
      </c>
      <c r="E2164" s="10"/>
      <c r="F2164" s="36"/>
      <c r="G2164" s="11">
        <v>406718.0</v>
      </c>
      <c r="H2164" s="34" t="str">
        <f>IFERROR(__xludf.DUMMYFUNCTION("LOWER(REGEXREPLACE(B2164&amp;"" ""&amp;C2164,""[^а-яa-z0-9 ]"","" ""))")," роектор  pson      750       3400lm  16000 1       1920x1080  6000hr  0 76 7 62m  2 72kg ")</f>
        <v> роектор  pson      750       3400lm  16000 1       1920x1080  6000hr  0 76 7 62m  2 72kg </v>
      </c>
    </row>
    <row r="2165">
      <c r="A2165" s="35" t="s">
        <v>4973</v>
      </c>
      <c r="B2165" s="9" t="s">
        <v>4974</v>
      </c>
      <c r="C2165" s="31"/>
      <c r="D2165" s="37" t="s">
        <v>14</v>
      </c>
      <c r="E2165" s="10"/>
      <c r="F2165" s="36"/>
      <c r="G2165" s="11">
        <v>140032.0</v>
      </c>
      <c r="H2165" s="34" t="str">
        <f>IFERROR(__xludf.DUMMYFUNCTION("LOWER(REGEXREPLACE(B2165&amp;"" ""&amp;C2165,""[^а-яa-z0-9 ]"","" ""))")," роектор  ombica  ay  ox  6       4200lm  20000 1       1920x1080  30000hr  0 78 3 65m  2 42kg ")</f>
        <v> роектор  ombica  ay  ox  6       4200lm  20000 1       1920x1080  30000hr  0 78 3 65m  2 42kg </v>
      </c>
    </row>
    <row r="2166">
      <c r="A2166" s="35" t="s">
        <v>4975</v>
      </c>
      <c r="B2166" s="31" t="s">
        <v>4976</v>
      </c>
      <c r="C2166" s="31"/>
      <c r="D2166" s="37" t="s">
        <v>14</v>
      </c>
      <c r="E2166" s="10"/>
      <c r="F2166" s="36"/>
      <c r="G2166" s="11">
        <v>198794.0</v>
      </c>
      <c r="H2166" s="34" t="str">
        <f>IFERROR(__xludf.DUMMYFUNCTION("LOWER(REGEXREPLACE(B2166&amp;"" ""&amp;C2166,""[^а-яa-z0-9 ]"","" ""))")," роектор   pen   15       700lm  10000 1      1280x720  20000hr  0 6 2 54m      0 7kg ")</f>
        <v> роектор   pen   15       700lm  10000 1      1280x720  20000hr  0 6 2 54m      0 7kg </v>
      </c>
    </row>
    <row r="2167">
      <c r="A2167" s="35" t="s">
        <v>4977</v>
      </c>
      <c r="B2167" s="31" t="s">
        <v>4978</v>
      </c>
      <c r="C2167" s="31"/>
      <c r="D2167" s="37" t="s">
        <v>14</v>
      </c>
      <c r="E2167" s="10"/>
      <c r="F2167" s="36"/>
      <c r="G2167" s="11">
        <v>234954.0</v>
      </c>
      <c r="H2167" s="34" t="str">
        <f>IFERROR(__xludf.DUMMYFUNCTION("LOWER(REGEXREPLACE(B2167&amp;"" ""&amp;C2167,""[^а-яa-z0-9 ]"","" ""))")," роектор  cer  1355       5000lm  20000 1        1280x800  7 62m  5000hr  2 4kg ")</f>
        <v> роектор  cer  1355       5000lm  20000 1        1280x800  7 62m  5000hr  2 4kg </v>
      </c>
    </row>
    <row r="2168">
      <c r="A2168" s="35" t="s">
        <v>4979</v>
      </c>
      <c r="B2168" s="9" t="s">
        <v>4980</v>
      </c>
      <c r="C2168" s="31"/>
      <c r="D2168" s="37" t="s">
        <v>14</v>
      </c>
      <c r="E2168" s="10"/>
      <c r="F2168" s="36"/>
      <c r="G2168" s="11">
        <v>34732.0</v>
      </c>
      <c r="H2168" s="34" t="str">
        <f>IFERROR(__xludf.DUMMYFUNCTION("LOWER(REGEXREPLACE(B2168&amp;"" ""&amp;C2168,""[^а-яa-z0-9 ]"","" ""))")," роектор  ombica  ay  ini  lack       800lm  1000 1  320x240  30000hr  0 53 2 54m  0 33kg ")</f>
        <v> роектор  ombica  ay  ini  lack       800lm  1000 1  320x240  30000hr  0 53 2 54m  0 33kg </v>
      </c>
    </row>
    <row r="2169">
      <c r="A2169" s="8" t="s">
        <v>4981</v>
      </c>
      <c r="B2169" s="9"/>
      <c r="C2169" s="31"/>
      <c r="D2169" s="9"/>
      <c r="E2169" s="10"/>
      <c r="F2169" s="9"/>
      <c r="G2169" s="11"/>
      <c r="H2169" s="34" t="str">
        <f>IFERROR(__xludf.DUMMYFUNCTION("LOWER(REGEXREPLACE(B2169&amp;"" ""&amp;C2169,""[^а-яa-z0-9 ]"","" ""))")," ")</f>
        <v> </v>
      </c>
    </row>
    <row r="2170">
      <c r="A2170" s="13" t="s">
        <v>4982</v>
      </c>
      <c r="B2170" s="9"/>
      <c r="C2170" s="31"/>
      <c r="D2170" s="9"/>
      <c r="E2170" s="10"/>
      <c r="F2170" s="9"/>
      <c r="G2170" s="11"/>
      <c r="H2170" s="34"/>
    </row>
    <row r="2171">
      <c r="A2171" s="35" t="s">
        <v>4983</v>
      </c>
      <c r="B2171" s="31" t="s">
        <v>4984</v>
      </c>
      <c r="C2171" s="31"/>
      <c r="D2171" s="36"/>
      <c r="E2171" s="10"/>
      <c r="F2171" s="36"/>
      <c r="G2171" s="11"/>
      <c r="H2171" s="34" t="str">
        <f>IFERROR(__xludf.DUMMYFUNCTION("LOWER(REGEXREPLACE(B2171&amp;"" ""&amp;C2171,""[^а-яa-z0-9 ]"","" ""))")," ехнические средства обучения ")</f>
        <v> ехнические средства обучения </v>
      </c>
    </row>
    <row r="2172">
      <c r="A2172" s="35" t="s">
        <v>4985</v>
      </c>
      <c r="B2172" s="31" t="s">
        <v>4986</v>
      </c>
      <c r="C2172" s="31"/>
      <c r="D2172" s="37" t="s">
        <v>14</v>
      </c>
      <c r="E2172" s="10"/>
      <c r="F2172" s="36"/>
      <c r="G2172" s="11"/>
      <c r="H2172" s="34" t="str">
        <f>IFERROR(__xludf.DUMMYFUNCTION("LOWER(REGEXREPLACE(B2172&amp;"" ""&amp;C2172,""[^а-яa-z0-9 ]"","" ""))")," eb камера ")</f>
        <v> eb камера </v>
      </c>
    </row>
    <row r="2173">
      <c r="A2173" s="35" t="s">
        <v>4987</v>
      </c>
      <c r="B2173" s="31" t="s">
        <v>4988</v>
      </c>
      <c r="C2173" s="31"/>
      <c r="D2173" s="37" t="s">
        <v>14</v>
      </c>
      <c r="E2173" s="10"/>
      <c r="F2173" s="40">
        <v>0.12</v>
      </c>
      <c r="G2173" s="11">
        <v>10322.0</v>
      </c>
      <c r="H2173" s="34" t="str">
        <f>IFERROR(__xludf.DUMMYFUNCTION("LOWER(REGEXREPLACE(B2173&amp;"" ""&amp;C2173,""[^а-яa-z0-9 ]"","" ""))")," enius  ace am 1000       2 0  1280x720  1 0 px  микрофон  крепление  зажим ")</f>
        <v> enius  ace am 1000       2 0  1280x720  1 0 px  микрофон  крепление  зажим </v>
      </c>
    </row>
    <row r="2174">
      <c r="A2174" s="35" t="s">
        <v>4989</v>
      </c>
      <c r="B2174" s="31" t="s">
        <v>4990</v>
      </c>
      <c r="C2174" s="31"/>
      <c r="D2174" s="37" t="s">
        <v>14</v>
      </c>
      <c r="E2174" s="10"/>
      <c r="F2174" s="39">
        <v>0.2</v>
      </c>
      <c r="G2174" s="11">
        <v>14959.0</v>
      </c>
      <c r="H2174" s="34" t="str">
        <f>IFERROR(__xludf.DUMMYFUNCTION("LOWER(REGEXREPLACE(B2174&amp;"" ""&amp;C2174,""[^а-яa-z0-9 ]"","" ""))")," enovo  ssential      ebcam   ull    1080   2 megapixel           2 0 ")</f>
        <v> enovo  ssential      ebcam   ull    1080   2 megapixel           2 0 </v>
      </c>
    </row>
    <row r="2175">
      <c r="A2175" s="35" t="s">
        <v>4991</v>
      </c>
      <c r="B2175" s="9" t="s">
        <v>4992</v>
      </c>
      <c r="C2175" s="31"/>
      <c r="D2175" s="37" t="s">
        <v>14</v>
      </c>
      <c r="E2175" s="10"/>
      <c r="F2175" s="40">
        <v>0.16</v>
      </c>
      <c r="G2175" s="11">
        <v>17706.0</v>
      </c>
      <c r="H2175" s="34" t="str">
        <f>IFERROR(__xludf.DUMMYFUNCTION("LOWER(REGEXREPLACE(B2175&amp;"" ""&amp;C2175,""[^а-яa-z0-9 ]"","" ""))")," enius   am 6000      2 0  1920 x 1080  2 0 px  микрофон  крепление  зажим ")</f>
        <v> enius   am 6000      2 0  1920 x 1080  2 0 px  микрофон  крепление  зажим </v>
      </c>
    </row>
    <row r="2176">
      <c r="A2176" s="35" t="s">
        <v>4993</v>
      </c>
      <c r="B2176" s="31" t="s">
        <v>4994</v>
      </c>
      <c r="C2176" s="31"/>
      <c r="D2176" s="37" t="s">
        <v>14</v>
      </c>
      <c r="E2176" s="38">
        <v>2.0</v>
      </c>
      <c r="F2176" s="42">
        <v>0.095</v>
      </c>
      <c r="G2176" s="11">
        <v>8831.0</v>
      </c>
      <c r="H2176" s="34" t="str">
        <f>IFERROR(__xludf.DUMMYFUNCTION("LOWER(REGEXREPLACE(B2176&amp;"" ""&amp;C2176,""[^а-яa-z0-9 ]"","" ""))")," ogitech  270     720p 30fps  фокус постоянный  угол обзора 60   кабель 1 5м  ")</f>
        <v> ogitech  270     720p 30fps  фокус постоянный  угол обзора 60   кабель 1 5м  </v>
      </c>
    </row>
    <row r="2177">
      <c r="A2177" s="35" t="s">
        <v>4995</v>
      </c>
      <c r="B2177" s="31" t="s">
        <v>4996</v>
      </c>
      <c r="C2177" s="31"/>
      <c r="D2177" s="37" t="s">
        <v>14</v>
      </c>
      <c r="E2177" s="10"/>
      <c r="F2177" s="36"/>
      <c r="G2177" s="11"/>
      <c r="H2177" s="34" t="str">
        <f>IFERROR(__xludf.DUMMYFUNCTION("LOWER(REGEXREPLACE(B2177&amp;"" ""&amp;C2177,""[^а-яa-z0-9 ]"","" ""))")," нтерактивная доска или экран ")</f>
        <v> нтерактивная доска или экран </v>
      </c>
    </row>
    <row r="2178">
      <c r="A2178" s="35" t="s">
        <v>4997</v>
      </c>
      <c r="B2178" s="31" t="s">
        <v>4998</v>
      </c>
      <c r="C2178" s="31"/>
      <c r="D2178" s="37" t="s">
        <v>14</v>
      </c>
      <c r="E2178" s="10"/>
      <c r="F2178" s="36"/>
      <c r="G2178" s="11">
        <v>298286.0</v>
      </c>
      <c r="H2178" s="34" t="str">
        <f>IFERROR(__xludf.DUMMYFUNCTION("LOWER(REGEXREPLACE(B2178&amp;"" ""&amp;C2178,""[^а-яa-z0-9 ]"","" ""))")," нтерактивная доска 91  10 касаний ")</f>
        <v> нтерактивная доска 91  10 касаний </v>
      </c>
    </row>
    <row r="2179">
      <c r="A2179" s="35" t="s">
        <v>4999</v>
      </c>
      <c r="B2179" s="9" t="s">
        <v>5000</v>
      </c>
      <c r="C2179" s="31"/>
      <c r="D2179" s="37" t="s">
        <v>14</v>
      </c>
      <c r="E2179" s="10"/>
      <c r="F2179" s="36"/>
      <c r="G2179" s="11">
        <v>171665.0</v>
      </c>
      <c r="H2179" s="34" t="str">
        <f>IFERROR(__xludf.DUMMYFUNCTION("LOWER(REGEXREPLACE(B2179&amp;"" ""&amp;C2179,""[^а-яa-z0-9 ]"","" ""))")," нтерактивная доска          8287   без лотка  87   10 касаний ")</f>
        <v> нтерактивная доска          8287   без лотка  87   10 касаний </v>
      </c>
    </row>
    <row r="2180">
      <c r="A2180" s="35" t="s">
        <v>5001</v>
      </c>
      <c r="B2180" s="31" t="s">
        <v>5002</v>
      </c>
      <c r="C2180" s="31"/>
      <c r="D2180" s="37" t="s">
        <v>14</v>
      </c>
      <c r="E2180" s="10"/>
      <c r="F2180" s="36"/>
      <c r="G2180" s="11"/>
      <c r="H2180" s="34" t="str">
        <f>IFERROR(__xludf.DUMMYFUNCTION("LOWER(REGEXREPLACE(B2180&amp;"" ""&amp;C2180,""[^а-яa-z0-9 ]"","" ""))")," роектор ультракороткофокусный ")</f>
        <v> роектор ультракороткофокусный </v>
      </c>
    </row>
    <row r="2181">
      <c r="A2181" s="35" t="s">
        <v>5003</v>
      </c>
      <c r="B2181" s="9" t="s">
        <v>5004</v>
      </c>
      <c r="C2181" s="31"/>
      <c r="D2181" s="37" t="s">
        <v>14</v>
      </c>
      <c r="E2181" s="10"/>
      <c r="F2181" s="36"/>
      <c r="G2181" s="11">
        <v>763737.0</v>
      </c>
      <c r="H2181" s="34" t="str">
        <f>IFERROR(__xludf.DUMMYFUNCTION("LOWER(REGEXREPLACE(B2181&amp;"" ""&amp;C2181,""[^а-яa-z0-9 ]"","" ""))")," роектор  ptoma  340     разрешение      800 x 600   яркость 4000 лм  контрастность 22000 1  проекционное отношение 0 33 1 ")</f>
        <v> роектор  ptoma  340     разрешение      800 x 600   яркость 4000 лм  контрастность 22000 1  проекционное отношение 0 33 1 </v>
      </c>
    </row>
    <row r="2182">
      <c r="A2182" s="35" t="s">
        <v>5005</v>
      </c>
      <c r="B2182" s="31" t="s">
        <v>233</v>
      </c>
      <c r="C2182" s="31"/>
      <c r="D2182" s="37" t="s">
        <v>14</v>
      </c>
      <c r="E2182" s="10"/>
      <c r="F2182" s="36"/>
      <c r="G2182" s="11"/>
      <c r="H2182" s="34" t="str">
        <f>IFERROR(__xludf.DUMMYFUNCTION("LOWER(REGEXREPLACE(B2182&amp;"" ""&amp;C2182,""[^а-яa-z0-9 ]"","" ""))")," роектор ")</f>
        <v> роектор </v>
      </c>
    </row>
    <row r="2183">
      <c r="A2183" s="35" t="s">
        <v>5006</v>
      </c>
      <c r="B2183" s="9" t="s">
        <v>5007</v>
      </c>
      <c r="C2183" s="31"/>
      <c r="D2183" s="37" t="s">
        <v>14</v>
      </c>
      <c r="E2183" s="10"/>
      <c r="F2183" s="36"/>
      <c r="G2183" s="11">
        <v>306379.0</v>
      </c>
      <c r="H2183" s="34" t="str">
        <f>IFERROR(__xludf.DUMMYFUNCTION("LOWER(REGEXREPLACE(B2183&amp;"" ""&amp;C2183,""[^а-яa-z0-9 ]"","" ""))")," роектор  ptoma  381   разрешение      1024 x 768   яркость 3900 лм  контрастность 25 000 1  проекционное отношение 1 94 1   2 16 1 ")</f>
        <v> роектор  ptoma  381   разрешение      1024 x 768   яркость 3900 лм  контрастность 25 000 1  проекционное отношение 1 94 1   2 16 1 </v>
      </c>
    </row>
    <row r="2184">
      <c r="A2184" s="35" t="s">
        <v>5008</v>
      </c>
      <c r="B2184" s="31" t="s">
        <v>5009</v>
      </c>
      <c r="C2184" s="31"/>
      <c r="D2184" s="37" t="s">
        <v>14</v>
      </c>
      <c r="E2184" s="10"/>
      <c r="F2184" s="36"/>
      <c r="G2184" s="11"/>
      <c r="H2184" s="34" t="str">
        <f>IFERROR(__xludf.DUMMYFUNCTION("LOWER(REGEXREPLACE(B2184&amp;"" ""&amp;C2184,""[^а-яa-z0-9 ]"","" ""))")," кран большой проекционный ")</f>
        <v> кран большой проекционный </v>
      </c>
    </row>
    <row r="2185">
      <c r="A2185" s="35" t="s">
        <v>5010</v>
      </c>
      <c r="B2185" s="31" t="s">
        <v>5011</v>
      </c>
      <c r="C2185" s="31"/>
      <c r="D2185" s="37" t="s">
        <v>14</v>
      </c>
      <c r="E2185" s="10"/>
      <c r="F2185" s="36"/>
      <c r="G2185" s="11">
        <v>53138.0</v>
      </c>
      <c r="H2185" s="34" t="str">
        <f>IFERROR(__xludf.DUMMYFUNCTION("LOWER(REGEXREPLACE(B2185&amp;"" ""&amp;C2185,""[^а-яa-z0-9 ]"","" ""))")," кран моторизованный    screen    3100  полотно  atte  hite  радиопульт в комплекте  диагональ 100   формат 4 3  размер активной области полотна 1970 147 0мм ")</f>
        <v> кран моторизованный    screen    3100  полотно  atte  hite  радиопульт в комплекте  диагональ 100   формат 4 3  размер активной области полотна 1970 147 0мм </v>
      </c>
    </row>
    <row r="2186">
      <c r="A2186" s="35" t="s">
        <v>5012</v>
      </c>
      <c r="B2186" s="31" t="s">
        <v>5013</v>
      </c>
      <c r="C2186" s="31"/>
      <c r="D2186" s="37" t="s">
        <v>14</v>
      </c>
      <c r="E2186" s="10"/>
      <c r="F2186" s="36"/>
      <c r="G2186" s="11"/>
      <c r="H2186" s="34" t="str">
        <f>IFERROR(__xludf.DUMMYFUNCTION("LOWER(REGEXREPLACE(B2186&amp;"" ""&amp;C2186,""[^а-яa-z0-9 ]"","" ""))")," репление потолочное для проектора ")</f>
        <v> репление потолочное для проектора </v>
      </c>
    </row>
    <row r="2187">
      <c r="A2187" s="35" t="s">
        <v>5014</v>
      </c>
      <c r="B2187" s="31" t="s">
        <v>5015</v>
      </c>
      <c r="C2187" s="31"/>
      <c r="D2187" s="37" t="s">
        <v>14</v>
      </c>
      <c r="E2187" s="10"/>
      <c r="F2187" s="36"/>
      <c r="G2187" s="11">
        <v>10902.0</v>
      </c>
      <c r="H2187" s="34" t="str">
        <f>IFERROR(__xludf.DUMMYFUNCTION("LOWER(REGEXREPLACE(B2187&amp;"" ""&amp;C2187,""[^а-яa-z0-9 ]"","" ""))")," репление для проектора потолочное ")</f>
        <v> репление для проектора потолочное </v>
      </c>
    </row>
    <row r="2188">
      <c r="A2188" s="35" t="s">
        <v>5016</v>
      </c>
      <c r="B2188" s="31" t="s">
        <v>5017</v>
      </c>
      <c r="C2188" s="31"/>
      <c r="D2188" s="37" t="s">
        <v>14</v>
      </c>
      <c r="E2188" s="10"/>
      <c r="F2188" s="36"/>
      <c r="G2188" s="11">
        <v>9402.0</v>
      </c>
      <c r="H2188" s="34" t="str">
        <f>IFERROR(__xludf.DUMMYFUNCTION("LOWER(REGEXREPLACE(B2188&amp;"" ""&amp;C2188,""[^а-яa-z0-9 ]"","" ""))")," репление для проектора потолочное    mount 430 650 мм    01   ")</f>
        <v> репление для проектора потолочное    mount 430 650 мм    01   </v>
      </c>
    </row>
    <row r="2189">
      <c r="A2189" s="35" t="s">
        <v>5018</v>
      </c>
      <c r="B2189" s="31" t="s">
        <v>5019</v>
      </c>
      <c r="C2189" s="31"/>
      <c r="D2189" s="37" t="s">
        <v>14</v>
      </c>
      <c r="E2189" s="10"/>
      <c r="F2189" s="36"/>
      <c r="G2189" s="11">
        <v>5795.0</v>
      </c>
      <c r="H2189" s="34" t="str">
        <f>IFERROR(__xludf.DUMMYFUNCTION("LOWER(REGEXREPLACE(B2189&amp;"" ""&amp;C2189,""[^а-яa-z0-9 ]"","" ""))")," репление  паук  потолочное для проектора  rateck     2 ")</f>
        <v> репление  паук  потолочное для проектора  rateck     2 </v>
      </c>
    </row>
    <row r="2190">
      <c r="A2190" s="35" t="s">
        <v>5020</v>
      </c>
      <c r="B2190" s="31" t="s">
        <v>5021</v>
      </c>
      <c r="C2190" s="31"/>
      <c r="D2190" s="37" t="s">
        <v>14</v>
      </c>
      <c r="E2190" s="10"/>
      <c r="F2190" s="36"/>
      <c r="G2190" s="11">
        <v>6241.0</v>
      </c>
      <c r="H2190" s="34" t="str">
        <f>IFERROR(__xludf.DUMMYFUNCTION("LOWER(REGEXREPLACE(B2190&amp;"" ""&amp;C2190,""[^а-яa-z0-9 ]"","" ""))")," репление  паук  потолочное для проектора  rateck     2  ")</f>
        <v> репление  паук  потолочное для проектора  rateck     2  </v>
      </c>
    </row>
    <row r="2191">
      <c r="A2191" s="35" t="s">
        <v>5022</v>
      </c>
      <c r="B2191" s="31" t="s">
        <v>5023</v>
      </c>
      <c r="C2191" s="31"/>
      <c r="D2191" s="37" t="s">
        <v>14</v>
      </c>
      <c r="E2191" s="10"/>
      <c r="F2191" s="36"/>
      <c r="G2191" s="11">
        <v>15982.0</v>
      </c>
      <c r="H2191" s="34" t="str">
        <f>IFERROR(__xludf.DUMMYFUNCTION("LOWER(REGEXREPLACE(B2191&amp;"" ""&amp;C2191,""[^а-яa-z0-9 ]"","" ""))")," репление  паук  потолочное для проектора  eluxe       16 02  ")</f>
        <v> репление  паук  потолочное для проектора  eluxe       16 02  </v>
      </c>
    </row>
    <row r="2192">
      <c r="A2192" s="35" t="s">
        <v>5024</v>
      </c>
      <c r="B2192" s="31" t="s">
        <v>5025</v>
      </c>
      <c r="C2192" s="31"/>
      <c r="D2192" s="37" t="s">
        <v>14</v>
      </c>
      <c r="E2192" s="10"/>
      <c r="F2192" s="36"/>
      <c r="G2192" s="11">
        <v>5795.0</v>
      </c>
      <c r="H2192" s="34" t="str">
        <f>IFERROR(__xludf.DUMMYFUNCTION("LOWER(REGEXREPLACE(B2192&amp;"" ""&amp;C2192,""[^а-яa-z0-9 ]"","" ""))")," репление  паук  потолочное настенное для проектора  eluxe       2  ")</f>
        <v> репление  паук  потолочное настенное для проектора  eluxe       2  </v>
      </c>
    </row>
    <row r="2193">
      <c r="A2193" s="35" t="s">
        <v>5026</v>
      </c>
      <c r="B2193" s="31" t="s">
        <v>5027</v>
      </c>
      <c r="C2193" s="31"/>
      <c r="D2193" s="37" t="s">
        <v>14</v>
      </c>
      <c r="E2193" s="38">
        <v>1.0</v>
      </c>
      <c r="F2193" s="39">
        <v>5.4</v>
      </c>
      <c r="G2193" s="11">
        <v>153887.0</v>
      </c>
      <c r="H2193" s="34" t="str">
        <f>IFERROR(__xludf.DUMMYFUNCTION("LOWER(REGEXREPLACE(B2193&amp;"" ""&amp;C2193,""[^а-яa-z0-9 ]"","" ""))")," репление потолочное для проектора  максимальная нагрузка 25 кг  высота крепления 267 427 мм ")</f>
        <v> репление потолочное для проектора  максимальная нагрузка 25 кг  высота крепления 267 427 мм </v>
      </c>
    </row>
    <row r="2194">
      <c r="A2194" s="35" t="s">
        <v>5028</v>
      </c>
      <c r="B2194" s="31" t="s">
        <v>5029</v>
      </c>
      <c r="C2194" s="31"/>
      <c r="D2194" s="37" t="s">
        <v>14</v>
      </c>
      <c r="E2194" s="10"/>
      <c r="F2194" s="36"/>
      <c r="G2194" s="11"/>
      <c r="H2194" s="34" t="str">
        <f>IFERROR(__xludf.DUMMYFUNCTION("LOWER(REGEXREPLACE(B2194&amp;"" ""&amp;C2194,""[^а-яa-z0-9 ]"","" ""))")," репление настенное для проектора ")</f>
        <v> репление настенное для проектора </v>
      </c>
    </row>
    <row r="2195">
      <c r="A2195" s="35" t="s">
        <v>5030</v>
      </c>
      <c r="B2195" s="31" t="s">
        <v>5031</v>
      </c>
      <c r="C2195" s="31"/>
      <c r="D2195" s="37" t="s">
        <v>14</v>
      </c>
      <c r="E2195" s="10"/>
      <c r="F2195" s="36"/>
      <c r="G2195" s="11">
        <v>34250.0</v>
      </c>
      <c r="H2195" s="34" t="str">
        <f>IFERROR(__xludf.DUMMYFUNCTION("LOWER(REGEXREPLACE(B2195&amp;"" ""&amp;C2195,""[^а-яa-z0-9 ]"","" ""))")," репление для проектора настенное    mount     1500  вылет штанги от стены до 1500 мм  выдерживает до 15 кг  цвет белый  алюминий металл ")</f>
        <v> репление для проектора настенное    mount     1500  вылет штанги от стены до 1500 мм  выдерживает до 15 кг  цвет белый  алюминий металл </v>
      </c>
    </row>
    <row r="2196">
      <c r="A2196" s="35" t="s">
        <v>5032</v>
      </c>
      <c r="B2196" s="31" t="s">
        <v>5033</v>
      </c>
      <c r="C2196" s="31"/>
      <c r="D2196" s="37" t="s">
        <v>14</v>
      </c>
      <c r="E2196" s="10"/>
      <c r="F2196" s="36"/>
      <c r="G2196" s="11">
        <v>20527.0</v>
      </c>
      <c r="H2196" s="34" t="str">
        <f>IFERROR(__xludf.DUMMYFUNCTION("LOWER(REGEXREPLACE(B2196&amp;"" ""&amp;C2196,""[^а-яa-z0-9 ]"","" ""))")," репление  паук  настенное для проектора  rateck     16 03  ")</f>
        <v> репление  паук  настенное для проектора  rateck     16 03  </v>
      </c>
    </row>
    <row r="2197">
      <c r="A2197" s="35" t="s">
        <v>5034</v>
      </c>
      <c r="B2197" s="31" t="s">
        <v>5035</v>
      </c>
      <c r="C2197" s="31"/>
      <c r="D2197" s="37" t="s">
        <v>14</v>
      </c>
      <c r="E2197" s="10"/>
      <c r="F2197" s="36"/>
      <c r="G2197" s="11">
        <v>39196.0</v>
      </c>
      <c r="H2197" s="34" t="str">
        <f>IFERROR(__xludf.DUMMYFUNCTION("LOWER(REGEXREPLACE(B2197&amp;"" ""&amp;C2197,""[^а-яa-z0-9 ]"","" ""))")," репление  паук  настенное для проектора         2   до 10 кг   hite ")</f>
        <v> репление  паук  настенное для проектора         2   до 10 кг   hite </v>
      </c>
    </row>
    <row r="2198">
      <c r="A2198" s="35" t="s">
        <v>5036</v>
      </c>
      <c r="B2198" s="31" t="s">
        <v>5037</v>
      </c>
      <c r="C2198" s="31"/>
      <c r="D2198" s="37" t="s">
        <v>14</v>
      </c>
      <c r="E2198" s="10"/>
      <c r="F2198" s="36"/>
      <c r="G2198" s="11">
        <v>5795.0</v>
      </c>
      <c r="H2198" s="34" t="str">
        <f>IFERROR(__xludf.DUMMYFUNCTION("LOWER(REGEXREPLACE(B2198&amp;"" ""&amp;C2198,""[^а-яa-z0-9 ]"","" ""))")," репление  паук  настенное для проектора     2   до 20 кг   hite ")</f>
        <v> репление  паук  настенное для проектора     2   до 20 кг   hite </v>
      </c>
    </row>
    <row r="2199">
      <c r="A2199" s="35" t="s">
        <v>5038</v>
      </c>
      <c r="B2199" s="31" t="s">
        <v>5039</v>
      </c>
      <c r="C2199" s="31"/>
      <c r="D2199" s="37" t="s">
        <v>14</v>
      </c>
      <c r="E2199" s="10"/>
      <c r="F2199" s="36"/>
      <c r="G2199" s="11">
        <v>39196.0</v>
      </c>
      <c r="H2199" s="34" t="str">
        <f>IFERROR(__xludf.DUMMYFUNCTION("LOWER(REGEXREPLACE(B2199&amp;"" ""&amp;C2199,""[^а-яa-z0-9 ]"","" ""))")," репление  паук  настенный для проектора         3   до 10 кг   hite ")</f>
        <v> репление  паук  настенный для проектора         3   до 10 кг   hite </v>
      </c>
    </row>
    <row r="2200">
      <c r="A2200" s="35" t="s">
        <v>5040</v>
      </c>
      <c r="B2200" s="31" t="s">
        <v>5041</v>
      </c>
      <c r="C2200" s="31"/>
      <c r="D2200" s="37" t="s">
        <v>14</v>
      </c>
      <c r="E2200" s="10"/>
      <c r="F2200" s="36"/>
      <c r="G2200" s="11">
        <v>18894.0</v>
      </c>
      <c r="H2200" s="34" t="str">
        <f>IFERROR(__xludf.DUMMYFUNCTION("LOWER(REGEXREPLACE(B2200&amp;"" ""&amp;C2200,""[^а-яa-z0-9 ]"","" ""))")," репление настенное для проектора          all  040    lack ")</f>
        <v> репление настенное для проектора          all  040    lack </v>
      </c>
    </row>
    <row r="2201">
      <c r="A2201" s="35" t="s">
        <v>5042</v>
      </c>
      <c r="B2201" s="31" t="s">
        <v>5043</v>
      </c>
      <c r="C2201" s="31"/>
      <c r="D2201" s="37" t="s">
        <v>14</v>
      </c>
      <c r="E2201" s="10"/>
      <c r="F2201" s="36"/>
      <c r="G2201" s="11"/>
      <c r="H2201" s="34" t="str">
        <f>IFERROR(__xludf.DUMMYFUNCTION("LOWER(REGEXREPLACE(B2201&amp;"" ""&amp;C2201,""[^а-яa-z0-9 ]"","" ""))")," кустическая система ")</f>
        <v> кустическая система </v>
      </c>
    </row>
    <row r="2202">
      <c r="A2202" s="35" t="s">
        <v>5044</v>
      </c>
      <c r="B2202" s="9" t="s">
        <v>5045</v>
      </c>
      <c r="C2202" s="31"/>
      <c r="D2202" s="37" t="s">
        <v>14</v>
      </c>
      <c r="E2202" s="10"/>
      <c r="F2202" s="38">
        <v>3.0</v>
      </c>
      <c r="G2202" s="11">
        <v>12817.0</v>
      </c>
      <c r="H2202" s="34" t="str">
        <f>IFERROR(__xludf.DUMMYFUNCTION("LOWER(REGEXREPLACE(B2202&amp;"" ""&amp;C2202,""[^а-яa-z0-9 ]"","" ""))")," icrolab   106  10 т  2 5 т 2 5 т   выход 2     вход 3 5  ini ack ")</f>
        <v> icrolab   106  10 т  2 5 т 2 5 т   выход 2     вход 3 5  ini ack </v>
      </c>
    </row>
    <row r="2203">
      <c r="A2203" s="35" t="s">
        <v>5046</v>
      </c>
      <c r="B2203" s="31" t="s">
        <v>5047</v>
      </c>
      <c r="C2203" s="31"/>
      <c r="D2203" s="37" t="s">
        <v>14</v>
      </c>
      <c r="E2203" s="10"/>
      <c r="F2203" s="39">
        <v>3.5</v>
      </c>
      <c r="G2203" s="11">
        <v>12150.0</v>
      </c>
      <c r="H2203" s="34" t="str">
        <f>IFERROR(__xludf.DUMMYFUNCTION("LOWER(REGEXREPLACE(B2203&amp;"" ""&amp;C2203,""[^а-яa-z0-9 ]"","" ""))")," icrolab   111  12 т  3 т 2 6 т   выход 2     вход 3 5  ini ack  проводной пульт    ")</f>
        <v> icrolab   111  12 т  3 т 2 6 т   выход 2     вход 3 5  ini ack  проводной пульт    </v>
      </c>
    </row>
    <row r="2204">
      <c r="A2204" s="35" t="s">
        <v>5048</v>
      </c>
      <c r="B2204" s="9" t="s">
        <v>5049</v>
      </c>
      <c r="C2204" s="31"/>
      <c r="D2204" s="37" t="s">
        <v>14</v>
      </c>
      <c r="E2204" s="10"/>
      <c r="F2204" s="38">
        <v>3.0</v>
      </c>
      <c r="G2204" s="11">
        <v>9928.0</v>
      </c>
      <c r="H2204" s="34" t="str">
        <f>IFERROR(__xludf.DUMMYFUNCTION("LOWER(REGEXREPLACE(B2204&amp;"" ""&amp;C2204,""[^а-яa-z0-9 ]"","" ""))")," icrolab  100        10 т 2 5 т  2 5 т   выход      вход 3 5  ini ack ")</f>
        <v> icrolab  100        10 т 2 5 т  2 5 т   выход      вход 3 5  ini ack </v>
      </c>
    </row>
    <row r="2205">
      <c r="A2205" s="35" t="s">
        <v>5050</v>
      </c>
      <c r="B2205" s="9" t="s">
        <v>5051</v>
      </c>
      <c r="C2205" s="31"/>
      <c r="D2205" s="37" t="s">
        <v>14</v>
      </c>
      <c r="E2205" s="38">
        <v>1.0</v>
      </c>
      <c r="F2205" s="40">
        <v>0.04</v>
      </c>
      <c r="G2205" s="11">
        <v>1489.0</v>
      </c>
      <c r="H2205" s="34" t="str">
        <f>IFERROR(__xludf.DUMMYFUNCTION("LOWER(REGEXREPLACE(B2205&amp;"" ""&amp;C2205,""[^а-яa-z0-9 ]"","" ""))")," азъем акустический       мама   roel     3    ")</f>
        <v> азъем акустический       мама   roel     3    </v>
      </c>
    </row>
    <row r="2206">
      <c r="A2206" s="35" t="s">
        <v>5052</v>
      </c>
      <c r="B2206" s="9" t="s">
        <v>5053</v>
      </c>
      <c r="C2206" s="31"/>
      <c r="D2206" s="37" t="s">
        <v>14</v>
      </c>
      <c r="E2206" s="38">
        <v>1.0</v>
      </c>
      <c r="F2206" s="40">
        <v>0.04</v>
      </c>
      <c r="G2206" s="11">
        <v>1489.0</v>
      </c>
      <c r="H2206" s="34" t="str">
        <f>IFERROR(__xludf.DUMMYFUNCTION("LOWER(REGEXREPLACE(B2206&amp;"" ""&amp;C2206,""[^а-яa-z0-9 ]"","" ""))")," азъем акустический       папа   roel     3    ")</f>
        <v> азъем акустический       папа   roel     3    </v>
      </c>
    </row>
    <row r="2207">
      <c r="A2207" s="35" t="s">
        <v>5054</v>
      </c>
      <c r="B2207" s="9" t="s">
        <v>5055</v>
      </c>
      <c r="C2207" s="31"/>
      <c r="D2207" s="37" t="s">
        <v>14</v>
      </c>
      <c r="E2207" s="38">
        <v>2.0</v>
      </c>
      <c r="F2207" s="40">
        <v>2.71</v>
      </c>
      <c r="G2207" s="11">
        <v>8012.0</v>
      </c>
      <c r="H2207" s="34" t="str">
        <f>IFERROR(__xludf.DUMMYFUNCTION("LOWER(REGEXREPLACE(B2207&amp;"" ""&amp;C2207,""[^а-яa-z0-9 ]"","" ""))")," тойка для колонок напольная типа    013   аксимальная нагрузка  50 кг   ысота  990 2000мм   сновной материал  пластик   олщина трубки  7 мм ")</f>
        <v> тойка для колонок напольная типа    013   аксимальная нагрузка  50 кг   ысота  990 2000мм   сновной материал  пластик   олщина трубки  7 мм </v>
      </c>
    </row>
    <row r="2208">
      <c r="A2208" s="35" t="s">
        <v>5056</v>
      </c>
      <c r="B2208" s="31" t="s">
        <v>5057</v>
      </c>
      <c r="C2208" s="31"/>
      <c r="D2208" s="37" t="s">
        <v>14</v>
      </c>
      <c r="E2208" s="38">
        <v>2.0</v>
      </c>
      <c r="F2208" s="40">
        <v>1.74</v>
      </c>
      <c r="G2208" s="11">
        <v>9385.0</v>
      </c>
      <c r="H2208" s="34" t="str">
        <f>IFERROR(__xludf.DUMMYFUNCTION("LOWER(REGEXREPLACE(B2208&amp;"" ""&amp;C2208,""[^а-яa-z0-9 ]"","" ""))")," ронштейн регулируемый настенный для колонок типа    004 ")</f>
        <v> ронштейн регулируемый настенный для колонок типа    004 </v>
      </c>
    </row>
    <row r="2209">
      <c r="A2209" s="35" t="s">
        <v>5058</v>
      </c>
      <c r="B2209" s="31" t="s">
        <v>5059</v>
      </c>
      <c r="C2209" s="31"/>
      <c r="D2209" s="37" t="s">
        <v>14</v>
      </c>
      <c r="E2209" s="38">
        <v>2.0</v>
      </c>
      <c r="F2209" s="42">
        <v>2.006</v>
      </c>
      <c r="G2209" s="11">
        <v>10210.0</v>
      </c>
      <c r="H2209" s="34" t="str">
        <f>IFERROR(__xludf.DUMMYFUNCTION("LOWER(REGEXREPLACE(B2209&amp;"" ""&amp;C2209,""[^а-яa-z0-9 ]"","" ""))")," тойка микрофонная напольная типа   135   ысота  880 1580 мм   атериал трубки из стали  основание из пластика ")</f>
        <v> тойка микрофонная напольная типа   135   ысота  880 1580 мм   атериал трубки из стали  основание из пластика </v>
      </c>
    </row>
    <row r="2210">
      <c r="A2210" s="35" t="s">
        <v>5060</v>
      </c>
      <c r="B2210" s="31" t="s">
        <v>5061</v>
      </c>
      <c r="C2210" s="31"/>
      <c r="D2210" s="37" t="s">
        <v>14</v>
      </c>
      <c r="E2210" s="38">
        <v>2.0</v>
      </c>
      <c r="F2210" s="40">
        <v>0.35</v>
      </c>
      <c r="G2210" s="11">
        <v>10433.0</v>
      </c>
      <c r="H2210" s="34" t="str">
        <f>IFERROR(__xludf.DUMMYFUNCTION("LOWER(REGEXREPLACE(B2210&amp;"" ""&amp;C2210,""[^а-яa-z0-9 ]"","" ""))")," икрофонно телефонная гарнитура ")</f>
        <v> икрофонно телефонная гарнитура </v>
      </c>
    </row>
    <row r="2211">
      <c r="A2211" s="35" t="s">
        <v>5062</v>
      </c>
      <c r="B2211" s="31" t="s">
        <v>5063</v>
      </c>
      <c r="C2211" s="31"/>
      <c r="D2211" s="37" t="s">
        <v>14</v>
      </c>
      <c r="E2211" s="10"/>
      <c r="F2211" s="36"/>
      <c r="G2211" s="11"/>
      <c r="H2211" s="34" t="str">
        <f>IFERROR(__xludf.DUMMYFUNCTION("LOWER(REGEXREPLACE(B2211&amp;"" ""&amp;C2211,""[^а-яa-z0-9 ]"","" ""))")," ногофункциональное устройство ")</f>
        <v> ногофункциональное устройство </v>
      </c>
    </row>
    <row r="2212">
      <c r="A2212" s="35" t="s">
        <v>5064</v>
      </c>
      <c r="B2212" s="31" t="s">
        <v>5065</v>
      </c>
      <c r="C2212" s="31"/>
      <c r="D2212" s="37" t="s">
        <v>14</v>
      </c>
      <c r="E2212" s="10"/>
      <c r="F2212" s="36"/>
      <c r="G2212" s="11">
        <v>85791.0</v>
      </c>
      <c r="H2212" s="34" t="str">
        <f>IFERROR(__xludf.DUMMYFUNCTION("LOWER(REGEXREPLACE(B2212&amp;"" ""&amp;C2212,""[^а-яa-z0-9 ]"","" ""))"),"        aser et 135a   4 print 600x600dpi 20ppm scan 600x600dpi           ")</f>
        <v>        aser et 135a   4 print 600x600dpi 20ppm scan 600x600dpi           </v>
      </c>
    </row>
    <row r="2213">
      <c r="A2213" s="35" t="s">
        <v>5066</v>
      </c>
      <c r="B2213" s="31" t="s">
        <v>5067</v>
      </c>
      <c r="C2213" s="31"/>
      <c r="D2213" s="37" t="s">
        <v>14</v>
      </c>
      <c r="E2213" s="10"/>
      <c r="F2213" s="36"/>
      <c r="G2213" s="11">
        <v>103872.0</v>
      </c>
      <c r="H2213" s="34" t="str">
        <f>IFERROR(__xludf.DUMMYFUNCTION("LOWER(REGEXREPLACE(B2213&amp;"" ""&amp;C2213,""[^а-яa-z0-9 ]"","" ""))"),"        aser et  ro  130nw  print 600x600dpi  22ppm  scan 1200x1200dpi   i  i           ")</f>
        <v>        aser et  ro  130nw  print 600x600dpi  22ppm  scan 1200x1200dpi   i  i           </v>
      </c>
    </row>
    <row r="2214">
      <c r="A2214" s="35" t="s">
        <v>5068</v>
      </c>
      <c r="B2214" s="31" t="s">
        <v>5069</v>
      </c>
      <c r="C2214" s="31"/>
      <c r="D2214" s="37" t="s">
        <v>14</v>
      </c>
      <c r="E2214" s="10"/>
      <c r="F2214" s="36"/>
      <c r="G2214" s="11">
        <v>117432.0</v>
      </c>
      <c r="H2214" s="34" t="str">
        <f>IFERROR(__xludf.DUMMYFUNCTION("LOWER(REGEXREPLACE(B2214&amp;"" ""&amp;C2214,""[^а-яa-z0-9 ]"","" ""))"),"     erox  205     4 print 1200x1200dpi  30ppm  scan 4800x4800dpi  tray250   i  i                ")</f>
        <v>     erox  205     4 print 1200x1200dpi  30ppm  scan 4800x4800dpi  tray250   i  i                </v>
      </c>
    </row>
    <row r="2215">
      <c r="A2215" s="35" t="s">
        <v>5070</v>
      </c>
      <c r="B2215" s="31" t="s">
        <v>5071</v>
      </c>
      <c r="C2215" s="31"/>
      <c r="D2215" s="37" t="s">
        <v>14</v>
      </c>
      <c r="E2215" s="10"/>
      <c r="F2215" s="36"/>
      <c r="G2215" s="11">
        <v>153593.0</v>
      </c>
      <c r="H2215" s="34" t="str">
        <f>IFERROR(__xludf.DUMMYFUNCTION("LOWER(REGEXREPLACE(B2215&amp;"" ""&amp;C2215,""[^а-яa-z0-9 ]"","" ""))"),"        olor  aser 178nw   4  print 600x600dpi  18ppm  scan 600x600dpi                  i  i ")</f>
        <v>        olor  aser 178nw   4  print 600x600dpi  18ppm  scan 600x600dpi                  i  i </v>
      </c>
    </row>
    <row r="2216">
      <c r="A2216" s="35" t="s">
        <v>5072</v>
      </c>
      <c r="B2216" s="31" t="s">
        <v>5073</v>
      </c>
      <c r="C2216" s="31"/>
      <c r="D2216" s="37" t="s">
        <v>14</v>
      </c>
      <c r="E2216" s="10"/>
      <c r="F2216" s="36"/>
      <c r="G2216" s="11">
        <v>271420.0</v>
      </c>
      <c r="H2216" s="34" t="str">
        <f>IFERROR(__xludf.DUMMYFUNCTION("LOWER(REGEXREPLACE(B2216&amp;"" ""&amp;C2216,""[^а-яa-z0-9 ]"","" ""))"),"     pson  850   4  print 5760x1440dpi  37 38ppm  scan 1200x2400dpi                tray 50 page ")</f>
        <v>     pson  850   4  print 5760x1440dpi  37 38ppm  scan 1200x2400dpi                tray 50 page </v>
      </c>
    </row>
    <row r="2217">
      <c r="A2217" s="35" t="s">
        <v>5074</v>
      </c>
      <c r="B2217" s="9" t="s">
        <v>5075</v>
      </c>
      <c r="C2217" s="31"/>
      <c r="D2217" s="37" t="s">
        <v>14</v>
      </c>
      <c r="E2217" s="10"/>
      <c r="F2217" s="38">
        <v>14.0</v>
      </c>
      <c r="G2217" s="11">
        <v>251846.0</v>
      </c>
      <c r="H2217" s="34" t="str">
        <f>IFERROR(__xludf.DUMMYFUNCTION("LOWER(REGEXREPLACE(B2217&amp;"" ""&amp;C2217,""[^а-яa-z0-9 ]"","" ""))")," ногофункциональное устройство  4 ч б     aser et  ro     4103dw  rinter ")</f>
        <v> ногофункциональное устройство  4 ч б     aser et  ro     4103dw  rinter </v>
      </c>
    </row>
    <row r="2218">
      <c r="A2218" s="35" t="s">
        <v>5076</v>
      </c>
      <c r="B2218" s="31" t="s">
        <v>5077</v>
      </c>
      <c r="C2218" s="31"/>
      <c r="D2218" s="37" t="s">
        <v>14</v>
      </c>
      <c r="E2218" s="10"/>
      <c r="F2218" s="39">
        <v>18.7</v>
      </c>
      <c r="G2218" s="11">
        <v>260854.0</v>
      </c>
      <c r="H2218" s="34" t="str">
        <f>IFERROR(__xludf.DUMMYFUNCTION("LOWER(REGEXREPLACE(B2218&amp;"" ""&amp;C2218,""[^а-яa-z0-9 ]"","" ""))")," ногофункциональное устройство  4 цветной     olor  aser et  ro      283fdw  rntr ")</f>
        <v> ногофункциональное устройство  4 цветной     olor  aser et  ro      283fdw  rntr </v>
      </c>
    </row>
    <row r="2219">
      <c r="A2219" s="35" t="s">
        <v>5078</v>
      </c>
      <c r="B2219" s="31" t="s">
        <v>5079</v>
      </c>
      <c r="C2219" s="31"/>
      <c r="D2219" s="37" t="s">
        <v>14</v>
      </c>
      <c r="E2219" s="10"/>
      <c r="F2219" s="39">
        <v>79.6</v>
      </c>
      <c r="G2219" s="11">
        <v>2985891.0</v>
      </c>
      <c r="H2219" s="34" t="str">
        <f>IFERROR(__xludf.DUMMYFUNCTION("LOWER(REGEXREPLACE(B2219&amp;"" ""&amp;C2219,""[^а-яa-z0-9 ]"","" ""))")," ногофункциональное устройство  3 цветной     olor  aser et  nt      776dn  rntr ")</f>
        <v> ногофункциональное устройство  3 цветной     olor  aser et  nt      776dn  rntr </v>
      </c>
    </row>
    <row r="2220">
      <c r="A2220" s="35" t="s">
        <v>5080</v>
      </c>
      <c r="B2220" s="31" t="s">
        <v>5081</v>
      </c>
      <c r="C2220" s="31"/>
      <c r="D2220" s="37" t="s">
        <v>14</v>
      </c>
      <c r="E2220" s="10"/>
      <c r="F2220" s="38">
        <v>10.0</v>
      </c>
      <c r="G2220" s="11">
        <v>157404.0</v>
      </c>
      <c r="H2220" s="34" t="str">
        <f>IFERROR(__xludf.DUMMYFUNCTION("LOWER(REGEXREPLACE(B2220&amp;"" ""&amp;C2220,""[^а-яa-z0-9 ]"","" ""))")," ногофункциональное устройство  erox  225      4  тип печати   монохромный  scan        i  i ")</f>
        <v> ногофункциональное устройство  erox  225      4  тип печати   монохромный  scan        i  i </v>
      </c>
    </row>
    <row r="2221">
      <c r="A2221" s="35" t="s">
        <v>5082</v>
      </c>
      <c r="B2221" s="31" t="s">
        <v>5083</v>
      </c>
      <c r="C2221" s="31"/>
      <c r="D2221" s="37" t="s">
        <v>14</v>
      </c>
      <c r="E2221" s="10"/>
      <c r="F2221" s="39">
        <v>8.9</v>
      </c>
      <c r="G2221" s="11">
        <v>96722.0</v>
      </c>
      <c r="H2221" s="34" t="str">
        <f>IFERROR(__xludf.DUMMYFUNCTION("LOWER(REGEXREPLACE(B2221&amp;"" ""&amp;C2221,""[^а-яa-z0-9 ]"","" ""))")," ногофункциональное устройство  antum  6500   4  ч б  тип печати   лазерный  128  б ")</f>
        <v> ногофункциональное устройство  antum  6500   4  ч б  тип печати   лазерный  128  б </v>
      </c>
    </row>
    <row r="2222">
      <c r="A2222" s="35" t="s">
        <v>5084</v>
      </c>
      <c r="B2222" s="31" t="s">
        <v>5085</v>
      </c>
      <c r="C2222" s="31"/>
      <c r="D2222" s="37" t="s">
        <v>14</v>
      </c>
      <c r="E2222" s="10"/>
      <c r="F2222" s="39">
        <v>11.4</v>
      </c>
      <c r="G2222" s="11">
        <v>161909.0</v>
      </c>
      <c r="H2222" s="34" t="str">
        <f>IFERROR(__xludf.DUMMYFUNCTION("LOWER(REGEXREPLACE(B2222&amp;"" ""&amp;C2222,""[^а-яa-z0-9 ]"","" ""))")," ногофункциональное устройство     aser     138      4  ч б  тип печати   лазерный  20 стр мин  1200х 1200 dpi  128  б   i  i  irect   oogle  loud  rint      ")</f>
        <v> ногофункциональное устройство     aser     138      4  ч б  тип печати   лазерный  20 стр мин  1200х 1200 dpi  128  б   i  i  irect   oogle  loud  rint      </v>
      </c>
    </row>
    <row r="2223">
      <c r="A2223" s="35" t="s">
        <v>5086</v>
      </c>
      <c r="B2223" s="31" t="s">
        <v>5087</v>
      </c>
      <c r="C2223" s="31"/>
      <c r="D2223" s="37" t="s">
        <v>14</v>
      </c>
      <c r="E2223" s="10"/>
      <c r="F2223" s="39">
        <v>15.2</v>
      </c>
      <c r="G2223" s="11">
        <v>296814.0</v>
      </c>
      <c r="H2223" s="34" t="str">
        <f>IFERROR(__xludf.DUMMYFUNCTION("LOWER(REGEXREPLACE(B2223&amp;"" ""&amp;C2223,""[^а-яa-z0-9 ]"","" ""))")," ногофункциональное устройство     aser et  ro 4104fdn   4  тип печати   монохромный  1200х 1200 dpi  512  б     e rint   oogle  loud  rint      ")</f>
        <v> ногофункциональное устройство     aser et  ro 4104fdn   4  тип печати   монохромный  1200х 1200 dpi  512  б     e rint   oogle  loud  rint      </v>
      </c>
    </row>
    <row r="2224">
      <c r="A2224" s="35" t="s">
        <v>5088</v>
      </c>
      <c r="B2224" s="9" t="s">
        <v>5089</v>
      </c>
      <c r="C2224" s="31"/>
      <c r="D2224" s="37" t="s">
        <v>14</v>
      </c>
      <c r="E2224" s="10"/>
      <c r="F2224" s="39">
        <v>14.7</v>
      </c>
      <c r="G2224" s="11">
        <v>247953.0</v>
      </c>
      <c r="H2224" s="34" t="str">
        <f>IFERROR(__xludf.DUMMYFUNCTION("LOWER(REGEXREPLACE(B2224&amp;"" ""&amp;C2224,""[^а-яa-z0-9 ]"","" ""))")," ногофункциональное устройство  erox  315      4  ч б  тип печати  лазерный  42 стр мин  1  z  512       5e 6      2 0  10 100  thernet   i  i ")</f>
        <v> ногофункциональное устройство  erox  315      4  ч б  тип печати  лазерный  42 стр мин  1  z  512       5e 6      2 0  10 100  thernet   i  i </v>
      </c>
    </row>
    <row r="2225">
      <c r="A2225" s="35" t="s">
        <v>5090</v>
      </c>
      <c r="B2225" s="31" t="s">
        <v>5091</v>
      </c>
      <c r="C2225" s="31"/>
      <c r="D2225" s="37" t="s">
        <v>14</v>
      </c>
      <c r="E2225" s="10"/>
      <c r="F2225" s="39">
        <v>40.5</v>
      </c>
      <c r="G2225" s="11">
        <v>665527.0</v>
      </c>
      <c r="H2225" s="34" t="str">
        <f>IFERROR(__xludf.DUMMYFUNCTION("LOWER(REGEXREPLACE(B2225&amp;"" ""&amp;C2225,""[^а-яa-z0-9 ]"","" ""))")," ногофункциональное устройство  erox  ersa ink  405     4  цветной  тип печати лазерный  35 35 стр мин  1 05  z  ual ore  2       5c 6   ost cript 3      3 0   igabit  thetnet      ")</f>
        <v> ногофункциональное устройство  erox  ersa ink  405     4  цветной  тип печати лазерный  35 35 стр мин  1 05  z  ual ore  2       5c 6   ost cript 3      3 0   igabit  thetnet      </v>
      </c>
    </row>
    <row r="2226">
      <c r="A2226" s="35" t="s">
        <v>5092</v>
      </c>
      <c r="B2226" s="31" t="s">
        <v>5093</v>
      </c>
      <c r="C2226" s="31"/>
      <c r="D2226" s="37" t="s">
        <v>14</v>
      </c>
      <c r="E2226" s="10"/>
      <c r="F2226" s="38">
        <v>14.0</v>
      </c>
      <c r="G2226" s="11">
        <v>261918.0</v>
      </c>
      <c r="H2226" s="34" t="str">
        <f>IFERROR(__xludf.DUMMYFUNCTION("LOWER(REGEXREPLACE(B2226&amp;"" ""&amp;C2226,""[^а-яa-z0-9 ]"","" ""))")," ногофункциональный принтер  erox  305      4  тип печати   монохромный  600x600dpi  качество изображения 2400  scan 600x600dpi   thernet      2 0   ireless ")</f>
        <v> ногофункциональный принтер  erox  305      4  тип печати   монохромный  600x600dpi  качество изображения 2400  scan 600x600dpi   thernet      2 0   ireless </v>
      </c>
    </row>
    <row r="2227">
      <c r="A2227" s="35" t="s">
        <v>5094</v>
      </c>
      <c r="B2227" s="9" t="s">
        <v>5095</v>
      </c>
      <c r="C2227" s="31"/>
      <c r="D2227" s="37" t="s">
        <v>14</v>
      </c>
      <c r="E2227" s="10"/>
      <c r="F2227" s="38">
        <v>7.0</v>
      </c>
      <c r="G2227" s="11">
        <v>125923.0</v>
      </c>
      <c r="H2227" s="34" t="str">
        <f>IFERROR(__xludf.DUMMYFUNCTION("LOWER(REGEXREPLACE(B2227&amp;"" ""&amp;C2227,""[^а-яa-z0-9 ]"","" ""))")," ногофункциональное устройство    5  15   aser     135r  rinter   4   rinter  canner  opier  1200 dpi  20 ppm  128     600   z ")</f>
        <v> ногофункциональное устройство    5  15   aser     135r  rinter   4   rinter  canner  opier  1200 dpi  20 ppm  128     600   z </v>
      </c>
    </row>
    <row r="2228">
      <c r="A2228" s="35" t="s">
        <v>5096</v>
      </c>
      <c r="B2228" s="9" t="s">
        <v>5097</v>
      </c>
      <c r="C2228" s="31"/>
      <c r="D2228" s="37" t="s">
        <v>14</v>
      </c>
      <c r="E2228" s="38">
        <v>2.0</v>
      </c>
      <c r="F2228" s="39">
        <v>14.7</v>
      </c>
      <c r="G2228" s="11">
        <v>189010.0</v>
      </c>
      <c r="H2228" s="34" t="str">
        <f>IFERROR(__xludf.DUMMYFUNCTION("LOWER(REGEXREPLACE(B2228&amp;"" ""&amp;C2228,""[^а-яa-z0-9 ]"","" ""))"),"     antum   5100    ч рно белая  корость печати 40 стр  мин   4  42 стр  мин   etter      макс 99стр цвет скан  i  i ")</f>
        <v>     antum   5100    ч рно белая  корость печати 40 стр  мин   4  42 стр  мин   etter      макс 99стр цвет скан  i  i </v>
      </c>
    </row>
    <row r="2229">
      <c r="A2229" s="35" t="s">
        <v>5098</v>
      </c>
      <c r="B2229" s="31" t="s">
        <v>5099</v>
      </c>
      <c r="C2229" s="31"/>
      <c r="D2229" s="37" t="s">
        <v>14</v>
      </c>
      <c r="E2229" s="38">
        <v>2.0</v>
      </c>
      <c r="F2229" s="38">
        <v>78.0</v>
      </c>
      <c r="G2229" s="11">
        <v>1970400.0</v>
      </c>
      <c r="H2229" s="34" t="str">
        <f>IFERROR(__xludf.DUMMYFUNCTION("LOWER(REGEXREPLACE(B2229&amp;"" ""&amp;C2229,""[^а-яa-z0-9 ]"","" ""))"),"     antum   270     корость печати копир   25 страниц в минуту цвет скан макс объ м 37 тыс  отпечатков в месяц ")</f>
        <v>     antum   270     корость печати копир   25 страниц в минуту цвет скан макс объ м 37 тыс  отпечатков в месяц </v>
      </c>
    </row>
    <row r="2230">
      <c r="A2230" s="35" t="s">
        <v>5100</v>
      </c>
      <c r="B2230" s="9" t="s">
        <v>5101</v>
      </c>
      <c r="C2230" s="31"/>
      <c r="D2230" s="37" t="s">
        <v>14</v>
      </c>
      <c r="E2230" s="38">
        <v>2.0</v>
      </c>
      <c r="F2230" s="39">
        <v>6.3</v>
      </c>
      <c r="G2230" s="11">
        <v>149259.0</v>
      </c>
      <c r="H2230" s="34" t="str">
        <f>IFERROR(__xludf.DUMMYFUNCTION("LOWER(REGEXREPLACE(B2230&amp;"" ""&amp;C2230,""[^а-яa-z0-9 ]"","" ""))"),"     pson  2110   4  15 ppm 1440 x 720 dpi            tray 150 ")</f>
        <v>     pson  2110   4  15 ppm 1440 x 720 dpi            tray 150 </v>
      </c>
    </row>
    <row r="2231">
      <c r="A2231" s="35" t="s">
        <v>5102</v>
      </c>
      <c r="B2231" s="9" t="s">
        <v>5103</v>
      </c>
      <c r="C2231" s="31"/>
      <c r="D2231" s="37" t="s">
        <v>14</v>
      </c>
      <c r="E2231" s="38">
        <v>2.0</v>
      </c>
      <c r="F2231" s="39">
        <v>9.2</v>
      </c>
      <c r="G2231" s="11">
        <v>244645.0</v>
      </c>
      <c r="H2231" s="34" t="str">
        <f>IFERROR(__xludf.DUMMYFUNCTION("LOWER(REGEXREPLACE(B2231&amp;"" ""&amp;C2231,""[^а-яa-z0-9 ]"","" ""))"),"     pson  3170   4  20ppm 1200 x 2400dpi                  i  i  tray 250  duplex ")</f>
        <v>     pson  3170   4  20ppm 1200 x 2400dpi                  i  i  tray 250  duplex </v>
      </c>
    </row>
    <row r="2232">
      <c r="A2232" s="35" t="s">
        <v>5104</v>
      </c>
      <c r="B2232" s="31" t="s">
        <v>5105</v>
      </c>
      <c r="C2232" s="31"/>
      <c r="D2232" s="37" t="s">
        <v>14</v>
      </c>
      <c r="E2232" s="38">
        <v>2.0</v>
      </c>
      <c r="F2232" s="38">
        <v>21.0</v>
      </c>
      <c r="G2232" s="11">
        <v>674759.0</v>
      </c>
      <c r="H2232" s="34" t="str">
        <f>IFERROR(__xludf.DUMMYFUNCTION("LOWER(REGEXREPLACE(B2232&amp;"" ""&amp;C2232,""[^а-яa-z0-9 ]"","" ""))"),"     4 цветное  pson  6570 25 25     4800x2400 dpi            i  i  duplex ")</f>
        <v>     4 цветное  pson  6570 25 25     4800x2400 dpi            i  i  duplex </v>
      </c>
    </row>
    <row r="2233">
      <c r="A2233" s="35" t="s">
        <v>5106</v>
      </c>
      <c r="B2233" s="31" t="s">
        <v>5107</v>
      </c>
      <c r="C2233" s="31"/>
      <c r="D2233" s="37" t="s">
        <v>14</v>
      </c>
      <c r="E2233" s="38">
        <v>2.0</v>
      </c>
      <c r="F2233" s="38">
        <v>21.0</v>
      </c>
      <c r="G2233" s="11">
        <v>746290.0</v>
      </c>
      <c r="H2233" s="34" t="str">
        <f>IFERROR(__xludf.DUMMYFUNCTION("LOWER(REGEXREPLACE(B2233&amp;"" ""&amp;C2233,""[^а-яa-z0-9 ]"","" ""))"),"     4 цветное  pson  6580 25 25     4800x2400 dpi            i  i  duplex      ")</f>
        <v>     4 цветное  pson  6580 25 25     4800x2400 dpi            i  i  duplex      </v>
      </c>
    </row>
    <row r="2234">
      <c r="A2234" s="35" t="s">
        <v>5108</v>
      </c>
      <c r="B2234" s="9" t="s">
        <v>5109</v>
      </c>
      <c r="C2234" s="31"/>
      <c r="D2234" s="37" t="s">
        <v>14</v>
      </c>
      <c r="E2234" s="38">
        <v>2.0</v>
      </c>
      <c r="F2234" s="39">
        <v>7.9</v>
      </c>
      <c r="G2234" s="11">
        <v>211082.0</v>
      </c>
      <c r="H2234" s="34" t="str">
        <f>IFERROR(__xludf.DUMMYFUNCTION("LOWER(REGEXREPLACE(B2234&amp;"" ""&amp;C2234,""[^а-яa-z0-9 ]"","" ""))"),"     pson  2170   4  20ppm 1200 x 2400dpi             i  i  tray 250  duplex ")</f>
        <v>     pson  2170   4  20ppm 1200 x 2400dpi             i  i  tray 250  duplex </v>
      </c>
    </row>
    <row r="2235">
      <c r="A2235" s="35" t="s">
        <v>5110</v>
      </c>
      <c r="B2235" s="31" t="s">
        <v>5111</v>
      </c>
      <c r="C2235" s="31"/>
      <c r="D2235" s="37" t="s">
        <v>14</v>
      </c>
      <c r="E2235" s="38">
        <v>2.0</v>
      </c>
      <c r="F2235" s="39">
        <v>9.6</v>
      </c>
      <c r="G2235" s="11">
        <v>351501.0</v>
      </c>
      <c r="H2235" s="34" t="str">
        <f>IFERROR(__xludf.DUMMYFUNCTION("LOWER(REGEXREPLACE(B2235&amp;"" ""&amp;C2235,""[^а-яa-z0-9 ]"","" ""))"),"     4 цветное  pson  6490 17 9 5     4800x2400 dpi            i  i  duplex ")</f>
        <v>     4 цветное  pson  6490 17 9 5     4800x2400 dpi            i  i  duplex </v>
      </c>
    </row>
    <row r="2236">
      <c r="A2236" s="35" t="s">
        <v>5112</v>
      </c>
      <c r="B2236" s="31" t="s">
        <v>5113</v>
      </c>
      <c r="C2236" s="31"/>
      <c r="D2236" s="37" t="s">
        <v>14</v>
      </c>
      <c r="E2236" s="38">
        <v>2.0</v>
      </c>
      <c r="F2236" s="38">
        <v>119.0</v>
      </c>
      <c r="G2236" s="11">
        <v>4420358.0</v>
      </c>
      <c r="H2236" s="34" t="str">
        <f>IFERROR(__xludf.DUMMYFUNCTION("LOWER(REGEXREPLACE(B2236&amp;"" ""&amp;C2236,""[^а-яa-z0-9 ]"","" ""))"),"     3 цветное  pson  ork orce  nterprise      4000 40 40     600 x 2400 dpi           duplex ")</f>
        <v>     3 цветное  pson  ork orce  nterprise      4000 40 40     600 x 2400 dpi           duplex </v>
      </c>
    </row>
    <row r="2237">
      <c r="A2237" s="35" t="s">
        <v>5114</v>
      </c>
      <c r="B2237" s="31" t="s">
        <v>5115</v>
      </c>
      <c r="C2237" s="31"/>
      <c r="D2237" s="37" t="s">
        <v>14</v>
      </c>
      <c r="E2237" s="38">
        <v>2.0</v>
      </c>
      <c r="F2237" s="38">
        <v>119.0</v>
      </c>
      <c r="G2237" s="11">
        <v>4946685.0</v>
      </c>
      <c r="H2237" s="34" t="str">
        <f>IFERROR(__xludf.DUMMYFUNCTION("LOWER(REGEXREPLACE(B2237&amp;"" ""&amp;C2237,""[^а-яa-z0-9 ]"","" ""))"),"     3 цветное  pson  ork orce  nterprise      5000 50 50     600 x 2400 dpi           duplex ")</f>
        <v>     3 цветное  pson  ork orce  nterprise      5000 50 50     600 x 2400 dpi           duplex </v>
      </c>
    </row>
    <row r="2238">
      <c r="A2238" s="35" t="s">
        <v>5116</v>
      </c>
      <c r="B2238" s="31" t="s">
        <v>5117</v>
      </c>
      <c r="C2238" s="31"/>
      <c r="D2238" s="37" t="s">
        <v>14</v>
      </c>
      <c r="E2238" s="38">
        <v>2.0</v>
      </c>
      <c r="F2238" s="38">
        <v>119.0</v>
      </c>
      <c r="G2238" s="11">
        <v>5539244.0</v>
      </c>
      <c r="H2238" s="34" t="str">
        <f>IFERROR(__xludf.DUMMYFUNCTION("LOWER(REGEXREPLACE(B2238&amp;"" ""&amp;C2238,""[^а-яa-z0-9 ]"","" ""))"),"     3 цветное  pson  ork orce  nterprise      6000 60 60     600 x 2400 dpi           duplex ")</f>
        <v>     3 цветное  pson  ork orce  nterprise      6000 60 60     600 x 2400 dpi           duplex </v>
      </c>
    </row>
    <row r="2239">
      <c r="A2239" s="35" t="s">
        <v>5118</v>
      </c>
      <c r="B2239" s="9" t="s">
        <v>5119</v>
      </c>
      <c r="C2239" s="31"/>
      <c r="D2239" s="37" t="s">
        <v>14</v>
      </c>
      <c r="E2239" s="38">
        <v>2.0</v>
      </c>
      <c r="F2239" s="38">
        <v>211.0</v>
      </c>
      <c r="G2239" s="11">
        <v>6670847.0</v>
      </c>
      <c r="H2239" s="34" t="str">
        <f>IFERROR(__xludf.DUMMYFUNCTION("LOWER(REGEXREPLACE(B2239&amp;"" ""&amp;C2239,""[^а-яa-z0-9 ]"","" ""))"),"     3 цветное  pson  ork orce  nterprise  ork orce  nterprise      20750  4   75 75     600 x 2400 dpi           duplex ")</f>
        <v>     3 цветное  pson  ork orce  nterprise  ork orce  nterprise      20750  4   75 75     600 x 2400 dpi           duplex </v>
      </c>
    </row>
    <row r="2240">
      <c r="A2240" s="35" t="s">
        <v>5120</v>
      </c>
      <c r="B2240" s="9" t="s">
        <v>5121</v>
      </c>
      <c r="C2240" s="31"/>
      <c r="D2240" s="37" t="s">
        <v>14</v>
      </c>
      <c r="E2240" s="38">
        <v>2.0</v>
      </c>
      <c r="F2240" s="38">
        <v>211.0</v>
      </c>
      <c r="G2240" s="11">
        <v>9090537.0</v>
      </c>
      <c r="H2240" s="34" t="str">
        <f>IFERROR(__xludf.DUMMYFUNCTION("LOWER(REGEXREPLACE(B2240&amp;"" ""&amp;C2240,""[^а-яa-z0-9 ]"","" ""))"),"     3 цветное  pson  ork orce  nterprise  ork orce  nterprise      21000  4   100 100     600 x 2400 dpi           duplex ")</f>
        <v>     3 цветное  pson  ork orce  nterprise  ork orce  nterprise      21000  4   100 100     600 x 2400 dpi           duplex </v>
      </c>
    </row>
    <row r="2241">
      <c r="A2241" s="35" t="s">
        <v>5122</v>
      </c>
      <c r="B2241" s="9" t="s">
        <v>5123</v>
      </c>
      <c r="C2241" s="31"/>
      <c r="D2241" s="37" t="s">
        <v>14</v>
      </c>
      <c r="E2241" s="38">
        <v>2.0</v>
      </c>
      <c r="F2241" s="38">
        <v>211.0</v>
      </c>
      <c r="G2241" s="11">
        <v>9343987.0</v>
      </c>
      <c r="H2241" s="34" t="str">
        <f>IFERROR(__xludf.DUMMYFUNCTION("LOWER(REGEXREPLACE(B2241&amp;"" ""&amp;C2241,""[^а-яa-z0-9 ]"","" ""))"),"     3 монохромное  pson  ork orce  nterprise  ork orce  nterprise      21000  4   100 100     600 x 2400 dpi           duplex ")</f>
        <v>     3 монохромное  pson  ork orce  nterprise  ork orce  nterprise      21000  4   100 100     600 x 2400 dpi           duplex </v>
      </c>
    </row>
    <row r="2242">
      <c r="A2242" s="35" t="s">
        <v>5124</v>
      </c>
      <c r="B2242" s="9" t="s">
        <v>5125</v>
      </c>
      <c r="C2242" s="31"/>
      <c r="D2242" s="37" t="s">
        <v>14</v>
      </c>
      <c r="E2242" s="38">
        <v>2.0</v>
      </c>
      <c r="F2242" s="39">
        <v>91.8</v>
      </c>
      <c r="G2242" s="11">
        <v>1246397.0</v>
      </c>
      <c r="H2242" s="34" t="str">
        <f>IFERROR(__xludf.DUMMYFUNCTION("LOWER(REGEXREPLACE(B2242&amp;"" ""&amp;C2242,""[^а-яa-z0-9 ]"","" ""))"),"     3 цветное  pson      878      24 24     4800x2400 dpi            i  i  duplex      ")</f>
        <v>     3 цветное  pson      878      24 24     4800x2400 dpi            i  i  duplex      </v>
      </c>
    </row>
    <row r="2243">
      <c r="A2243" s="35" t="s">
        <v>5126</v>
      </c>
      <c r="B2243" s="9" t="s">
        <v>5127</v>
      </c>
      <c r="C2243" s="31"/>
      <c r="D2243" s="37" t="s">
        <v>14</v>
      </c>
      <c r="E2243" s="38">
        <v>2.0</v>
      </c>
      <c r="F2243" s="39">
        <v>111.6</v>
      </c>
      <c r="G2243" s="11">
        <v>2383021.0</v>
      </c>
      <c r="H2243" s="34" t="str">
        <f>IFERROR(__xludf.DUMMYFUNCTION("LOWER(REGEXREPLACE(B2243&amp;"" ""&amp;C2243,""[^а-яa-z0-9 ]"","" ""))"),"     3 цветное  pson      879      25 25     4800x2400 dpi            i  i  duplex      ")</f>
        <v>     3 цветное  pson      879      25 25     4800x2400 dpi            i  i  duplex      </v>
      </c>
    </row>
    <row r="2244">
      <c r="A2244" s="35" t="s">
        <v>5128</v>
      </c>
      <c r="B2244" s="9" t="s">
        <v>5129</v>
      </c>
      <c r="C2244" s="31"/>
      <c r="D2244" s="37" t="s">
        <v>14</v>
      </c>
      <c r="E2244" s="38">
        <v>2.0</v>
      </c>
      <c r="F2244" s="38">
        <v>24.0</v>
      </c>
      <c r="G2244" s="11">
        <v>1016530.0</v>
      </c>
      <c r="H2244" s="34" t="str">
        <f>IFERROR(__xludf.DUMMYFUNCTION("LOWER(REGEXREPLACE(B2244&amp;"" ""&amp;C2244,""[^а-яa-z0-9 ]"","" ""))"),"     3 цветное  pson 15180 25 25     4800x2400 dpi            i  i  duplex ")</f>
        <v>     3 цветное  pson 15180 25 25     4800x2400 dpi            i  i  duplex </v>
      </c>
    </row>
    <row r="2245">
      <c r="A2245" s="35" t="s">
        <v>5130</v>
      </c>
      <c r="B2245" s="9" t="s">
        <v>5131</v>
      </c>
      <c r="C2245" s="31"/>
      <c r="D2245" s="37" t="s">
        <v>14</v>
      </c>
      <c r="E2245" s="38">
        <v>2.0</v>
      </c>
      <c r="F2245" s="38">
        <v>23.0</v>
      </c>
      <c r="G2245" s="11">
        <v>624430.0</v>
      </c>
      <c r="H2245" s="34" t="str">
        <f>IFERROR(__xludf.DUMMYFUNCTION("LOWER(REGEXREPLACE(B2245&amp;"" ""&amp;C2245,""[^а-яa-z0-9 ]"","" ""))"),"     3  онохромное  pson  15140 25     4800x2400 dpi            i  i  duplex ")</f>
        <v>     3  онохромное  pson  15140 25     4800x2400 dpi            i  i  duplex </v>
      </c>
    </row>
    <row r="2246">
      <c r="A2246" s="35" t="s">
        <v>5132</v>
      </c>
      <c r="B2246" s="9" t="s">
        <v>5133</v>
      </c>
      <c r="C2246" s="31"/>
      <c r="D2246" s="37" t="s">
        <v>14</v>
      </c>
      <c r="E2246" s="38">
        <v>2.0</v>
      </c>
      <c r="F2246" s="38">
        <v>27.0</v>
      </c>
      <c r="G2246" s="11">
        <v>800182.0</v>
      </c>
      <c r="H2246" s="34" t="str">
        <f>IFERROR(__xludf.DUMMYFUNCTION("LOWER(REGEXREPLACE(B2246&amp;"" ""&amp;C2246,""[^а-яa-z0-9 ]"","" ""))")," ринтер широкоформатный  pson  ure olor     3100    icro  iezo  24   4 цвета  2400 x 1200     ")</f>
        <v> ринтер широкоформатный  pson  ure olor     3100    icro  iezo  24   4 цвета  2400 x 1200     </v>
      </c>
    </row>
    <row r="2247">
      <c r="A2247" s="35" t="s">
        <v>5134</v>
      </c>
      <c r="B2247" s="9" t="s">
        <v>5135</v>
      </c>
      <c r="C2247" s="31"/>
      <c r="D2247" s="37" t="s">
        <v>14</v>
      </c>
      <c r="E2247" s="38">
        <v>2.0</v>
      </c>
      <c r="F2247" s="38">
        <v>38.0</v>
      </c>
      <c r="G2247" s="11">
        <v>924742.0</v>
      </c>
      <c r="H2247" s="34" t="str">
        <f>IFERROR(__xludf.DUMMYFUNCTION("LOWER(REGEXREPLACE(B2247&amp;"" ""&amp;C2247,""[^а-яa-z0-9 ]"","" ""))")," ринтер широкоформатный  pson  ure olor     3100   icro  iezo  24   4 цвета  2400 x 1200     ")</f>
        <v> ринтер широкоформатный  pson  ure olor     3100   icro  iezo  24   4 цвета  2400 x 1200     </v>
      </c>
    </row>
    <row r="2248">
      <c r="A2248" s="35" t="s">
        <v>5136</v>
      </c>
      <c r="B2248" s="9" t="s">
        <v>5137</v>
      </c>
      <c r="C2248" s="31"/>
      <c r="D2248" s="37" t="s">
        <v>14</v>
      </c>
      <c r="E2248" s="38">
        <v>2.0</v>
      </c>
      <c r="F2248" s="38">
        <v>38.0</v>
      </c>
      <c r="G2248" s="11">
        <v>1527898.0</v>
      </c>
      <c r="H2248" s="34" t="str">
        <f>IFERROR(__xludf.DUMMYFUNCTION("LOWER(REGEXREPLACE(B2248&amp;"" ""&amp;C2248,""[^а-яa-z0-9 ]"","" ""))")," ринтер широкоформатный  pson  ure olor     3100x   icro  iezo  24   4 цвета  2400 x 1200     ")</f>
        <v> ринтер широкоформатный  pson  ure olor     3100x   icro  iezo  24   4 цвета  2400 x 1200     </v>
      </c>
    </row>
    <row r="2249">
      <c r="A2249" s="35" t="s">
        <v>5138</v>
      </c>
      <c r="B2249" s="9" t="s">
        <v>5139</v>
      </c>
      <c r="C2249" s="31"/>
      <c r="D2249" s="37" t="s">
        <v>14</v>
      </c>
      <c r="E2249" s="38">
        <v>2.0</v>
      </c>
      <c r="F2249" s="38">
        <v>33.0</v>
      </c>
      <c r="G2249" s="11">
        <v>1120770.0</v>
      </c>
      <c r="H2249" s="34" t="str">
        <f>IFERROR(__xludf.DUMMYFUNCTION("LOWER(REGEXREPLACE(B2249&amp;"" ""&amp;C2249,""[^а-яa-z0-9 ]"","" ""))")," ринтер широкоформатный  pson  ure olor     5100    icro  iezo  36   4 цвета  2400 x 1200     ")</f>
        <v> ринтер широкоформатный  pson  ure olor     5100    icro  iezo  36   4 цвета  2400 x 1200     </v>
      </c>
    </row>
    <row r="2250">
      <c r="A2250" s="35" t="s">
        <v>5140</v>
      </c>
      <c r="B2250" s="9" t="s">
        <v>5141</v>
      </c>
      <c r="C2250" s="31"/>
      <c r="D2250" s="37" t="s">
        <v>14</v>
      </c>
      <c r="E2250" s="38">
        <v>2.0</v>
      </c>
      <c r="F2250" s="38">
        <v>46.0</v>
      </c>
      <c r="G2250" s="11">
        <v>1237389.0</v>
      </c>
      <c r="H2250" s="34" t="str">
        <f>IFERROR(__xludf.DUMMYFUNCTION("LOWER(REGEXREPLACE(B2250&amp;"" ""&amp;C2250,""[^а-яa-z0-9 ]"","" ""))")," ринтер широкоформатный  pson  ure olor     5100   icro  iezo  36   4 цвета  2400 x 1200     ")</f>
        <v> ринтер широкоформатный  pson  ure olor     5100   icro  iezo  36   4 цвета  2400 x 1200     </v>
      </c>
    </row>
    <row r="2251">
      <c r="A2251" s="35" t="s">
        <v>5142</v>
      </c>
      <c r="B2251" s="9" t="s">
        <v>5143</v>
      </c>
      <c r="C2251" s="31"/>
      <c r="D2251" s="37" t="s">
        <v>14</v>
      </c>
      <c r="E2251" s="38">
        <v>2.0</v>
      </c>
      <c r="F2251" s="38">
        <v>64.0</v>
      </c>
      <c r="G2251" s="11">
        <v>1393767.0</v>
      </c>
      <c r="H2251" s="34" t="str">
        <f>IFERROR(__xludf.DUMMYFUNCTION("LOWER(REGEXREPLACE(B2251&amp;"" ""&amp;C2251,""[^а-яa-z0-9 ]"","" ""))")," ринтер широкоформатный  pson  ure olor     3400   icro  iezo  24   4 цвета  2400 x 1200     ")</f>
        <v> ринтер широкоформатный  pson  ure olor     3400   icro  iezo  24   4 цвета  2400 x 1200     </v>
      </c>
    </row>
    <row r="2252">
      <c r="A2252" s="35" t="s">
        <v>5144</v>
      </c>
      <c r="B2252" s="9" t="s">
        <v>5145</v>
      </c>
      <c r="C2252" s="31"/>
      <c r="D2252" s="37" t="s">
        <v>14</v>
      </c>
      <c r="E2252" s="38">
        <v>2.0</v>
      </c>
      <c r="F2252" s="38">
        <v>64.0</v>
      </c>
      <c r="G2252" s="11">
        <v>1355794.0</v>
      </c>
      <c r="H2252" s="34" t="str">
        <f>IFERROR(__xludf.DUMMYFUNCTION("LOWER(REGEXREPLACE(B2252&amp;"" ""&amp;C2252,""[^а-яa-z0-9 ]"","" ""))")," ринтер широкоформатный  pson  ure olor     3405   icro  iezo  24   4 цвета  2400 x 1200     ")</f>
        <v> ринтер широкоформатный  pson  ure olor     3405   icro  iezo  24   4 цвета  2400 x 1200     </v>
      </c>
    </row>
    <row r="2253">
      <c r="A2253" s="35" t="s">
        <v>5146</v>
      </c>
      <c r="B2253" s="9" t="s">
        <v>5147</v>
      </c>
      <c r="C2253" s="31"/>
      <c r="D2253" s="37" t="s">
        <v>14</v>
      </c>
      <c r="E2253" s="38">
        <v>2.0</v>
      </c>
      <c r="F2253" s="38">
        <v>49.0</v>
      </c>
      <c r="G2253" s="11">
        <v>1239167.0</v>
      </c>
      <c r="H2253" s="34" t="str">
        <f>IFERROR(__xludf.DUMMYFUNCTION("LOWER(REGEXREPLACE(B2253&amp;"" ""&amp;C2253,""[^а-яa-z0-9 ]"","" ""))")," ринтер широкоформатный  pson  ure olor     3405    icro  iezo  24   4 цвета  2400 x 1200     ")</f>
        <v> ринтер широкоформатный  pson  ure olor     3405    icro  iezo  24   4 цвета  2400 x 1200     </v>
      </c>
    </row>
    <row r="2254">
      <c r="A2254" s="35" t="s">
        <v>5148</v>
      </c>
      <c r="B2254" s="9" t="s">
        <v>5149</v>
      </c>
      <c r="C2254" s="31"/>
      <c r="D2254" s="37" t="s">
        <v>14</v>
      </c>
      <c r="E2254" s="38">
        <v>2.0</v>
      </c>
      <c r="F2254" s="38">
        <v>76.0</v>
      </c>
      <c r="G2254" s="11">
        <v>1628718.0</v>
      </c>
      <c r="H2254" s="34" t="str">
        <f>IFERROR(__xludf.DUMMYFUNCTION("LOWER(REGEXREPLACE(B2254&amp;"" ""&amp;C2254,""[^а-яa-z0-9 ]"","" ""))")," ринтер широкоформатный  pson  ure olor     5405   icro  iezo  36   4 цвета  2400 x 1200     ")</f>
        <v> ринтер широкоформатный  pson  ure olor     5405   icro  iezo  36   4 цвета  2400 x 1200     </v>
      </c>
    </row>
    <row r="2255">
      <c r="A2255" s="35" t="s">
        <v>5150</v>
      </c>
      <c r="B2255" s="9" t="s">
        <v>5151</v>
      </c>
      <c r="C2255" s="31"/>
      <c r="D2255" s="37" t="s">
        <v>14</v>
      </c>
      <c r="E2255" s="38">
        <v>2.0</v>
      </c>
      <c r="F2255" s="39">
        <v>113.6</v>
      </c>
      <c r="G2255" s="11">
        <v>2084541.0</v>
      </c>
      <c r="H2255" s="34" t="str">
        <f>IFERROR(__xludf.DUMMYFUNCTION("LOWER(REGEXREPLACE(B2255&amp;"" ""&amp;C2255,""[^а-яa-z0-9 ]"","" ""))")," ринтер широкоформатный  pson  ure olor     3700    icro  iezo  24   6 цветов  2400 x 1200     ")</f>
        <v> ринтер широкоформатный  pson  ure olor     3700    icro  iezo  24   6 цветов  2400 x 1200     </v>
      </c>
    </row>
    <row r="2256">
      <c r="A2256" s="35" t="s">
        <v>5152</v>
      </c>
      <c r="B2256" s="9" t="s">
        <v>5153</v>
      </c>
      <c r="C2256" s="31"/>
      <c r="D2256" s="37" t="s">
        <v>14</v>
      </c>
      <c r="E2256" s="38">
        <v>2.0</v>
      </c>
      <c r="F2256" s="39">
        <v>118.1</v>
      </c>
      <c r="G2256" s="11">
        <v>2795453.0</v>
      </c>
      <c r="H2256" s="34" t="str">
        <f>IFERROR(__xludf.DUMMYFUNCTION("LOWER(REGEXREPLACE(B2256&amp;"" ""&amp;C2256,""[^а-яa-z0-9 ]"","" ""))")," ринтер широкоформатный  pson  ure olor     3700    icro  iezo  24   6 цветов  2400 x 1200      2 рулона ")</f>
        <v> ринтер широкоформатный  pson  ure olor     3700    icro  iezo  24   6 цветов  2400 x 1200      2 рулона </v>
      </c>
    </row>
    <row r="2257">
      <c r="A2257" s="35" t="s">
        <v>5154</v>
      </c>
      <c r="B2257" s="9" t="s">
        <v>5155</v>
      </c>
      <c r="C2257" s="31"/>
      <c r="D2257" s="37" t="s">
        <v>14</v>
      </c>
      <c r="E2257" s="38">
        <v>2.0</v>
      </c>
      <c r="F2257" s="39">
        <v>136.8</v>
      </c>
      <c r="G2257" s="11">
        <v>3137284.0</v>
      </c>
      <c r="H2257" s="34" t="str">
        <f>IFERROR(__xludf.DUMMYFUNCTION("LOWER(REGEXREPLACE(B2257&amp;"" ""&amp;C2257,""[^а-яa-z0-9 ]"","" ""))")," ринтер широкоформатный  pson  ure olor     5700    icro  iezo  36   6 цветов  2400 x 1200      2 рулона ")</f>
        <v> ринтер широкоформатный  pson  ure olor     5700    icro  iezo  36   6 цветов  2400 x 1200      2 рулона </v>
      </c>
    </row>
    <row r="2258">
      <c r="A2258" s="35" t="s">
        <v>5156</v>
      </c>
      <c r="B2258" s="9" t="s">
        <v>5157</v>
      </c>
      <c r="C2258" s="31"/>
      <c r="D2258" s="37" t="s">
        <v>14</v>
      </c>
      <c r="E2258" s="38">
        <v>2.0</v>
      </c>
      <c r="F2258" s="38">
        <v>155.0</v>
      </c>
      <c r="G2258" s="11">
        <v>3918013.0</v>
      </c>
      <c r="H2258" s="34" t="str">
        <f>IFERROR(__xludf.DUMMYFUNCTION("LOWER(REGEXREPLACE(B2258&amp;"" ""&amp;C2258,""[^а-яa-z0-9 ]"","" ""))")," ринтер широкоформатный  pson  ure olor     7700    icro  iezo  44   6 цветов  2400 x 1200      2 рулона ")</f>
        <v> ринтер широкоформатный  pson  ure olor     7700    icro  iezo  44   6 цветов  2400 x 1200      2 рулона </v>
      </c>
    </row>
    <row r="2259">
      <c r="A2259" s="35" t="s">
        <v>5158</v>
      </c>
      <c r="B2259" s="9" t="s">
        <v>5159</v>
      </c>
      <c r="C2259" s="31"/>
      <c r="D2259" s="37" t="s">
        <v>14</v>
      </c>
      <c r="E2259" s="38">
        <v>2.0</v>
      </c>
      <c r="F2259" s="39">
        <v>33.4</v>
      </c>
      <c r="G2259" s="11">
        <v>1139317.0</v>
      </c>
      <c r="H2259" s="34" t="str">
        <f>IFERROR(__xludf.DUMMYFUNCTION("LOWER(REGEXREPLACE(B2259&amp;"" ""&amp;C2259,""[^а-яa-z0-9 ]"","" ""))"),"    широкоформатное  pson  ure olor     3100    icro  iezo  24   4 цвета  2400 x 1200      ")</f>
        <v>    широкоформатное  pson  ure olor     3100    icro  iezo  24   4 цвета  2400 x 1200      </v>
      </c>
    </row>
    <row r="2260">
      <c r="A2260" s="35" t="s">
        <v>5160</v>
      </c>
      <c r="B2260" s="9" t="s">
        <v>5161</v>
      </c>
      <c r="C2260" s="31"/>
      <c r="D2260" s="37" t="s">
        <v>14</v>
      </c>
      <c r="E2260" s="38">
        <v>2.0</v>
      </c>
      <c r="F2260" s="38">
        <v>54.0</v>
      </c>
      <c r="G2260" s="11">
        <v>2303320.0</v>
      </c>
      <c r="H2260" s="34" t="str">
        <f>IFERROR(__xludf.DUMMYFUNCTION("LOWER(REGEXREPLACE(B2260&amp;"" ""&amp;C2260,""[^а-яa-z0-9 ]"","" ""))"),"    широкоформатное  pson  ure olor     5100    icro  iezo  36   4 цвета  2400 x 1200      ")</f>
        <v>    широкоформатное  pson  ure olor     5100    icro  iezo  36   4 цвета  2400 x 1200      </v>
      </c>
    </row>
    <row r="2261">
      <c r="A2261" s="35" t="s">
        <v>5162</v>
      </c>
      <c r="B2261" s="9" t="s">
        <v>5163</v>
      </c>
      <c r="C2261" s="31"/>
      <c r="D2261" s="37" t="s">
        <v>14</v>
      </c>
      <c r="E2261" s="38">
        <v>2.0</v>
      </c>
      <c r="F2261" s="38">
        <v>88.0</v>
      </c>
      <c r="G2261" s="11">
        <v>3492985.0</v>
      </c>
      <c r="H2261" s="34" t="str">
        <f>IFERROR(__xludf.DUMMYFUNCTION("LOWER(REGEXREPLACE(B2261&amp;"" ""&amp;C2261,""[^а-яa-z0-9 ]"","" ""))"),"    широкоформатное  pson  ure olor     5400    icro  iezo  36   4 цвета  2400 x 1200      ")</f>
        <v>    широкоформатное  pson  ure olor     5400    icro  iezo  36   4 цвета  2400 x 1200      </v>
      </c>
    </row>
    <row r="2262">
      <c r="A2262" s="35" t="s">
        <v>5164</v>
      </c>
      <c r="B2262" s="9" t="s">
        <v>5165</v>
      </c>
      <c r="C2262" s="31"/>
      <c r="D2262" s="37" t="s">
        <v>14</v>
      </c>
      <c r="E2262" s="38">
        <v>2.0</v>
      </c>
      <c r="F2262" s="38">
        <v>150.0</v>
      </c>
      <c r="G2262" s="11">
        <v>6195505.0</v>
      </c>
      <c r="H2262" s="34" t="str">
        <f>IFERROR(__xludf.DUMMYFUNCTION("LOWER(REGEXREPLACE(B2262&amp;"" ""&amp;C2262,""[^а-яa-z0-9 ]"","" ""))"),"    широкоформатное  pson  ure olor     5700     icro  iezo  36   6 цветов  2400 x 1200      2 рулона  ")</f>
        <v>    широкоформатное  pson  ure olor     5700     icro  iezo  36   6 цветов  2400 x 1200      2 рулона  </v>
      </c>
    </row>
    <row r="2263">
      <c r="A2263" s="35" t="s">
        <v>5166</v>
      </c>
      <c r="B2263" s="9" t="s">
        <v>5167</v>
      </c>
      <c r="C2263" s="31"/>
      <c r="D2263" s="37" t="s">
        <v>14</v>
      </c>
      <c r="E2263" s="38">
        <v>2.0</v>
      </c>
      <c r="F2263" s="38">
        <v>166.0</v>
      </c>
      <c r="G2263" s="11">
        <v>6585896.0</v>
      </c>
      <c r="H2263" s="34" t="str">
        <f>IFERROR(__xludf.DUMMYFUNCTION("LOWER(REGEXREPLACE(B2263&amp;"" ""&amp;C2263,""[^а-яa-z0-9 ]"","" ""))"),"    широкоформатное  pson  ure olor     7700     icro  iezo  44   6 цветов  2400 x 1200      2 рулона  ")</f>
        <v>    широкоформатное  pson  ure olor     7700     icro  iezo  44   6 цветов  2400 x 1200      2 рулона  </v>
      </c>
    </row>
    <row r="2264">
      <c r="A2264" s="35" t="s">
        <v>5168</v>
      </c>
      <c r="B2264" s="31" t="s">
        <v>5169</v>
      </c>
      <c r="C2264" s="31"/>
      <c r="D2264" s="37" t="s">
        <v>14</v>
      </c>
      <c r="E2264" s="10"/>
      <c r="F2264" s="36"/>
      <c r="G2264" s="11">
        <v>13661.0</v>
      </c>
      <c r="H2264" s="34" t="str">
        <f>IFERROR(__xludf.DUMMYFUNCTION("LOWER(REGEXREPLACE(B2264&amp;"" ""&amp;C2264,""[^а-яa-z0-9 ]"","" ""))")," тойка для микрофона ")</f>
        <v> тойка для микрофона </v>
      </c>
    </row>
    <row r="2265">
      <c r="A2265" s="35" t="s">
        <v>5170</v>
      </c>
      <c r="B2265" s="31" t="s">
        <v>5171</v>
      </c>
      <c r="C2265" s="31"/>
      <c r="D2265" s="37" t="s">
        <v>14</v>
      </c>
      <c r="E2265" s="10"/>
      <c r="F2265" s="36"/>
      <c r="G2265" s="11"/>
      <c r="H2265" s="34" t="str">
        <f>IFERROR(__xludf.DUMMYFUNCTION("LOWER(REGEXREPLACE(B2265&amp;"" ""&amp;C2265,""[^а-яa-z0-9 ]"","" ""))")," ульт микшер ")</f>
        <v> ульт микшер </v>
      </c>
    </row>
    <row r="2266">
      <c r="A2266" s="35" t="s">
        <v>5172</v>
      </c>
      <c r="B2266" s="9" t="s">
        <v>5173</v>
      </c>
      <c r="C2266" s="31"/>
      <c r="D2266" s="37" t="s">
        <v>14</v>
      </c>
      <c r="E2266" s="10"/>
      <c r="F2266" s="36"/>
      <c r="G2266" s="11">
        <v>110554.0</v>
      </c>
      <c r="H2266" s="34" t="str">
        <f>IFERROR(__xludf.DUMMYFUNCTION("LOWER(REGEXREPLACE(B2266&amp;"" ""&amp;C2266,""[^а-яa-z0-9 ]"","" ""))")," ульт микшерный                  10  на 10 каналов  4 микрофонных входа  4 линейных стерео входа  2 стереоканала с 2 полосным эквалайзером  имеет 10 точно работающих 3 пол ")</f>
        <v> ульт микшерный                  10  на 10 каналов  4 микрофонных входа  4 линейных стерео входа  2 стереоканала с 2 полосным эквалайзером  имеет 10 точно работающих 3 пол </v>
      </c>
    </row>
    <row r="2267">
      <c r="A2267" s="35" t="s">
        <v>5174</v>
      </c>
      <c r="B2267" s="9" t="s">
        <v>5175</v>
      </c>
      <c r="C2267" s="31"/>
      <c r="D2267" s="37" t="s">
        <v>14</v>
      </c>
      <c r="E2267" s="10"/>
      <c r="F2267" s="36"/>
      <c r="G2267" s="11">
        <v>195179.0</v>
      </c>
      <c r="H2267" s="34" t="str">
        <f>IFERROR(__xludf.DUMMYFUNCTION("LOWER(REGEXREPLACE(B2267&amp;"" ""&amp;C2267,""[^а-яa-z0-9 ]"","" ""))"),"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"&amp;"     аудио интерфейс ")</f>
        <v>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аудио интерфейс </v>
      </c>
    </row>
    <row r="2268">
      <c r="A2268" s="35" t="s">
        <v>5176</v>
      </c>
      <c r="B2268" s="31" t="s">
        <v>5177</v>
      </c>
      <c r="C2268" s="31" t="s">
        <v>5178</v>
      </c>
      <c r="D2268" s="37" t="s">
        <v>14</v>
      </c>
      <c r="E2268" s="10"/>
      <c r="F2268" s="36"/>
      <c r="G2268" s="11">
        <v>255000.0</v>
      </c>
      <c r="H2268" s="34" t="str">
        <f>IFERROR(__xludf.DUMMYFUNCTION("LOWER(REGEXREPLACE(B2268&amp;"" ""&amp;C2268,""[^а-яa-z0-9 ]"","" ""))")," интезатор  ифровой синтезатор  цифровое пианино ")</f>
        <v> интезатор  ифровой синтезатор  цифровое пианино </v>
      </c>
    </row>
    <row r="2269">
      <c r="A2269" s="35" t="s">
        <v>5179</v>
      </c>
      <c r="B2269" s="31" t="s">
        <v>5180</v>
      </c>
      <c r="C2269" s="31"/>
      <c r="D2269" s="37" t="s">
        <v>14</v>
      </c>
      <c r="E2269" s="10"/>
      <c r="F2269" s="36"/>
      <c r="G2269" s="11">
        <v>28536.0</v>
      </c>
      <c r="H2269" s="34" t="str">
        <f>IFERROR(__xludf.DUMMYFUNCTION("LOWER(REGEXREPLACE(B2269&amp;"" ""&amp;C2269,""[^а-яa-z0-9 ]"","" ""))")," тойка под оргтехнику ")</f>
        <v> тойка под оргтехнику </v>
      </c>
    </row>
    <row r="2270">
      <c r="A2270" s="35" t="s">
        <v>5181</v>
      </c>
      <c r="B2270" s="31" t="s">
        <v>5182</v>
      </c>
      <c r="C2270" s="31"/>
      <c r="D2270" s="37" t="s">
        <v>14</v>
      </c>
      <c r="E2270" s="10"/>
      <c r="F2270" s="36"/>
      <c r="G2270" s="11"/>
      <c r="H2270" s="34" t="str">
        <f>IFERROR(__xludf.DUMMYFUNCTION("LOWER(REGEXREPLACE(B2270&amp;"" ""&amp;C2270,""[^а-яa-z0-9 ]"","" ""))")," ервер ")</f>
        <v> ервер </v>
      </c>
    </row>
    <row r="2271">
      <c r="A2271" s="35" t="s">
        <v>5183</v>
      </c>
      <c r="B2271" s="31" t="s">
        <v>5184</v>
      </c>
      <c r="C2271" s="31"/>
      <c r="D2271" s="37" t="s">
        <v>14</v>
      </c>
      <c r="E2271" s="10"/>
      <c r="F2271" s="39">
        <v>16.9</v>
      </c>
      <c r="G2271" s="11">
        <v>8612966.0</v>
      </c>
      <c r="H2271" s="34" t="str">
        <f>IFERROR(__xludf.DUMMYFUNCTION("LOWER(REGEXREPLACE(B2271&amp;"" ""&amp;C2271,""[^а-яa-z0-9 ]"","" ""))")," ервер 2288   6     usion  16 32    4       до 3200    с  16  ptane    em серии 200  до 3200    с      до 270  т ")</f>
        <v> ервер 2288   6     usion  16 32    4       до 3200    с  16  ptane    em серии 200  до 3200    с      до 270  т </v>
      </c>
    </row>
    <row r="2272">
      <c r="A2272" s="35" t="s">
        <v>5185</v>
      </c>
      <c r="B2272" s="9" t="s">
        <v>5186</v>
      </c>
      <c r="C2272" s="31"/>
      <c r="D2272" s="37" t="s">
        <v>14</v>
      </c>
      <c r="E2272" s="10"/>
      <c r="F2272" s="38">
        <v>30.0</v>
      </c>
      <c r="G2272" s="11">
        <v>3585003.0</v>
      </c>
      <c r="H2272" s="34" t="str">
        <f>IFERROR(__xludf.DUMMYFUNCTION("LOWER(REGEXREPLACE(B2272&amp;"" ""&amp;C2272,""[^а-яa-z0-9 ]"","" ""))")," ервер  ltos  rain phere   320  5  ntel  eon   2200 2100 до 80  т 3 5   ц    4 2666 2400 2133  z       или без           поддержка     icrosoft  indows  erver 2019  2016  ed  at  nterprise  inux 7 6 ")</f>
        <v> ервер  ltos  rain phere   320  5  ntel  eon   2200 2100 до 80  т 3 5   ц    4 2666 2400 2133  z       или без           поддержка     icrosoft  indows  erver 2019  2016  ed  at  nterprise  inux 7 6 </v>
      </c>
    </row>
    <row r="2273">
      <c r="A2273" s="35" t="s">
        <v>5187</v>
      </c>
      <c r="B2273" s="9" t="s">
        <v>5188</v>
      </c>
      <c r="C2273" s="31"/>
      <c r="D2273" s="37" t="s">
        <v>14</v>
      </c>
      <c r="E2273" s="38">
        <v>2.0</v>
      </c>
      <c r="F2273" s="38">
        <v>18.0</v>
      </c>
      <c r="G2273" s="11">
        <v>1.6337393E7</v>
      </c>
      <c r="H2273" s="34" t="str">
        <f>IFERROR(__xludf.DUMMYFUNCTION("LOWER(REGEXREPLACE(B2273&amp;"" ""&amp;C2273,""[^а-яa-z0-9 ]"","" ""))")," ервер 1288   7     usion  2  erver  latinum 2000    power supply  2  ntel  eon  old 6444  3 6  z 16  ore 45   270    4    5            32   4800      2     2 5inch  480    4     2 5inch  3840     thernet  ard 10      4  x   ual  ort       thernet  ard 2 "&amp;"    350   ual  ort   45  9560 8i    e       ontroller 4    ache  2  ptical transceiver      850nm 10 b s  7 3  1d m  9  9d m        0 3km   uper  are  nsite 36 onth s  ")</f>
        <v> ервер 1288   7     usion  2  erver  latinum 2000    power supply  2  ntel  eon  old 6444  3 6  z 16  ore 45   270    4    5            32   4800      2     2 5inch  480    4     2 5inch  3840     thernet  ard 10      4  x   ual  ort       thernet  ard 2     350   ual  ort   45  9560 8i    e       ontroller 4    ache  2  ptical transceiver      850nm 10 b s  7 3  1d m  9  9d m        0 3km   uper  are  nsite 36 onth s  </v>
      </c>
    </row>
    <row r="2274">
      <c r="A2274" s="35" t="s">
        <v>5189</v>
      </c>
      <c r="B2274" s="31" t="s">
        <v>5190</v>
      </c>
      <c r="C2274" s="31"/>
      <c r="D2274" s="37" t="s">
        <v>14</v>
      </c>
      <c r="E2274" s="10"/>
      <c r="F2274" s="36"/>
      <c r="G2274" s="11"/>
      <c r="H2274" s="34" t="str">
        <f>IFERROR(__xludf.DUMMYFUNCTION("LOWER(REGEXREPLACE(B2274&amp;"" ""&amp;C2274,""[^а-яa-z0-9 ]"","" ""))")," сточник бесперебойного питания ")</f>
        <v> сточник бесперебойного питания </v>
      </c>
    </row>
    <row r="2275">
      <c r="A2275" s="35" t="s">
        <v>5191</v>
      </c>
      <c r="B2275" s="9" t="s">
        <v>5192</v>
      </c>
      <c r="C2275" s="31"/>
      <c r="D2275" s="37" t="s">
        <v>14</v>
      </c>
      <c r="E2275" s="10"/>
      <c r="F2275" s="36"/>
      <c r="G2275" s="11">
        <v>81271.0</v>
      </c>
      <c r="H2275" s="34" t="str">
        <f>IFERROR(__xludf.DUMMYFUNCTION("LOWER(REGEXREPLACE(B2275&amp;"" ""&amp;C2275,""[^а-яa-z0-9 ]"","" ""))"),"         ack   1100    550   1х12  9 h  6 1 розет       ")</f>
        <v>         ack   1100    550   1х12  9 h  6 1 розет       </v>
      </c>
    </row>
    <row r="2276">
      <c r="A2276" s="35" t="s">
        <v>5193</v>
      </c>
      <c r="B2276" s="9" t="s">
        <v>5194</v>
      </c>
      <c r="C2276" s="31"/>
      <c r="D2276" s="37" t="s">
        <v>14</v>
      </c>
      <c r="E2276" s="10"/>
      <c r="F2276" s="36"/>
      <c r="G2276" s="11">
        <v>45110.0</v>
      </c>
      <c r="H2276" s="34" t="str">
        <f>IFERROR(__xludf.DUMMYFUNCTION("LOWER(REGEXREPLACE(B2276&amp;"" ""&amp;C2276,""[^а-яa-z0-9 ]"","" ""))"),"         ack   500    300   1х12  5 5 h  3 1 розет       ")</f>
        <v>         ack   500    300   1х12  5 5 h  3 1 розет       </v>
      </c>
    </row>
    <row r="2277">
      <c r="A2277" s="35" t="s">
        <v>5195</v>
      </c>
      <c r="B2277" s="9" t="s">
        <v>5196</v>
      </c>
      <c r="C2277" s="31"/>
      <c r="D2277" s="37" t="s">
        <v>14</v>
      </c>
      <c r="E2277" s="10"/>
      <c r="F2277" s="36"/>
      <c r="G2277" s="11">
        <v>65089.0</v>
      </c>
      <c r="H2277" s="34" t="str">
        <f>IFERROR(__xludf.DUMMYFUNCTION("LOWER(REGEXREPLACE(B2277&amp;"" ""&amp;C2277,""[^а-яa-z0-9 ]"","" ""))"),"         1500    1500     900   2х12  9 h       165 275          ine ")</f>
        <v>         1500    1500     900   2х12  9 h       165 275          ine </v>
      </c>
    </row>
    <row r="2278">
      <c r="A2278" s="35" t="s">
        <v>5197</v>
      </c>
      <c r="B2278" s="9" t="s">
        <v>5198</v>
      </c>
      <c r="C2278" s="31"/>
      <c r="D2278" s="37" t="s">
        <v>14</v>
      </c>
      <c r="E2278" s="10"/>
      <c r="F2278" s="38">
        <v>8.0</v>
      </c>
      <c r="G2278" s="11">
        <v>60728.0</v>
      </c>
      <c r="H2278" s="34" t="str">
        <f>IFERROR(__xludf.DUMMYFUNCTION("LOWER(REGEXREPLACE(B2278&amp;"" ""&amp;C2278,""[^а-яa-z0-9 ]"","" ""))"),"        600   360 t       1500         800      ")</f>
        <v>        600   360 t       1500         800      </v>
      </c>
    </row>
    <row r="2279">
      <c r="A2279" s="35" t="s">
        <v>5199</v>
      </c>
      <c r="B2279" s="31" t="s">
        <v>5200</v>
      </c>
      <c r="C2279" s="31"/>
      <c r="D2279" s="37" t="s">
        <v>14</v>
      </c>
      <c r="E2279" s="10"/>
      <c r="F2279" s="38">
        <v>10.0</v>
      </c>
      <c r="G2279" s="11">
        <v>60735.0</v>
      </c>
      <c r="H2279" s="34" t="str">
        <f>IFERROR(__xludf.DUMMYFUNCTION("LOWER(REGEXREPLACE(B2279&amp;"" ""&amp;C2279,""[^а-яa-z0-9 ]"","" ""))"),"     antak  2000    1200  т      320  13 ")</f>
        <v>     antak  2000    1200  т      320  13 </v>
      </c>
    </row>
    <row r="2280">
      <c r="A2280" s="35" t="s">
        <v>5201</v>
      </c>
      <c r="B2280" s="9" t="s">
        <v>5202</v>
      </c>
      <c r="C2280" s="31"/>
      <c r="D2280" s="37" t="s">
        <v>14</v>
      </c>
      <c r="E2280" s="10"/>
      <c r="F2280" s="39">
        <v>9.2</v>
      </c>
      <c r="G2280" s="11">
        <v>49962.0</v>
      </c>
      <c r="H2280" s="34" t="str">
        <f>IFERROR(__xludf.DUMMYFUNCTION("LOWER(REGEXREPLACE(B2280&amp;"" ""&amp;C2280,""[^а-яa-z0-9 ]"","" ""))"),"          1200        1200   7200 т       165 275   ")</f>
        <v>          1200        1200   7200 т       165 275   </v>
      </c>
    </row>
    <row r="2281">
      <c r="A2281" s="35" t="s">
        <v>5203</v>
      </c>
      <c r="B2281" s="9" t="s">
        <v>5204</v>
      </c>
      <c r="C2281" s="31"/>
      <c r="D2281" s="37" t="s">
        <v>14</v>
      </c>
      <c r="E2281" s="10"/>
      <c r="F2281" s="39">
        <v>11.4</v>
      </c>
      <c r="G2281" s="11">
        <v>60282.0</v>
      </c>
      <c r="H2281" s="34" t="str">
        <f>IFERROR(__xludf.DUMMYFUNCTION("LOWER(REGEXREPLACE(B2281&amp;"" ""&amp;C2281,""[^а-яa-z0-9 ]"","" ""))"),"          1200    1200   720 т       165 275    mart       защита тел  линии ")</f>
        <v>          1200    1200   720 т       165 275    mart       защита тел  линии </v>
      </c>
    </row>
    <row r="2282">
      <c r="A2282" s="35" t="s">
        <v>5205</v>
      </c>
      <c r="B2282" s="31" t="s">
        <v>5206</v>
      </c>
      <c r="C2282" s="31"/>
      <c r="D2282" s="37" t="s">
        <v>14</v>
      </c>
      <c r="E2282" s="10"/>
      <c r="F2282" s="36"/>
      <c r="G2282" s="11"/>
      <c r="H2282" s="34" t="str">
        <f>IFERROR(__xludf.DUMMYFUNCTION("LOWER(REGEXREPLACE(B2282&amp;"" ""&amp;C2282,""[^а-яa-z0-9 ]"","" ""))")," етевой фильтр ")</f>
        <v> етевой фильтр </v>
      </c>
    </row>
    <row r="2283">
      <c r="A2283" s="35" t="s">
        <v>5207</v>
      </c>
      <c r="B2283" s="31" t="s">
        <v>5208</v>
      </c>
      <c r="C2283" s="31"/>
      <c r="D2283" s="37" t="s">
        <v>14</v>
      </c>
      <c r="E2283" s="10"/>
      <c r="F2283" s="36"/>
      <c r="G2283" s="11">
        <v>3116.0</v>
      </c>
      <c r="H2283" s="34" t="str">
        <f>IFERROR(__xludf.DUMMYFUNCTION("LOWER(REGEXREPLACE(B2283&amp;"" ""&amp;C2283,""[^а-яa-z0-9 ]"","" ""))")," етевой фильтр  efender     151  6 розеток  1 8м   hite ")</f>
        <v> етевой фильтр  efender     151  6 розеток  1 8м   hite </v>
      </c>
    </row>
    <row r="2284">
      <c r="A2284" s="35" t="s">
        <v>5209</v>
      </c>
      <c r="B2284" s="31" t="s">
        <v>5210</v>
      </c>
      <c r="C2284" s="31"/>
      <c r="D2284" s="37" t="s">
        <v>14</v>
      </c>
      <c r="E2284" s="10"/>
      <c r="F2284" s="36"/>
      <c r="G2284" s="11">
        <v>5080.0</v>
      </c>
      <c r="H2284" s="34" t="str">
        <f>IFERROR(__xludf.DUMMYFUNCTION("LOWER(REGEXREPLACE(B2284&amp;"" ""&amp;C2284,""[^а-яa-z0-9 ]"","" ""))")," етевой фильтр  efender     753  5 розеток  3м  2x      lack ")</f>
        <v> етевой фильтр  efender     753  5 розеток  3м  2x      lack </v>
      </c>
    </row>
    <row r="2285">
      <c r="A2285" s="35" t="s">
        <v>5211</v>
      </c>
      <c r="B2285" s="31" t="s">
        <v>5212</v>
      </c>
      <c r="C2285" s="31"/>
      <c r="D2285" s="37" t="s">
        <v>14</v>
      </c>
      <c r="E2285" s="10"/>
      <c r="F2285" s="36"/>
      <c r="G2285" s="11">
        <v>3245.0</v>
      </c>
      <c r="H2285" s="34" t="str">
        <f>IFERROR(__xludf.DUMMYFUNCTION("LOWER(REGEXREPLACE(B2285&amp;"" ""&amp;C2285,""[^а-яa-z0-9 ]"","" ""))")," етевой фильтр i ower i   3m      6 розеток  3м      2   lack ")</f>
        <v> етевой фильтр i ower i   3m      6 розеток  3м      2   lack </v>
      </c>
    </row>
    <row r="2286">
      <c r="A2286" s="35" t="s">
        <v>5213</v>
      </c>
      <c r="B2286" s="31" t="s">
        <v>5214</v>
      </c>
      <c r="C2286" s="31"/>
      <c r="D2286" s="37" t="s">
        <v>14</v>
      </c>
      <c r="E2286" s="10"/>
      <c r="F2286" s="36"/>
      <c r="G2286" s="11">
        <v>5415.0</v>
      </c>
      <c r="H2286" s="34" t="str">
        <f>IFERROR(__xludf.DUMMYFUNCTION("LOWER(REGEXREPLACE(B2286&amp;"" ""&amp;C2286,""[^а-яa-z0-9 ]"","" ""))")," етевой фильтр  rip  ite  uper 6      6 розеток  5м ")</f>
        <v> етевой фильтр  rip  ite  uper 6      6 розеток  5м </v>
      </c>
    </row>
    <row r="2287">
      <c r="A2287" s="35" t="s">
        <v>5215</v>
      </c>
      <c r="B2287" s="31" t="s">
        <v>5216</v>
      </c>
      <c r="C2287" s="31"/>
      <c r="D2287" s="37" t="s">
        <v>14</v>
      </c>
      <c r="E2287" s="10"/>
      <c r="F2287" s="36"/>
      <c r="G2287" s="11"/>
      <c r="H2287" s="34" t="str">
        <f>IFERROR(__xludf.DUMMYFUNCTION("LOWER(REGEXREPLACE(B2287&amp;"" ""&amp;C2287,""[^а-яa-z0-9 ]"","" ""))")," нтерактивный планшет ")</f>
        <v> нтерактивный планшет </v>
      </c>
    </row>
    <row r="2288">
      <c r="A2288" s="35" t="s">
        <v>5217</v>
      </c>
      <c r="B2288" s="31" t="s">
        <v>5218</v>
      </c>
      <c r="C2288" s="31"/>
      <c r="D2288" s="37" t="s">
        <v>14</v>
      </c>
      <c r="E2288" s="10"/>
      <c r="F2288" s="36"/>
      <c r="G2288" s="11">
        <v>17848.0</v>
      </c>
      <c r="H2288" s="34" t="str">
        <f>IFERROR(__xludf.DUMMYFUNCTION("LOWER(REGEXREPLACE(B2288&amp;"" ""&amp;C2288,""[^а-яa-z0-9 ]"","" ""))")," рафический планшет  uion  420  4 x2 23   беcпроводное перо      ")</f>
        <v> рафический планшет  uion  420  4 x2 23   беcпроводное перо      </v>
      </c>
    </row>
    <row r="2289">
      <c r="A2289" s="35" t="s">
        <v>5219</v>
      </c>
      <c r="B2289" s="31" t="s">
        <v>5220</v>
      </c>
      <c r="C2289" s="31"/>
      <c r="D2289" s="37" t="s">
        <v>14</v>
      </c>
      <c r="E2289" s="10"/>
      <c r="F2289" s="36"/>
      <c r="G2289" s="11">
        <v>40089.0</v>
      </c>
      <c r="H2289" s="34" t="str">
        <f>IFERROR(__xludf.DUMMYFUNCTION("LOWER(REGEXREPLACE(B2289&amp;"" ""&amp;C2289,""[^а-яa-z0-9 ]"","" ""))")," рафический планшет  acom  ntuos  mall  6 x3 7   беспроводное перо      ")</f>
        <v> рафический планшет  acom  ntuos  mall  6 x3 7   беспроводное перо      </v>
      </c>
    </row>
    <row r="2290">
      <c r="A2290" s="35" t="s">
        <v>5221</v>
      </c>
      <c r="B2290" s="31" t="s">
        <v>5222</v>
      </c>
      <c r="C2290" s="31"/>
      <c r="D2290" s="37" t="s">
        <v>14</v>
      </c>
      <c r="E2290" s="10"/>
      <c r="F2290" s="36"/>
      <c r="G2290" s="11">
        <v>41875.0</v>
      </c>
      <c r="H2290" s="34" t="str">
        <f>IFERROR(__xludf.DUMMYFUNCTION("LOWER(REGEXREPLACE(B2290&amp;"" ""&amp;C2290,""[^а-яa-z0-9 ]"","" ""))")," рафический планшет  acom  ne  edium  8 5 x5 3   беспроводное перо      ")</f>
        <v> рафический планшет  acom  ne  edium  8 5 x5 3   беспроводное перо      </v>
      </c>
    </row>
    <row r="2291">
      <c r="A2291" s="35" t="s">
        <v>5223</v>
      </c>
      <c r="B2291" s="31" t="s">
        <v>5224</v>
      </c>
      <c r="C2291" s="31"/>
      <c r="D2291" s="37" t="s">
        <v>14</v>
      </c>
      <c r="E2291" s="10"/>
      <c r="F2291" s="36"/>
      <c r="G2291" s="11">
        <v>58920.0</v>
      </c>
      <c r="H2291" s="34" t="str">
        <f>IFERROR(__xludf.DUMMYFUNCTION("LOWER(REGEXREPLACE(B2291&amp;"" ""&amp;C2291,""[^а-яa-z0-9 ]"","" ""))")," рафический планшет     en  eco  ro  mall  9 x5   беcпроводное перо      ")</f>
        <v> рафический планшет     en  eco  ro  mall  9 x5   беcпроводное перо      </v>
      </c>
    </row>
    <row r="2292">
      <c r="A2292" s="35" t="s">
        <v>5225</v>
      </c>
      <c r="B2292" s="31" t="s">
        <v>5226</v>
      </c>
      <c r="C2292" s="31"/>
      <c r="D2292" s="37" t="s">
        <v>14</v>
      </c>
      <c r="E2292" s="10"/>
      <c r="F2292" s="36"/>
      <c r="G2292" s="11">
        <v>51777.0</v>
      </c>
      <c r="H2292" s="34" t="str">
        <f>IFERROR(__xludf.DUMMYFUNCTION("LOWER(REGEXREPLACE(B2292&amp;"" ""&amp;C2292,""[^а-яa-z0-9 ]"","" ""))")," рафический планшет     en  tar 06  10 x6   беcпроводное перо и планшет  беспроводной ")</f>
        <v> рафический планшет     en  tar 06  10 x6   беcпроводное перо и планшет  беспроводной </v>
      </c>
    </row>
    <row r="2293">
      <c r="A2293" s="35" t="s">
        <v>5227</v>
      </c>
      <c r="B2293" s="31" t="s">
        <v>5228</v>
      </c>
      <c r="C2293" s="31"/>
      <c r="D2293" s="37" t="s">
        <v>14</v>
      </c>
      <c r="E2293" s="10"/>
      <c r="F2293" s="36"/>
      <c r="G2293" s="11">
        <v>77655.0</v>
      </c>
      <c r="H2293" s="34" t="str">
        <f>IFERROR(__xludf.DUMMYFUNCTION("LOWER(REGEXREPLACE(B2293&amp;"" ""&amp;C2293,""[^а-яa-z0-9 ]"","" ""))")," рафический планшет     en  eco  ro  edium  11 x6   беcпроводное перо      ")</f>
        <v> рафический планшет     en  eco  ro  edium  11 x6   беcпроводное перо      </v>
      </c>
    </row>
    <row r="2294">
      <c r="A2294" s="35" t="s">
        <v>5229</v>
      </c>
      <c r="B2294" s="31" t="s">
        <v>5230</v>
      </c>
      <c r="C2294" s="31"/>
      <c r="D2294" s="37" t="s">
        <v>14</v>
      </c>
      <c r="E2294" s="10"/>
      <c r="F2294" s="36"/>
      <c r="G2294" s="11"/>
      <c r="H2294" s="34" t="str">
        <f>IFERROR(__xludf.DUMMYFUNCTION("LOWER(REGEXREPLACE(B2294&amp;"" ""&amp;C2294,""[^а-яa-z0-9 ]"","" ""))")," нтерактивный стол ")</f>
        <v> нтерактивный стол </v>
      </c>
    </row>
    <row r="2295">
      <c r="A2295" s="35" t="s">
        <v>5231</v>
      </c>
      <c r="B2295" s="31" t="s">
        <v>5232</v>
      </c>
      <c r="C2295" s="31"/>
      <c r="D2295" s="37" t="s">
        <v>14</v>
      </c>
      <c r="E2295" s="10"/>
      <c r="F2295" s="36"/>
      <c r="G2295" s="11">
        <v>905353.0</v>
      </c>
      <c r="H2295" s="34" t="str">
        <f>IFERROR(__xludf.DUMMYFUNCTION("LOWER(REGEXREPLACE(B2295&amp;"" ""&amp;C2295,""[^а-яa-z0-9 ]"","" ""))")," нтерактивный стол   мкостная технология  диагональ 32   ull         до 10 касаний ")</f>
        <v> нтерактивный стол   мкостная технология  диагональ 32   ull         до 10 касаний </v>
      </c>
    </row>
    <row r="2296">
      <c r="A2296" s="35" t="s">
        <v>5233</v>
      </c>
      <c r="B2296" s="31" t="s">
        <v>5234</v>
      </c>
      <c r="C2296" s="31" t="s">
        <v>5235</v>
      </c>
      <c r="D2296" s="37" t="s">
        <v>68</v>
      </c>
      <c r="E2296" s="38">
        <v>2.0</v>
      </c>
      <c r="F2296" s="38">
        <v>50.0</v>
      </c>
      <c r="G2296" s="11">
        <v>1169266.0</v>
      </c>
      <c r="H2296" s="34" t="str">
        <f>IFERROR(__xludf.DUMMYFUNCTION("LOWER(REGEXREPLACE(B2296&amp;"" ""&amp;C2296,""[^а-яa-z0-9 ]"","" ""))"),"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х8"&amp;"00  с    позволяющим проводить лабораторные работы  фиксировать данные полученные с микроскопа  выполнять задания и контрольные работы ")</f>
        <v>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v>
      </c>
    </row>
    <row r="2297">
      <c r="A2297" s="35" t="s">
        <v>5236</v>
      </c>
      <c r="B2297" s="31" t="s">
        <v>5237</v>
      </c>
      <c r="C2297" s="31" t="s">
        <v>5238</v>
      </c>
      <c r="D2297" s="37" t="s">
        <v>68</v>
      </c>
      <c r="E2297" s="38">
        <v>2.0</v>
      </c>
      <c r="F2297" s="38">
        <v>50.0</v>
      </c>
      <c r="G2297" s="11">
        <v>1439051.0</v>
      </c>
      <c r="H2297" s="34" t="str">
        <f>IFERROR(__xludf.DUMMYFUNCTION("LOWER(REGEXREPLACE(B2297&amp;"" ""&amp;C2297,""[^а-яa-z0-9 ]"","" ""))"),"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кор"&amp;"пусе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сист"&amp;"емный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"&amp;"5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тумб"&amp;"леры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ш"&amp;"т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"&amp;"позволяющим фиксировать результаты исследований и лабораторных работ  выполнять задания следуя видео инструкциям ")</f>
        <v>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v>
      </c>
    </row>
    <row r="2298">
      <c r="A2298" s="35" t="s">
        <v>5239</v>
      </c>
      <c r="B2298" s="31" t="s">
        <v>5240</v>
      </c>
      <c r="C2298" s="31" t="s">
        <v>5241</v>
      </c>
      <c r="D2298" s="37" t="s">
        <v>68</v>
      </c>
      <c r="E2298" s="38">
        <v>2.0</v>
      </c>
      <c r="F2298" s="38">
        <v>50.0</v>
      </c>
      <c r="G2298" s="11">
        <v>1484016.0</v>
      </c>
      <c r="H2298" s="34" t="str">
        <f>IFERROR(__xludf.DUMMYFUNCTION("LOWER(REGEXREPLACE(B2298&amp;"" ""&amp;C2298,""[^а-яa-z0-9 ]"","" ""))"),"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атмосферно"&amp;"го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f>
        <v>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v>
      </c>
    </row>
    <row r="2299">
      <c r="A2299" s="35" t="s">
        <v>5242</v>
      </c>
      <c r="B2299" s="9" t="s">
        <v>5243</v>
      </c>
      <c r="C2299" s="31" t="s">
        <v>5244</v>
      </c>
      <c r="D2299" s="37" t="s">
        <v>68</v>
      </c>
      <c r="E2299" s="38">
        <v>2.0</v>
      </c>
      <c r="F2299" s="38">
        <v>50.0</v>
      </c>
      <c r="G2299" s="11">
        <v>1052359.0</v>
      </c>
      <c r="H2299" s="34" t="str">
        <f>IFERROR(__xludf.DUMMYFUNCTION("LOWER(REGEXREPLACE(B2299&amp;"" ""&amp;C2299,""[^а-яa-z0-9 ]"","" ""))"),"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п"&amp;"арты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портам"&amp;"и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контр"&amp;"оллировать действия каждого ученика  давать задания  проверять  демонстрировать контент ")</f>
        <v>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00">
      <c r="A2300" s="35" t="s">
        <v>5245</v>
      </c>
      <c r="B2300" s="31" t="s">
        <v>5246</v>
      </c>
      <c r="C2300" s="31" t="s">
        <v>5247</v>
      </c>
      <c r="D2300" s="37" t="s">
        <v>68</v>
      </c>
      <c r="E2300" s="38">
        <v>2.0</v>
      </c>
      <c r="F2300" s="38">
        <v>50.0</v>
      </c>
      <c r="G2300" s="11">
        <v>1349123.0</v>
      </c>
      <c r="H2300" s="34" t="str">
        <f>IFERROR(__xludf.DUMMYFUNCTION("LOWER(REGEXREPLACE(B2300&amp;"" ""&amp;C2300,""[^а-яa-z0-9 ]"","" ""))"),"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к"&amp;"орпусе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к"&amp;"асаний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вы"&amp;"браной настольной игры  а так же играть в виртуальном режиме с виртуальныи соперником в лице искусственного интеллекта  а так же вести учет времени")</f>
        <v>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v>
      </c>
    </row>
    <row r="2301">
      <c r="A2301" s="35" t="s">
        <v>5248</v>
      </c>
      <c r="B2301" s="31" t="s">
        <v>5249</v>
      </c>
      <c r="C2301" s="31" t="s">
        <v>5250</v>
      </c>
      <c r="D2301" s="37" t="s">
        <v>68</v>
      </c>
      <c r="E2301" s="38">
        <v>2.0</v>
      </c>
      <c r="F2301" s="38">
        <v>50.0</v>
      </c>
      <c r="G2301" s="11">
        <v>1978623.0</v>
      </c>
      <c r="H2301" s="34" t="str">
        <f>IFERROR(__xludf.DUMMYFUNCTION("LOWER(REGEXREPLACE(B2301&amp;"" ""&amp;C2301,""[^а-яa-z0-9 ]"","" ""))"),"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"&amp;"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1"&amp;"0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п"&amp;"олем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датчикам"&amp;"и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датчик"&amp;"а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общ"&amp;"ий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"&amp;"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датчи"&amp;"к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электрокард"&amp;"иограмма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"&amp;"                             176 41 датчик света  колориметр   сенсор датчика встроен в парту и подключен к    парты  данные выводятся на общий экран  иапазон  0 55000 люкс  огрешность   5 ")</f>
        <v>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176 41 датчик света  колориметр   сенсор датчика встроен в парту и подключен к    парты  данные выводятся на общий экран  иапазон  0 55000 люкс  огрешность   5 </v>
      </c>
    </row>
    <row r="2302">
      <c r="A2302" s="35" t="s">
        <v>5251</v>
      </c>
      <c r="B2302" s="31" t="s">
        <v>5252</v>
      </c>
      <c r="C2302" s="31" t="s">
        <v>5253</v>
      </c>
      <c r="D2302" s="37" t="s">
        <v>68</v>
      </c>
      <c r="E2302" s="38">
        <v>2.0</v>
      </c>
      <c r="F2302" s="38">
        <v>50.0</v>
      </c>
      <c r="G2302" s="11">
        <v>1978623.0</v>
      </c>
      <c r="H2302" s="34" t="str">
        <f>IFERROR(__xludf.DUMMYFUNCTION("LOWER(REGEXREPLACE(B2302&amp;"" ""&amp;C2302,""[^а-яa-z0-9 ]"","" ""))"),"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на"&amp;"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"&amp;"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классом"&amp;"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"&amp;"ционные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инд"&amp;"икатор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"&amp;"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экспер"&amp;"иментами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f>
        <v>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v>
      </c>
    </row>
    <row r="2303">
      <c r="A2303" s="35" t="s">
        <v>5254</v>
      </c>
      <c r="B2303" s="31" t="s">
        <v>5255</v>
      </c>
      <c r="C2303" s="31" t="s">
        <v>5256</v>
      </c>
      <c r="D2303" s="37" t="s">
        <v>68</v>
      </c>
      <c r="E2303" s="38">
        <v>2.0</v>
      </c>
      <c r="F2303" s="38">
        <v>50.0</v>
      </c>
      <c r="G2303" s="11">
        <v>1933659.0</v>
      </c>
      <c r="H2303" s="34" t="str">
        <f>IFERROR(__xludf.DUMMYFUNCTION("LOWER(REGEXREPLACE(B2303&amp;"" ""&amp;C2303,""[^а-яa-z0-9 ]"","" ""))"),"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"&amp;"металлическом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6"&amp;"0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фи"&amp;"ксация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темп"&amp;"ературы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"&amp;"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0"&amp;"   55000 юкс  очность  5   искретность 15 юкс")</f>
        <v>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   55000 юкс  очность  5   искретность 15 юкс</v>
      </c>
    </row>
    <row r="2304">
      <c r="A2304" s="35" t="s">
        <v>5257</v>
      </c>
      <c r="B2304" s="31" t="s">
        <v>5258</v>
      </c>
      <c r="C2304" s="31" t="s">
        <v>5259</v>
      </c>
      <c r="D2304" s="37" t="s">
        <v>68</v>
      </c>
      <c r="E2304" s="38">
        <v>2.0</v>
      </c>
      <c r="F2304" s="38">
        <v>50.0</v>
      </c>
      <c r="G2304" s="11">
        <v>1681859.0</v>
      </c>
      <c r="H2304" s="34" t="str">
        <f>IFERROR(__xludf.DUMMYFUNCTION("LOWER(REGEXREPLACE(B2304&amp;"" ""&amp;C2304,""[^а-яa-z0-9 ]"","" ""))"),"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10"&amp;"80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учен"&amp;"икам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f>
        <v>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v>
      </c>
    </row>
    <row r="2305">
      <c r="A2305" s="35" t="s">
        <v>5260</v>
      </c>
      <c r="B2305" s="31" t="s">
        <v>5261</v>
      </c>
      <c r="C2305" s="31" t="s">
        <v>5262</v>
      </c>
      <c r="D2305" s="37" t="s">
        <v>68</v>
      </c>
      <c r="E2305" s="38">
        <v>2.0</v>
      </c>
      <c r="F2305" s="38">
        <v>50.0</v>
      </c>
      <c r="G2305" s="11">
        <v>1421066.0</v>
      </c>
      <c r="H2305" s="34" t="str">
        <f>IFERROR(__xludf.DUMMYFUNCTION("LOWER(REGEXREPLACE(B2305&amp;"" ""&amp;C2305,""[^а-яa-z0-9 ]"","" ""))"),"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двухместная"&amp;"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гарнит"&amp;"ур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f>
        <v>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v>
      </c>
    </row>
    <row r="2306">
      <c r="A2306" s="35" t="s">
        <v>5263</v>
      </c>
      <c r="B2306" s="31" t="s">
        <v>5264</v>
      </c>
      <c r="C2306" s="31" t="s">
        <v>5265</v>
      </c>
      <c r="D2306" s="37" t="s">
        <v>68</v>
      </c>
      <c r="E2306" s="38">
        <v>2.0</v>
      </c>
      <c r="F2306" s="38">
        <v>50.0</v>
      </c>
      <c r="G2306" s="11">
        <v>1052359.0</v>
      </c>
      <c r="H2306" s="34" t="str">
        <f>IFERROR(__xludf.DUMMYFUNCTION("LOWER(REGEXREPLACE(B2306&amp;"" ""&amp;C2306,""[^а-яa-z0-9 ]"","" ""))"),"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"&amp;"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вн"&amp;"ешними портами      2 порта mini  ack  кнопка запуска  дополнительное охлаждение      indows 10 ro ")</f>
        <v>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внешними портами      2 порта mini  ack  кнопка запуска  дополнительное охлаждение      indows 10 ro </v>
      </c>
    </row>
    <row r="2307">
      <c r="A2307" s="35" t="s">
        <v>5266</v>
      </c>
      <c r="B2307" s="31" t="s">
        <v>5267</v>
      </c>
      <c r="C2307" s="31" t="s">
        <v>5268</v>
      </c>
      <c r="D2307" s="37" t="s">
        <v>68</v>
      </c>
      <c r="E2307" s="38">
        <v>2.0</v>
      </c>
      <c r="F2307" s="38">
        <v>50.0</v>
      </c>
      <c r="G2307" s="11">
        <v>1798766.0</v>
      </c>
      <c r="H2307" s="34" t="str">
        <f>IFERROR(__xludf.DUMMYFUNCTION("LOWER(REGEXREPLACE(B2307&amp;"" ""&amp;C2307,""[^а-яa-z0-9 ]"","" ""))"),"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"&amp;"азмер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9"&amp;"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п"&amp;"ерьевого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f>
        <v>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v>
      </c>
    </row>
    <row r="2308">
      <c r="A2308" s="35" t="s">
        <v>5269</v>
      </c>
      <c r="B2308" s="31" t="s">
        <v>5270</v>
      </c>
      <c r="C2308" s="31" t="s">
        <v>5271</v>
      </c>
      <c r="D2308" s="37" t="s">
        <v>68</v>
      </c>
      <c r="E2308" s="38">
        <v>2.0</v>
      </c>
      <c r="F2308" s="38">
        <v>50.0</v>
      </c>
      <c r="G2308" s="11">
        <v>1888694.0</v>
      </c>
      <c r="H2308" s="34" t="str">
        <f>IFERROR(__xludf.DUMMYFUNCTION("LOWER(REGEXREPLACE(B2308&amp;"" ""&amp;C2308,""[^а-яa-z0-9 ]"","" ""))"),"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корп"&amp;"усе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онит"&amp;"ор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ес"&amp;"проводное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"&amp;" встроены в стол ")</f>
        <v>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 </v>
      </c>
    </row>
    <row r="2309">
      <c r="A2309" s="35" t="s">
        <v>5272</v>
      </c>
      <c r="B2309" s="9" t="s">
        <v>5273</v>
      </c>
      <c r="C2309" s="31" t="s">
        <v>5274</v>
      </c>
      <c r="D2309" s="37" t="s">
        <v>68</v>
      </c>
      <c r="E2309" s="38">
        <v>2.0</v>
      </c>
      <c r="F2309" s="38">
        <v>50.0</v>
      </c>
      <c r="G2309" s="11">
        <v>1016387.0</v>
      </c>
      <c r="H2309" s="34" t="str">
        <f>IFERROR(__xludf.DUMMYFUNCTION("LOWER(REGEXREPLACE(B2309&amp;"" ""&amp;C2309,""[^а-яa-z0-9 ]"","" ""))"),"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"&amp;"одноместная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системн"&amp;"ый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простарн"&amp;"стве  учитель может контроллировать действия каждого ученика  давать задания  проверять  демонстрировать контент ")</f>
        <v>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10">
      <c r="A2310" s="35" t="s">
        <v>5275</v>
      </c>
      <c r="B2310" s="31" t="s">
        <v>5276</v>
      </c>
      <c r="C2310" s="31" t="s">
        <v>5277</v>
      </c>
      <c r="D2310" s="37" t="s">
        <v>68</v>
      </c>
      <c r="E2310" s="38">
        <v>2.0</v>
      </c>
      <c r="F2310" s="38">
        <v>100.0</v>
      </c>
      <c r="G2310" s="11">
        <v>944639.0</v>
      </c>
      <c r="H2310" s="34" t="str">
        <f>IFERROR(__xludf.DUMMYFUNCTION("LOWER(REGEXREPLACE(B2310&amp;"" ""&amp;C2310,""[^а-яa-z0-9 ]"","" ""))"),"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часть"&amp;"ю стола  размер тумбы 1200х600х500мм  2   строенный компьютер       ntel  ore i5 10400 2 9  z  4 3  z  12 b 6 12  ore  omet  ake  ntel      630 65       1200  ray   перативная память 16        2666  z    4   4 21300 19 19 19 43   416  2666 19   ulk  ack  "&amp;"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ac"&amp;"k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f>
        <v>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частью стола  размер тумбы 1200х600х500мм  2   строенный компьютер       ntel  ore i5 10400 2 9  z  4 3  z  12 b 6 12  ore  omet  ake  ntel      630 65       1200  ray   перативная память 16        2666  z    4   4 21300 19 19 19 43   416  2666 19   ulk  ack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v>
      </c>
    </row>
    <row r="2311">
      <c r="A2311" s="35" t="s">
        <v>5278</v>
      </c>
      <c r="B2311" s="31" t="s">
        <v>5279</v>
      </c>
      <c r="C2311" s="31" t="s">
        <v>5280</v>
      </c>
      <c r="D2311" s="37" t="s">
        <v>68</v>
      </c>
      <c r="E2311" s="38">
        <v>2.0</v>
      </c>
      <c r="F2311" s="38">
        <v>50.0</v>
      </c>
      <c r="G2311" s="11">
        <v>710630.0</v>
      </c>
      <c r="H2311" s="34" t="str">
        <f>IFERROR(__xludf.DUMMYFUNCTION("LOWER(REGEXREPLACE(B2311&amp;"" ""&amp;C2311,""[^а-яa-z0-9 ]"","" ""))"),"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650х600х750мм"&amp;"    рая радиальные   2   строенный компьютер       ntel  ore i3 10100 3 6  z  4 3  z  6 b 4 8  ore  omet  ake  ntel      630 65       1200       перативная память 8      4 2666  z        4 21300 19 19 19 43   48  2666 19   ulk  ack   вердотельный накопите"&amp;"ль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охлажден"&amp;"ие      indows 11     5   ериферия  клавиатура и мышь проводные      проводная гарнитура  наушники с микрофоном   веб камера  1280x720    ")</f>
        <v>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охлаждение      indows 11     5   ериферия  клавиатура и мышь проводные      проводная гарнитура  наушники с микрофоном   веб камера  1280x720    </v>
      </c>
    </row>
    <row r="2312">
      <c r="A2312" s="35" t="s">
        <v>5281</v>
      </c>
      <c r="B2312" s="31" t="s">
        <v>5282</v>
      </c>
      <c r="C2312" s="31" t="s">
        <v>5283</v>
      </c>
      <c r="D2312" s="37" t="s">
        <v>68</v>
      </c>
      <c r="E2312" s="38">
        <v>2.0</v>
      </c>
      <c r="F2312" s="38">
        <v>300.0</v>
      </c>
      <c r="G2312" s="11">
        <v>4677452.0</v>
      </c>
      <c r="H2312" s="34" t="str">
        <f>IFERROR(__xludf.DUMMYFUNCTION("LOWER(REGEXREPLACE(B2312&amp;"" ""&amp;C2312,""[^а-яa-z0-9 ]"","" ""))"),"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радиальны"&amp;"е   6шт  2   строенный компьютер       ntel  ore i3 10100 3 6  z  4 3  z  6 b 4 8  ore  omet  ake  ntel      630 65       1200       перативная память 8      4 2666  z        4 21300 19 19 19 43   48  2666 19   ulk  ack   вердотельный накопитель 128      "&amp;"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indows"&amp;" 11 ro   6 шт  5   озетки 2 по 220  и 2     встроены в стол   6 шт ")</f>
        <v>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радиальные   6шт  2   строенный компьютер       ntel  ore i3 10100 3 6  z  4 3  z  6 b 4 8  ore  omet  ake  ntel      630 65       1200       перативная память 8      4 2666  z        4 21300 19 19 19 43   48  2666 19   ulk  ack   вердотельный накопитель 128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 11 ro   6 шт  5   озетки 2 по 220  и 2     встроены в стол   6 шт </v>
      </c>
    </row>
    <row r="2313">
      <c r="A2313" s="35" t="s">
        <v>5284</v>
      </c>
      <c r="B2313" s="31" t="s">
        <v>5285</v>
      </c>
      <c r="C2313" s="31" t="s">
        <v>5286</v>
      </c>
      <c r="D2313" s="37" t="s">
        <v>68</v>
      </c>
      <c r="E2313" s="38">
        <v>2.0</v>
      </c>
      <c r="F2313" s="38">
        <v>60.0</v>
      </c>
      <c r="G2313" s="11">
        <v>1007433.0</v>
      </c>
      <c r="H2313" s="34" t="str">
        <f>IFERROR(__xludf.DUMMYFUNCTION("LOWER(REGEXREPLACE(B2313&amp;"" ""&amp;C2313,""[^а-яa-z0-9 ]"","" ""))"),"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"&amp;"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объемом"&amp;"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2"&amp;"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оответс"&amp;"твие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"&amp;"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егулировка"&amp;"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про"&amp;"водная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2"&amp;"0000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f>
        <v>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v>
      </c>
    </row>
    <row r="2314">
      <c r="A2314" s="35" t="s">
        <v>5287</v>
      </c>
      <c r="B2314" s="31" t="s">
        <v>5288</v>
      </c>
      <c r="C2314" s="31" t="s">
        <v>5289</v>
      </c>
      <c r="D2314" s="37" t="s">
        <v>68</v>
      </c>
      <c r="E2314" s="38">
        <v>2.0</v>
      </c>
      <c r="F2314" s="38">
        <v>60.0</v>
      </c>
      <c r="G2314" s="11">
        <v>1043405.0</v>
      </c>
      <c r="H2314" s="34" t="str">
        <f>IFERROR(__xludf.DUMMYFUNCTION("LOWER(REGEXREPLACE(B2314&amp;"" ""&amp;C2314,""[^а-яa-z0-9 ]"","" ""))"),"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ра"&amp;"я радиальные   2   строенный компьютер       ntel  ore i3 10100 3 6  z  4 3  z  6 b 4 8  ore  omet  ake  ntel      630 65       1200       перативная память 8      4 2666  z        4 21300 19 19 19 43   48  2666 19   ulk  ack   вердотельный накопитель 128"&amp;"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озет"&amp;"ки 2 по 220  и 2     встроены в стол  6   вухмоторная рама стола с электрической регулировкой высоты от 700 до 1200мм            7   ериферия  клавиатура и мышь беспроводные")</f>
        <v>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озетки 2 по 220  и 2     встроены в стол  6   вухмоторная рама стола с электрической регулировкой высоты от 700 до 1200мм            7   ериферия  клавиатура и мышь беспроводные</v>
      </c>
    </row>
    <row r="2315">
      <c r="A2315" s="35" t="s">
        <v>5290</v>
      </c>
      <c r="B2315" s="31" t="s">
        <v>5291</v>
      </c>
      <c r="C2315" s="31"/>
      <c r="D2315" s="36"/>
      <c r="E2315" s="10"/>
      <c r="F2315" s="36"/>
      <c r="G2315" s="11"/>
      <c r="H2315" s="34" t="str">
        <f>IFERROR(__xludf.DUMMYFUNCTION("LOWER(REGEXREPLACE(B2315&amp;"" ""&amp;C2315,""[^а-яa-z0-9 ]"","" ""))")," нтерактивные системы ")</f>
        <v> нтерактивные системы </v>
      </c>
    </row>
    <row r="2316">
      <c r="A2316" s="35" t="s">
        <v>5292</v>
      </c>
      <c r="B2316" s="31" t="s">
        <v>5293</v>
      </c>
      <c r="C2316" s="31" t="s">
        <v>5294</v>
      </c>
      <c r="D2316" s="37" t="s">
        <v>14</v>
      </c>
      <c r="E2316" s="38">
        <v>1.0</v>
      </c>
      <c r="F2316" s="39">
        <v>78.5</v>
      </c>
      <c r="G2316" s="11">
        <v>2473294.0</v>
      </c>
      <c r="H2316" s="34" t="str">
        <f>IFERROR(__xludf.DUMMYFUNCTION("LOWER(REGEXREPLACE(B2316&amp;"" ""&amp;C2316,""[^а-яa-z0-9 ]"","" ""))"),"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f>
        <v>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v>
      </c>
    </row>
    <row r="2317">
      <c r="A2317" s="35" t="s">
        <v>5295</v>
      </c>
      <c r="B2317" s="31" t="s">
        <v>5296</v>
      </c>
      <c r="C2317" s="31" t="s">
        <v>5297</v>
      </c>
      <c r="D2317" s="37" t="s">
        <v>14</v>
      </c>
      <c r="E2317" s="38">
        <v>1.0</v>
      </c>
      <c r="F2317" s="39">
        <v>95.7</v>
      </c>
      <c r="G2317" s="11">
        <v>2788166.0</v>
      </c>
      <c r="H2317" s="34" t="str">
        <f>IFERROR(__xludf.DUMMYFUNCTION("LOWER(REGEXREPLACE(B2317&amp;"" ""&amp;C2317,""[^а-яa-z0-9 ]"","" ""))"),"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f>
        <v>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v>
      </c>
    </row>
    <row r="2318">
      <c r="A2318" s="35" t="s">
        <v>5298</v>
      </c>
      <c r="B2318" s="31" t="s">
        <v>5299</v>
      </c>
      <c r="C2318" s="31" t="s">
        <v>5300</v>
      </c>
      <c r="D2318" s="37" t="s">
        <v>14</v>
      </c>
      <c r="E2318" s="38">
        <v>1.0</v>
      </c>
      <c r="F2318" s="39">
        <v>61.5</v>
      </c>
      <c r="G2318" s="11">
        <v>1618920.0</v>
      </c>
      <c r="H2318" s="34" t="str">
        <f>IFERROR(__xludf.DUMMYFUNCTION("LOWER(REGEXREPLACE(B2318&amp;"" ""&amp;C2318,""[^а-яa-z0-9 ]"","" ""))"),"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f>
        <v>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v>
      </c>
    </row>
    <row r="2319">
      <c r="A2319" s="35" t="s">
        <v>5301</v>
      </c>
      <c r="B2319" s="31" t="s">
        <v>5302</v>
      </c>
      <c r="C2319" s="31"/>
      <c r="D2319" s="37" t="s">
        <v>14</v>
      </c>
      <c r="E2319" s="38">
        <v>1.0</v>
      </c>
      <c r="F2319" s="38">
        <v>25.0</v>
      </c>
      <c r="G2319" s="11">
        <v>181949.0</v>
      </c>
      <c r="H2319" s="34" t="str">
        <f>IFERROR(__xludf.DUMMYFUNCTION("LOWER(REGEXREPLACE(B2319&amp;"" ""&amp;C2319,""[^а-яa-z0-9 ]"","" ""))"),"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f>
        <v>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v>
      </c>
    </row>
    <row r="2320">
      <c r="A2320" s="35" t="s">
        <v>5303</v>
      </c>
      <c r="B2320" s="9" t="s">
        <v>5304</v>
      </c>
      <c r="C2320" s="31" t="s">
        <v>5305</v>
      </c>
      <c r="D2320" s="37" t="s">
        <v>68</v>
      </c>
      <c r="E2320" s="38">
        <v>1.0</v>
      </c>
      <c r="F2320" s="39">
        <v>131.2</v>
      </c>
      <c r="G2320" s="11">
        <v>2253307.0</v>
      </c>
      <c r="H2320" s="34" t="str">
        <f>IFERROR(__xludf.DUMMYFUNCTION("LOWER(REGEXREPLACE(B2320&amp;"" ""&amp;C2320,""[^а-яa-z0-9 ]"","" ""))"),"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перф"&amp;"орацией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"&amp;"из 6 микрофонов    исло касаний  20   in   ac      азъем      2 1 4    60 z with      1 4 and      2 3 support   4 шт      in     45 1 шт      out     45 1 шт        3 0     3 2  ype     4 шт             ype   8    30 z  isplay  ort 1 4a       2 3 and    "&amp;"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риложен"&amp;"ие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цельнометаллически"&amp;"й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го"&amp;"да  обслуживание оборудование 5 лет")</f>
        <v>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года  обслуживание оборудование 5 лет</v>
      </c>
    </row>
    <row r="2321">
      <c r="A2321" s="35" t="s">
        <v>5306</v>
      </c>
      <c r="B2321" s="31" t="s">
        <v>5307</v>
      </c>
      <c r="C2321" s="31"/>
      <c r="D2321" s="37" t="s">
        <v>14</v>
      </c>
      <c r="E2321" s="38">
        <v>1.0</v>
      </c>
      <c r="F2321" s="38">
        <v>47.0</v>
      </c>
      <c r="G2321" s="11">
        <v>1510955.0</v>
      </c>
      <c r="H2321" s="34" t="str">
        <f>IFERROR(__xludf.DUMMYFUNCTION("LOWER(REGEXREPLACE(B2321&amp;"" ""&amp;C2321,""[^а-яa-z0-9 ]"","" ""))")," нтерактивная панель         dea ub  oard 2    2 75   ")</f>
        <v> нтерактивная панель         dea ub  oard 2    2 75   </v>
      </c>
    </row>
    <row r="2322">
      <c r="A2322" s="35" t="s">
        <v>5308</v>
      </c>
      <c r="B2322" s="31" t="s">
        <v>5309</v>
      </c>
      <c r="C2322" s="31"/>
      <c r="D2322" s="37" t="s">
        <v>14</v>
      </c>
      <c r="E2322" s="38">
        <v>1.0</v>
      </c>
      <c r="F2322" s="38">
        <v>40.0</v>
      </c>
      <c r="G2322" s="11">
        <v>1183743.0</v>
      </c>
      <c r="H2322" s="34" t="str">
        <f>IFERROR(__xludf.DUMMYFUNCTION("LOWER(REGEXREPLACE(B2322&amp;"" ""&amp;C2322,""[^а-яa-z0-9 ]"","" ""))")," нтерактивный дисплей  amsung  lip 2   65           65  диагонали ")</f>
        <v> нтерактивный дисплей  amsung  lip 2   65           65  диагонали </v>
      </c>
    </row>
    <row r="2323">
      <c r="A2323" s="35" t="s">
        <v>5310</v>
      </c>
      <c r="B2323" s="31" t="s">
        <v>5311</v>
      </c>
      <c r="C2323" s="31" t="s">
        <v>5312</v>
      </c>
      <c r="D2323" s="37" t="s">
        <v>14</v>
      </c>
      <c r="E2323" s="38">
        <v>1.0</v>
      </c>
      <c r="F2323" s="39">
        <v>72.2</v>
      </c>
      <c r="G2323" s="11">
        <v>2559146.0</v>
      </c>
      <c r="H2323" s="34" t="str">
        <f>IFERROR(__xludf.DUMMYFUNCTION("LOWER(REGEXREPLACE(B2323&amp;"" ""&amp;C2323,""[^а-яa-z0-9 ]"","" ""))"),"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"&amp;"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ку"&amp;"рс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географии"&amp;"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вы"&amp;"хода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астенн"&amp;"ое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f>
        <v>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v>
      </c>
    </row>
    <row r="2324">
      <c r="A2324" s="35" t="s">
        <v>5313</v>
      </c>
      <c r="B2324" s="31" t="s">
        <v>5314</v>
      </c>
      <c r="C2324" s="31"/>
      <c r="D2324" s="37" t="s">
        <v>14</v>
      </c>
      <c r="E2324" s="38">
        <v>1.0</v>
      </c>
      <c r="F2324" s="39">
        <v>72.2</v>
      </c>
      <c r="G2324" s="11">
        <v>1902033.0</v>
      </c>
      <c r="H2324" s="34" t="str">
        <f>IFERROR(__xludf.DUMMYFUNCTION("LOWER(REGEXREPLACE(B2324&amp;"" ""&amp;C2324,""[^а-яa-z0-9 ]"","" ""))")," нтерактивная панель  amsung  lip  ro   75           75  диагонали ")</f>
        <v> нтерактивная панель  amsung  lip  ro   75           75  диагонали </v>
      </c>
    </row>
    <row r="2325">
      <c r="A2325" s="35" t="s">
        <v>5315</v>
      </c>
      <c r="B2325" s="31" t="s">
        <v>5316</v>
      </c>
      <c r="C2325" s="31"/>
      <c r="D2325" s="37" t="s">
        <v>14</v>
      </c>
      <c r="E2325" s="38">
        <v>1.0</v>
      </c>
      <c r="F2325" s="39">
        <v>19.4</v>
      </c>
      <c r="G2325" s="11">
        <v>1774586.0</v>
      </c>
      <c r="H2325" s="34" t="str">
        <f>IFERROR(__xludf.DUMMYFUNCTION("LOWER(REGEXREPLACE(B2325&amp;"" ""&amp;C2325,""[^а-яa-z0-9 ]"","" ""))")," идеостенный дисплей  amsung   55      55           55  диагонали ")</f>
        <v> идеостенный дисплей  amsung   55      55           55  диагонали </v>
      </c>
    </row>
    <row r="2326">
      <c r="A2326" s="35" t="s">
        <v>5317</v>
      </c>
      <c r="B2326" s="31" t="s">
        <v>5318</v>
      </c>
      <c r="C2326" s="31"/>
      <c r="D2326" s="37" t="s">
        <v>14</v>
      </c>
      <c r="E2326" s="38">
        <v>1.0</v>
      </c>
      <c r="F2326" s="38">
        <v>63.0</v>
      </c>
      <c r="G2326" s="11">
        <v>969495.0</v>
      </c>
      <c r="H2326" s="34" t="str">
        <f>IFERROR(__xludf.DUMMYFUNCTION("LOWER(REGEXREPLACE(B2326&amp;"" ""&amp;C2326,""[^а-яa-z0-9 ]"","" ""))")," нтерактивная панель        mart  anel  75 дюймов ")</f>
        <v> нтерактивная панель        mart  anel  75 дюймов </v>
      </c>
    </row>
    <row r="2327">
      <c r="A2327" s="35" t="s">
        <v>5319</v>
      </c>
      <c r="B2327" s="31" t="s">
        <v>5320</v>
      </c>
      <c r="C2327" s="31"/>
      <c r="D2327" s="37" t="s">
        <v>14</v>
      </c>
      <c r="E2327" s="38">
        <v>1.0</v>
      </c>
      <c r="F2327" s="38">
        <v>63.0</v>
      </c>
      <c r="G2327" s="11">
        <v>1196257.0</v>
      </c>
      <c r="H2327" s="34" t="str">
        <f>IFERROR(__xludf.DUMMYFUNCTION("LOWER(REGEXREPLACE(B2327&amp;"" ""&amp;C2327,""[^а-яa-z0-9 ]"","" ""))")," нтерактивная панель        mart  anel с камерой  75 дюймов ")</f>
        <v> нтерактивная панель        mart  anel с камерой  75 дюймов </v>
      </c>
    </row>
    <row r="2328">
      <c r="A2328" s="35" t="s">
        <v>5321</v>
      </c>
      <c r="B2328" s="31" t="s">
        <v>5322</v>
      </c>
      <c r="C2328" s="31"/>
      <c r="D2328" s="37" t="s">
        <v>14</v>
      </c>
      <c r="E2328" s="38">
        <v>1.0</v>
      </c>
      <c r="F2328" s="38">
        <v>80.0</v>
      </c>
      <c r="G2328" s="11">
        <v>1511063.0</v>
      </c>
      <c r="H2328" s="34" t="str">
        <f>IFERROR(__xludf.DUMMYFUNCTION("LOWER(REGEXREPLACE(B2328&amp;"" ""&amp;C2328,""[^а-яa-z0-9 ]"","" ""))")," нтерактивная панель        mart  anel  86 дюймов ")</f>
        <v> нтерактивная панель        mart  anel  86 дюймов </v>
      </c>
    </row>
    <row r="2329">
      <c r="A2329" s="35" t="s">
        <v>5323</v>
      </c>
      <c r="B2329" s="31" t="s">
        <v>5324</v>
      </c>
      <c r="C2329" s="31"/>
      <c r="D2329" s="37" t="s">
        <v>14</v>
      </c>
      <c r="E2329" s="38">
        <v>1.0</v>
      </c>
      <c r="F2329" s="38">
        <v>80.0</v>
      </c>
      <c r="G2329" s="11">
        <v>1699913.0</v>
      </c>
      <c r="H2329" s="34" t="str">
        <f>IFERROR(__xludf.DUMMYFUNCTION("LOWER(REGEXREPLACE(B2329&amp;"" ""&amp;C2329,""[^а-яa-z0-9 ]"","" ""))")," нтерактивная панель        mart  anel  86 дюймов  с меловой доской 998мм 1200мм ")</f>
        <v> нтерактивная панель        mart  anel  86 дюймов  с меловой доской 998мм 1200мм </v>
      </c>
    </row>
    <row r="2330">
      <c r="A2330" s="35" t="s">
        <v>5325</v>
      </c>
      <c r="B2330" s="31" t="s">
        <v>5326</v>
      </c>
      <c r="C2330" s="31"/>
      <c r="D2330" s="37" t="s">
        <v>14</v>
      </c>
      <c r="E2330" s="38">
        <v>1.0</v>
      </c>
      <c r="F2330" s="38">
        <v>50.0</v>
      </c>
      <c r="G2330" s="11">
        <v>818515.0</v>
      </c>
      <c r="H2330" s="34" t="str">
        <f>IFERROR(__xludf.DUMMYFUNCTION("LOWER(REGEXREPLACE(B2330&amp;"" ""&amp;C2330,""[^а-яa-z0-9 ]"","" ""))")," нтерактивная панель        mart  anel  65 дюймов ")</f>
        <v> нтерактивная панель        mart  anel  65 дюймов </v>
      </c>
    </row>
    <row r="2331">
      <c r="A2331" s="35" t="s">
        <v>5327</v>
      </c>
      <c r="B2331" s="31" t="s">
        <v>5328</v>
      </c>
      <c r="C2331" s="31"/>
      <c r="D2331" s="37" t="s">
        <v>14</v>
      </c>
      <c r="E2331" s="38">
        <v>1.0</v>
      </c>
      <c r="F2331" s="38">
        <v>63.0</v>
      </c>
      <c r="G2331" s="11">
        <v>1007407.0</v>
      </c>
      <c r="H2331" s="34" t="str">
        <f>IFERROR(__xludf.DUMMYFUNCTION("LOWER(REGEXREPLACE(B2331&amp;"" ""&amp;C2331,""[^а-яa-z0-9 ]"","" ""))")," нтерактивная панель  iotouch  mart  anel  75 дюймов ")</f>
        <v> нтерактивная панель  iotouch  mart  anel  75 дюймов </v>
      </c>
    </row>
    <row r="2332">
      <c r="A2332" s="35" t="s">
        <v>5329</v>
      </c>
      <c r="B2332" s="31" t="s">
        <v>5330</v>
      </c>
      <c r="C2332" s="31"/>
      <c r="D2332" s="37" t="s">
        <v>14</v>
      </c>
      <c r="E2332" s="38">
        <v>1.0</v>
      </c>
      <c r="F2332" s="38">
        <v>80.0</v>
      </c>
      <c r="G2332" s="11">
        <v>1574013.0</v>
      </c>
      <c r="H2332" s="34" t="str">
        <f>IFERROR(__xludf.DUMMYFUNCTION("LOWER(REGEXREPLACE(B2332&amp;"" ""&amp;C2332,""[^а-яa-z0-9 ]"","" ""))")," нтерактивная панель  iotouch  mart  anel  86 дюймов ")</f>
        <v> нтерактивная панель  iotouch  mart  anel  86 дюймов </v>
      </c>
    </row>
    <row r="2333">
      <c r="A2333" s="35" t="s">
        <v>5331</v>
      </c>
      <c r="B2333" s="31" t="s">
        <v>5332</v>
      </c>
      <c r="C2333" s="31"/>
      <c r="D2333" s="37" t="s">
        <v>14</v>
      </c>
      <c r="E2333" s="38">
        <v>1.0</v>
      </c>
      <c r="F2333" s="39">
        <v>47.3</v>
      </c>
      <c r="G2333" s="11">
        <v>953901.0</v>
      </c>
      <c r="H2333" s="34" t="str">
        <f>IFERROR(__xludf.DUMMYFUNCTION("LOWER(REGEXREPLACE(B2333&amp;"" ""&amp;C2333,""[^а-яa-z0-9 ]"","" ""))")," нтерактивная сенсорная панель    75  3    75 дюймов ")</f>
        <v> нтерактивная сенсорная панель    75  3    75 дюймов </v>
      </c>
    </row>
    <row r="2334">
      <c r="A2334" s="35" t="s">
        <v>5333</v>
      </c>
      <c r="B2334" s="31" t="s">
        <v>5334</v>
      </c>
      <c r="C2334" s="31"/>
      <c r="D2334" s="37" t="s">
        <v>14</v>
      </c>
      <c r="E2334" s="38">
        <v>1.0</v>
      </c>
      <c r="F2334" s="38">
        <v>35.0</v>
      </c>
      <c r="G2334" s="11">
        <v>896954.0</v>
      </c>
      <c r="H2334" s="34" t="str">
        <f>IFERROR(__xludf.DUMMYFUNCTION("LOWER(REGEXREPLACE(B2334&amp;"" ""&amp;C2334,""[^а-яa-z0-9 ]"","" ""))")," нтерактивная сенсорная панель     65  3    65 дюймов ")</f>
        <v> нтерактивная сенсорная панель     65  3    65 дюймов </v>
      </c>
    </row>
    <row r="2335">
      <c r="A2335" s="35" t="s">
        <v>5335</v>
      </c>
      <c r="B2335" s="31" t="s">
        <v>5336</v>
      </c>
      <c r="C2335" s="31"/>
      <c r="D2335" s="37" t="s">
        <v>14</v>
      </c>
      <c r="E2335" s="38">
        <v>1.0</v>
      </c>
      <c r="F2335" s="39">
        <v>26.1</v>
      </c>
      <c r="G2335" s="11">
        <v>793443.0</v>
      </c>
      <c r="H2335" s="34" t="str">
        <f>IFERROR(__xludf.DUMMYFUNCTION("LOWER(REGEXREPLACE(B2335&amp;"" ""&amp;C2335,""[^а-яa-z0-9 ]"","" ""))")," нтерактивная сенсорная панель     55  3    55 дюймов ")</f>
        <v> нтерактивная сенсорная панель     55  3    55 дюймов </v>
      </c>
    </row>
    <row r="2336">
      <c r="A2336" s="35" t="s">
        <v>5337</v>
      </c>
      <c r="B2336" s="31" t="s">
        <v>5338</v>
      </c>
      <c r="C2336" s="31" t="s">
        <v>5339</v>
      </c>
      <c r="D2336" s="37" t="s">
        <v>14</v>
      </c>
      <c r="E2336" s="38">
        <v>1.0</v>
      </c>
      <c r="F2336" s="39">
        <v>44.7</v>
      </c>
      <c r="G2336" s="11">
        <v>800512.0</v>
      </c>
      <c r="H2336" s="34" t="str">
        <f>IFERROR(__xludf.DUMMYFUNCTION("LOWER(REGEXREPLACE(B2336&amp;"" ""&amp;C2336,""[^а-яa-z0-9 ]"","" ""))"),"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7">
      <c r="A2337" s="35" t="s">
        <v>5340</v>
      </c>
      <c r="B2337" s="31" t="s">
        <v>5341</v>
      </c>
      <c r="C2337" s="31" t="s">
        <v>5342</v>
      </c>
      <c r="D2337" s="37" t="s">
        <v>14</v>
      </c>
      <c r="E2337" s="38">
        <v>1.0</v>
      </c>
      <c r="F2337" s="38">
        <v>49.0</v>
      </c>
      <c r="G2337" s="11">
        <v>1052326.0</v>
      </c>
      <c r="H2337" s="34" t="str">
        <f>IFERROR(__xludf.DUMMYFUNCTION("LOWER(REGEXREPLACE(B2337&amp;"" ""&amp;C2337,""[^а-яa-z0-9 ]"","" ""))"),"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8">
      <c r="A2338" s="35" t="s">
        <v>5343</v>
      </c>
      <c r="B2338" s="31" t="s">
        <v>5344</v>
      </c>
      <c r="C2338" s="31" t="s">
        <v>5345</v>
      </c>
      <c r="D2338" s="37" t="s">
        <v>14</v>
      </c>
      <c r="E2338" s="38">
        <v>1.0</v>
      </c>
      <c r="F2338" s="40">
        <v>60.55</v>
      </c>
      <c r="G2338" s="11">
        <v>957939.0</v>
      </c>
      <c r="H2338" s="34" t="str">
        <f>IFERROR(__xludf.DUMMYFUNCTION("LOWER(REGEXREPLACE(B2338&amp;"" ""&amp;C2338,""[^а-яa-z0-9 ]"","" ""))"),"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9">
      <c r="A2339" s="35" t="s">
        <v>5346</v>
      </c>
      <c r="B2339" s="31" t="s">
        <v>5347</v>
      </c>
      <c r="C2339" s="31" t="s">
        <v>5348</v>
      </c>
      <c r="D2339" s="37" t="s">
        <v>14</v>
      </c>
      <c r="E2339" s="38">
        <v>1.0</v>
      </c>
      <c r="F2339" s="40">
        <v>68.85</v>
      </c>
      <c r="G2339" s="11">
        <v>1520020.0</v>
      </c>
      <c r="H2339" s="34" t="str">
        <f>IFERROR(__xludf.DUMMYFUNCTION("LOWER(REGEXREPLACE(B2339&amp;"" ""&amp;C2339,""[^а-яa-z0-9 ]"","" ""))"),"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0">
      <c r="A2340" s="35" t="s">
        <v>5349</v>
      </c>
      <c r="B2340" s="31" t="s">
        <v>5350</v>
      </c>
      <c r="C2340" s="31" t="s">
        <v>5351</v>
      </c>
      <c r="D2340" s="37" t="s">
        <v>14</v>
      </c>
      <c r="E2340" s="38">
        <v>1.0</v>
      </c>
      <c r="F2340" s="39">
        <v>75.9</v>
      </c>
      <c r="G2340" s="11">
        <v>1353675.0</v>
      </c>
      <c r="H2340" s="34" t="str">
        <f>IFERROR(__xludf.DUMMYFUNCTION("LOWER(REGEXREPLACE(B2340&amp;"" ""&amp;C2340,""[^а-яa-z0-9 ]"","" ""))"),"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1">
      <c r="A2341" s="35" t="s">
        <v>5352</v>
      </c>
      <c r="B2341" s="31" t="s">
        <v>5353</v>
      </c>
      <c r="C2341" s="31" t="s">
        <v>5354</v>
      </c>
      <c r="D2341" s="37" t="s">
        <v>14</v>
      </c>
      <c r="E2341" s="38">
        <v>1.0</v>
      </c>
      <c r="F2341" s="40">
        <v>82.85</v>
      </c>
      <c r="G2341" s="11">
        <v>1969709.0</v>
      </c>
      <c r="H2341" s="34" t="str">
        <f>IFERROR(__xludf.DUMMYFUNCTION("LOWER(REGEXREPLACE(B2341&amp;"" ""&amp;C2341,""[^а-яa-z0-9 ]"","" ""))"),"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2">
      <c r="A2342" s="35" t="s">
        <v>5355</v>
      </c>
      <c r="B2342" s="31" t="s">
        <v>5356</v>
      </c>
      <c r="C2342" s="31" t="s">
        <v>5357</v>
      </c>
      <c r="D2342" s="37" t="s">
        <v>14</v>
      </c>
      <c r="E2342" s="38">
        <v>1.0</v>
      </c>
      <c r="F2342" s="39">
        <v>89.3</v>
      </c>
      <c r="G2342" s="11">
        <v>1798866.0</v>
      </c>
      <c r="H2342" s="34" t="str">
        <f>IFERROR(__xludf.DUMMYFUNCTION("LOWER(REGEXREPLACE(B2342&amp;"" ""&amp;C2342,""[^а-яa-z0-9 ]"","" ""))"),"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"&amp;"                                         рограммное обеспечения        share для беспроводной передачи с других устройств     строенный сканер отпечатка пальца для авторизации преподавателя ")</f>
        <v>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рограммное обеспечения        share для беспроводной передачи с других устройств     строенный сканер отпечатка пальца для авторизации преподавателя </v>
      </c>
    </row>
    <row r="2343">
      <c r="A2343" s="35" t="s">
        <v>5358</v>
      </c>
      <c r="B2343" s="31" t="s">
        <v>5359</v>
      </c>
      <c r="C2343" s="31"/>
      <c r="D2343" s="37" t="s">
        <v>14</v>
      </c>
      <c r="E2343" s="38">
        <v>1.0</v>
      </c>
      <c r="F2343" s="38">
        <v>77.0</v>
      </c>
      <c r="G2343" s="11">
        <v>1088723.0</v>
      </c>
      <c r="H2343" s="34" t="str">
        <f>IFERROR(__xludf.DUMMYFUNCTION("LOWER(REGEXREPLACE(B2343&amp;"" ""&amp;C2343,""[^а-яa-z0-9 ]"","" ""))")," нтерактивная доска         860     20  86 дюймов ")</f>
        <v> нтерактивная доска         860     20  86 дюймов </v>
      </c>
    </row>
    <row r="2344">
      <c r="A2344" s="35" t="s">
        <v>5360</v>
      </c>
      <c r="B2344" s="31" t="s">
        <v>5361</v>
      </c>
      <c r="C2344" s="31"/>
      <c r="D2344" s="37" t="s">
        <v>14</v>
      </c>
      <c r="E2344" s="38">
        <v>1.0</v>
      </c>
      <c r="F2344" s="38">
        <v>56.0</v>
      </c>
      <c r="G2344" s="11">
        <v>737535.0</v>
      </c>
      <c r="H2344" s="34" t="str">
        <f>IFERROR(__xludf.DUMMYFUNCTION("LOWER(REGEXREPLACE(B2344&amp;"" ""&amp;C2344,""[^а-яa-z0-9 ]"","" ""))")," нтерактивная доска        750    05  75 дюймов ")</f>
        <v> нтерактивная доска        750    05  75 дюймов </v>
      </c>
    </row>
    <row r="2345">
      <c r="A2345" s="35" t="s">
        <v>5362</v>
      </c>
      <c r="B2345" s="31" t="s">
        <v>5363</v>
      </c>
      <c r="C2345" s="31"/>
      <c r="D2345" s="37" t="s">
        <v>14</v>
      </c>
      <c r="E2345" s="38">
        <v>1.0</v>
      </c>
      <c r="F2345" s="38">
        <v>45.0</v>
      </c>
      <c r="G2345" s="11">
        <v>608326.0</v>
      </c>
      <c r="H2345" s="34" t="str">
        <f>IFERROR(__xludf.DUMMYFUNCTION("LOWER(REGEXREPLACE(B2345&amp;"" ""&amp;C2345,""[^а-яa-z0-9 ]"","" ""))")," нтерактивная доска          650     00 4   65 дюймов ")</f>
        <v> нтерактивная доска          650     00 4   65 дюймов </v>
      </c>
    </row>
    <row r="2346">
      <c r="A2346" s="35" t="s">
        <v>5364</v>
      </c>
      <c r="B2346" s="31" t="s">
        <v>5365</v>
      </c>
      <c r="C2346" s="31" t="s">
        <v>5366</v>
      </c>
      <c r="D2346" s="37" t="s">
        <v>14</v>
      </c>
      <c r="E2346" s="38">
        <v>1.0</v>
      </c>
      <c r="F2346" s="38">
        <v>55.0</v>
      </c>
      <c r="G2346" s="11">
        <v>989395.0</v>
      </c>
      <c r="H2346" s="34" t="str">
        <f>IFERROR(__xludf.DUMMYFUNCTION("LOWER(REGEXREPLACE(B2346&amp;"" ""&amp;C2346,""[^а-яa-z0-9 ]"","" ""))"),"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oard"&amp;"  с возможностью распознавания рукописного текста  с поддержкой более 70 языков      рограммное обеспечение           ffice для работы с документами и приложениями ")</f>
        <v>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7">
      <c r="A2347" s="35" t="s">
        <v>5367</v>
      </c>
      <c r="B2347" s="31" t="s">
        <v>5368</v>
      </c>
      <c r="C2347" s="31" t="s">
        <v>5369</v>
      </c>
      <c r="D2347" s="37" t="s">
        <v>14</v>
      </c>
      <c r="E2347" s="38">
        <v>1.0</v>
      </c>
      <c r="F2347" s="38">
        <v>70.0</v>
      </c>
      <c r="G2347" s="11">
        <v>1259231.0</v>
      </c>
      <c r="H2347" s="34" t="str">
        <f>IFERROR(__xludf.DUMMYFUNCTION("LOWER(REGEXREPLACE(B2347&amp;"" ""&amp;C2347,""[^а-яa-z0-9 ]"","" ""))"),"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8">
      <c r="A2348" s="35" t="s">
        <v>5370</v>
      </c>
      <c r="B2348" s="31" t="s">
        <v>5371</v>
      </c>
      <c r="C2348" s="31" t="s">
        <v>5372</v>
      </c>
      <c r="D2348" s="37" t="s">
        <v>14</v>
      </c>
      <c r="E2348" s="38">
        <v>1.0</v>
      </c>
      <c r="F2348" s="38">
        <v>85.0</v>
      </c>
      <c r="G2348" s="11">
        <v>1888780.0</v>
      </c>
      <c r="H2348" s="34" t="str">
        <f>IFERROR(__xludf.DUMMYFUNCTION("LOWER(REGEXREPLACE(B2348&amp;"" ""&amp;C2348,""[^а-яa-z0-9 ]"","" ""))"),"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9">
      <c r="A2349" s="35" t="s">
        <v>5373</v>
      </c>
      <c r="B2349" s="31" t="s">
        <v>5374</v>
      </c>
      <c r="C2349" s="31" t="s">
        <v>5375</v>
      </c>
      <c r="D2349" s="37" t="s">
        <v>14</v>
      </c>
      <c r="E2349" s="38">
        <v>1.0</v>
      </c>
      <c r="F2349" s="38">
        <v>46.0</v>
      </c>
      <c r="G2349" s="11">
        <v>930761.0</v>
      </c>
      <c r="H2349" s="34" t="str">
        <f>IFERROR(__xludf.DUMMYFUNCTION("LOWER(REGEXREPLACE(B2349&amp;"" ""&amp;C2349,""[^а-яa-z0-9 ]"","" ""))"),"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п"&amp;"роцессор с тактовой частотой 1 5  hz 1  b     8  b 1790x1095x114 мм  вес 46 кг      астенное крепление      x 4     истанционное управление ")</f>
        <v>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процессор с тактовой частотой 1 5  hz 1  b     8  b 1790x1095x114 мм  вес 46 кг      астенное крепление      x 4     истанционное управление </v>
      </c>
    </row>
    <row r="2350">
      <c r="A2350" s="35" t="s">
        <v>5376</v>
      </c>
      <c r="B2350" s="31" t="s">
        <v>5377</v>
      </c>
      <c r="C2350" s="31" t="s">
        <v>5378</v>
      </c>
      <c r="D2350" s="37" t="s">
        <v>14</v>
      </c>
      <c r="E2350" s="38">
        <v>1.0</v>
      </c>
      <c r="F2350" s="38">
        <v>56.0</v>
      </c>
      <c r="G2350" s="11">
        <v>1173568.0</v>
      </c>
      <c r="H2350" s="34" t="str">
        <f>IFERROR(__xludf.DUMMYFUNCTION("LOWER(REGEXREPLACE(B2350&amp;"" ""&amp;C2350,""[^а-яa-z0-9 ]"","" ""))"),"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"&amp;" aterial   ouch  urface  echnology     нфракрасный сенсорный экран   ouch  oints  20 40 точек под  indows  10 точек под  ndroid    4 ядерный  ali 51       4 b       32 b   ndriod  8 0 0      истанционное управление ")</f>
        <v>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1">
      <c r="A2351" s="35" t="s">
        <v>5379</v>
      </c>
      <c r="B2351" s="31" t="s">
        <v>5380</v>
      </c>
      <c r="C2351" s="31" t="s">
        <v>5381</v>
      </c>
      <c r="D2351" s="37" t="s">
        <v>14</v>
      </c>
      <c r="E2351" s="38">
        <v>1.0</v>
      </c>
      <c r="F2351" s="38">
        <v>72.0</v>
      </c>
      <c r="G2351" s="11">
        <v>1726629.0</v>
      </c>
      <c r="H2351" s="34" t="str">
        <f>IFERROR(__xludf.DUMMYFUNCTION("LOWER(REGEXREPLACE(B2351&amp;"" ""&amp;C2351,""[^а-яa-z0-9 ]"","" ""))"),"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e"&amp;"chnology     нфракрасный сенсорный экран   ouch  oints  20 40 точек под  indows  10 точек под  ndroid    4 ядерный  ali 51       4 b       32 b   ndriod  8 0 0      истанционное управление ")</f>
        <v>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2">
      <c r="A2352" s="35" t="s">
        <v>5382</v>
      </c>
      <c r="B2352" s="31" t="s">
        <v>5383</v>
      </c>
      <c r="C2352" s="31" t="s">
        <v>5384</v>
      </c>
      <c r="D2352" s="37" t="s">
        <v>14</v>
      </c>
      <c r="E2352" s="38">
        <v>1.0</v>
      </c>
      <c r="F2352" s="39">
        <v>71.7</v>
      </c>
      <c r="G2352" s="11">
        <v>2469250.0</v>
      </c>
      <c r="H2352" s="34" t="str">
        <f>IFERROR(__xludf.DUMMYFUNCTION("LOWER(REGEXREPLACE(B2352&amp;"" ""&amp;C2352,""[^а-яa-z0-9 ]"","" ""))"),"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"&amp;"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mart"&amp;"view     истема дистанционного мониторинга  управления и сбора данных с панелей  amsung  agic nfo     астенное металлическое      крепление  совместимое с панелью ")</f>
        <v>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martview     истема дистанционного мониторинга  управления и сбора данных с панелей  amsung  agic nfo     астенное металлическое      крепление  совместимое с панелью </v>
      </c>
    </row>
    <row r="2353">
      <c r="A2353" s="35" t="s">
        <v>5385</v>
      </c>
      <c r="B2353" s="31" t="s">
        <v>5386</v>
      </c>
      <c r="C2353" s="31" t="s">
        <v>5387</v>
      </c>
      <c r="D2353" s="37" t="s">
        <v>14</v>
      </c>
      <c r="E2353" s="38">
        <v>1.0</v>
      </c>
      <c r="F2353" s="39">
        <v>71.7</v>
      </c>
      <c r="G2353" s="11">
        <v>1811866.0</v>
      </c>
      <c r="H2353" s="34" t="str">
        <f>IFERROR(__xludf.DUMMYFUNCTION("LOWER(REGEXREPLACE(B2353&amp;"" ""&amp;C2353,""[^а-яa-z0-9 ]"","" ""))"),"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лич"&amp;"ных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ме"&amp;"таллическое      крепление  совместимое с панелью ")</f>
        <v>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v>
      </c>
    </row>
    <row r="2354">
      <c r="A2354" s="35" t="s">
        <v>5388</v>
      </c>
      <c r="B2354" s="31" t="s">
        <v>5389</v>
      </c>
      <c r="C2354" s="31" t="s">
        <v>5390</v>
      </c>
      <c r="D2354" s="37" t="s">
        <v>14</v>
      </c>
      <c r="E2354" s="38">
        <v>1.0</v>
      </c>
      <c r="F2354" s="38">
        <v>39.0</v>
      </c>
      <c r="G2354" s="11">
        <v>1706582.0</v>
      </c>
      <c r="H2354" s="34" t="str">
        <f>IFERROR(__xludf.DUMMYFUNCTION("LOWER(REGEXREPLACE(B2354&amp;"" ""&amp;C2354,""[^а-яa-z0-9 ]"","" ""))"),"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5">
      <c r="A2355" s="35" t="s">
        <v>5391</v>
      </c>
      <c r="B2355" s="31" t="s">
        <v>5392</v>
      </c>
      <c r="C2355" s="31" t="s">
        <v>5393</v>
      </c>
      <c r="D2355" s="37" t="s">
        <v>14</v>
      </c>
      <c r="E2355" s="38">
        <v>1.0</v>
      </c>
      <c r="F2355" s="38">
        <v>49.0</v>
      </c>
      <c r="G2355" s="11">
        <v>2149380.0</v>
      </c>
      <c r="H2355" s="34" t="str">
        <f>IFERROR(__xludf.DUMMYFUNCTION("LOWER(REGEXREPLACE(B2355&amp;"" ""&amp;C2355,""[^а-яa-z0-9 ]"","" ""))"),"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6">
      <c r="A2356" s="35" t="s">
        <v>5394</v>
      </c>
      <c r="B2356" s="31" t="s">
        <v>5395</v>
      </c>
      <c r="C2356" s="31" t="s">
        <v>5396</v>
      </c>
      <c r="D2356" s="37" t="s">
        <v>14</v>
      </c>
      <c r="E2356" s="38">
        <v>1.0</v>
      </c>
      <c r="F2356" s="38">
        <v>65.0</v>
      </c>
      <c r="G2356" s="11">
        <v>2661926.0</v>
      </c>
      <c r="H2356" s="34" t="str">
        <f>IFERROR(__xludf.DUMMYFUNCTION("LOWER(REGEXREPLACE(B2356&amp;"" ""&amp;C2356,""[^а-яa-z0-9 ]"","" ""))"),"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"&amp;"  ")</f>
        <v>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7">
      <c r="A2357" s="35" t="s">
        <v>5397</v>
      </c>
      <c r="B2357" s="31" t="s">
        <v>5398</v>
      </c>
      <c r="C2357" s="31" t="s">
        <v>5399</v>
      </c>
      <c r="D2357" s="37" t="s">
        <v>14</v>
      </c>
      <c r="E2357" s="38">
        <v>1.0</v>
      </c>
      <c r="F2357" s="38">
        <v>39.0</v>
      </c>
      <c r="G2357" s="11">
        <v>1790392.0</v>
      </c>
      <c r="H2357" s="34" t="str">
        <f>IFERROR(__xludf.DUMMYFUNCTION("LOWER(REGEXREPLACE(B2357&amp;"" ""&amp;C2357,""[^а-яa-z0-9 ]"","" ""))")," нтерактивная панель  ew  ine  lara  65 дюймов  нтерактивная  анель  ew  ine  lara 65  дюймов       4           8   128    ndroid  11  8 ядерный процессор   ptical  onding        amera                                                                       "&amp;"     нтибактериальное защитное стекло     атчик движения                                                                       ewline  lassroom  ools для проведения уроков     ewline  ngage для создания и проведения интерактивных уроков        ewline  ast"&amp;"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f>
        <v> нтерактивная панель  ew  ine  lara  65 дюймов  нтерактивная  анель  ew  ine  lara 65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8">
      <c r="A2358" s="35" t="s">
        <v>5400</v>
      </c>
      <c r="B2358" s="31" t="s">
        <v>5401</v>
      </c>
      <c r="C2358" s="31" t="s">
        <v>5402</v>
      </c>
      <c r="D2358" s="37" t="s">
        <v>14</v>
      </c>
      <c r="E2358" s="38">
        <v>1.0</v>
      </c>
      <c r="F2358" s="38">
        <v>49.0</v>
      </c>
      <c r="G2358" s="11">
        <v>2240106.0</v>
      </c>
      <c r="H2358" s="34" t="str">
        <f>IFERROR(__xludf.DUMMYFUNCTION("LOWER(REGEXREPLACE(B2358&amp;"" ""&amp;C2358,""[^а-яa-z0-9 ]"","" ""))")," нтерактивная панель  ew  ine  lara  75 дюймов  нтерактивная  анель  ew  ine  lara 75   дюймов        4           8   128    ndroid  11  8 ядерный процессор   ptical  onding        amera                                                   нтибактериальное з"&amp;"ащитное стекло                                                                                атчик движения     ewline  lassroom  ools для проведения уроков                                                                           ewline  ngage для созда"&amp;"ния и проведения интерактивных уроков                                                        ewline  ast для транслирования экрана мобильных устройств на дисплей                                                                                 ewline  roadc"&amp;"ast для вывода дисплея на 200 удаленных устройств                                    ewline  isplay  anagement чтобы управлять и отслеживать состояние всех устройств с одного единственного    ")</f>
        <v> нтерактивная панель  ew  ine  lara  75 дюймов  нтерактивная  анель  ew  ine  lara 75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9">
      <c r="A2359" s="35" t="s">
        <v>5403</v>
      </c>
      <c r="B2359" s="31" t="s">
        <v>5404</v>
      </c>
      <c r="C2359" s="31" t="s">
        <v>5405</v>
      </c>
      <c r="D2359" s="37" t="s">
        <v>14</v>
      </c>
      <c r="E2359" s="38">
        <v>1.0</v>
      </c>
      <c r="F2359" s="38">
        <v>65.0</v>
      </c>
      <c r="G2359" s="11">
        <v>2770434.0</v>
      </c>
      <c r="H2359" s="34" t="str">
        <f>IFERROR(__xludf.DUMMYFUNCTION("LOWER(REGEXREPLACE(B2359&amp;"" ""&amp;C2359,""[^а-яa-z0-9 ]"","" ""))")," нтерактивная панель  ew  ine  lara  86 дюймов  нтерактивная  анель  ew  ine  lara 86 дюймов       4           8   128    ndroid  11  8 ядерный процессор   ptical  onding        amera                                                   нтибактериальное защи"&amp;"тное стекло                                                                                атчик движения     ewline  lassroom  ools для проведения уроков                                                                           ewline  ngage для создания"&amp;" и проведения интерактивных уроков                                                        ewline  ast для транслирования экрана мобильных устройств на дисплей                                                                                 ewline  roadcast"&amp;" для вывода дисплея на 200 удаленных устройств                                    ewline  isplay  anagement чтобы управлять и отслеживать состояние всех устройств с одного единственного    ")</f>
        <v> нтерактивная панель  ew  ine  lara  86 дюймов  нтерактивная  анель  ew  ine  lara 86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60">
      <c r="A2360" s="35" t="s">
        <v>5406</v>
      </c>
      <c r="B2360" s="31" t="s">
        <v>5407</v>
      </c>
      <c r="C2360" s="31"/>
      <c r="D2360" s="37" t="s">
        <v>14</v>
      </c>
      <c r="E2360" s="38">
        <v>1.0</v>
      </c>
      <c r="F2360" s="39">
        <v>46.1</v>
      </c>
      <c r="G2360" s="11">
        <v>1151238.0</v>
      </c>
      <c r="H2360" s="34" t="str">
        <f>IFERROR(__xludf.DUMMYFUNCTION("LOWER(REGEXREPLACE(B2360&amp;"" ""&amp;C2360,""[^а-яa-z0-9 ]"","" ""))")," нтерактивная панель  en    6503  65 дюймов ")</f>
        <v> нтерактивная панель  en    6503  65 дюймов </v>
      </c>
    </row>
    <row r="2361">
      <c r="A2361" s="35" t="s">
        <v>5408</v>
      </c>
      <c r="B2361" s="31" t="s">
        <v>5409</v>
      </c>
      <c r="C2361" s="31"/>
      <c r="D2361" s="37" t="s">
        <v>14</v>
      </c>
      <c r="E2361" s="38">
        <v>1.0</v>
      </c>
      <c r="F2361" s="39">
        <v>61.9</v>
      </c>
      <c r="G2361" s="11">
        <v>1397910.0</v>
      </c>
      <c r="H2361" s="34" t="str">
        <f>IFERROR(__xludf.DUMMYFUNCTION("LOWER(REGEXREPLACE(B2361&amp;"" ""&amp;C2361,""[^а-яa-z0-9 ]"","" ""))")," нтерактивная панель  en    7503  75 дюймов ")</f>
        <v> нтерактивная панель  en    7503  75 дюймов </v>
      </c>
    </row>
    <row r="2362">
      <c r="A2362" s="35" t="s">
        <v>5410</v>
      </c>
      <c r="B2362" s="31" t="s">
        <v>5411</v>
      </c>
      <c r="C2362" s="31"/>
      <c r="D2362" s="37" t="s">
        <v>14</v>
      </c>
      <c r="E2362" s="38">
        <v>1.0</v>
      </c>
      <c r="F2362" s="39">
        <v>76.6</v>
      </c>
      <c r="G2362" s="11">
        <v>1885155.0</v>
      </c>
      <c r="H2362" s="34" t="str">
        <f>IFERROR(__xludf.DUMMYFUNCTION("LOWER(REGEXREPLACE(B2362&amp;"" ""&amp;C2362,""[^а-яa-z0-9 ]"","" ""))")," нтерактивная панель  en    8603  86 дюймов ")</f>
        <v> нтерактивная панель  en    8603  86 дюймов </v>
      </c>
    </row>
    <row r="2363">
      <c r="A2363" s="35" t="s">
        <v>5412</v>
      </c>
      <c r="B2363" s="31" t="s">
        <v>5413</v>
      </c>
      <c r="C2363" s="31"/>
      <c r="D2363" s="37" t="s">
        <v>14</v>
      </c>
      <c r="E2363" s="38">
        <v>1.0</v>
      </c>
      <c r="F2363" s="38">
        <v>50.0</v>
      </c>
      <c r="G2363" s="11">
        <v>1056825.0</v>
      </c>
      <c r="H2363" s="34" t="str">
        <f>IFERROR(__xludf.DUMMYFUNCTION("LOWER(REGEXREPLACE(B2363&amp;"" ""&amp;C2363,""[^а-яa-z0-9 ]"","" ""))")," нтерактивная панель  iala  65 дюймов 2 16  на мобильной стойке ")</f>
        <v> нтерактивная панель  iala  65 дюймов 2 16  на мобильной стойке </v>
      </c>
    </row>
    <row r="2364">
      <c r="A2364" s="35" t="s">
        <v>5414</v>
      </c>
      <c r="B2364" s="31" t="s">
        <v>5415</v>
      </c>
      <c r="C2364" s="31"/>
      <c r="D2364" s="37" t="s">
        <v>14</v>
      </c>
      <c r="E2364" s="38">
        <v>1.0</v>
      </c>
      <c r="F2364" s="38">
        <v>78.0</v>
      </c>
      <c r="G2364" s="11">
        <v>1196307.0</v>
      </c>
      <c r="H2364" s="34" t="str">
        <f>IFERROR(__xludf.DUMMYFUNCTION("LOWER(REGEXREPLACE(B2364&amp;"" ""&amp;C2364,""[^а-яa-z0-9 ]"","" ""))")," нтерактивная панель  iala  75 дюймов 2 16  на мобильной стойке ")</f>
        <v> нтерактивная панель  iala  75 дюймов 2 16  на мобильной стойке </v>
      </c>
    </row>
    <row r="2365">
      <c r="A2365" s="35" t="s">
        <v>5416</v>
      </c>
      <c r="B2365" s="31" t="s">
        <v>5417</v>
      </c>
      <c r="C2365" s="31"/>
      <c r="D2365" s="37" t="s">
        <v>14</v>
      </c>
      <c r="E2365" s="38">
        <v>1.0</v>
      </c>
      <c r="F2365" s="38">
        <v>78.0</v>
      </c>
      <c r="G2365" s="11">
        <v>1502064.0</v>
      </c>
      <c r="H2365" s="34" t="str">
        <f>IFERROR(__xludf.DUMMYFUNCTION("LOWER(REGEXREPLACE(B2365&amp;"" ""&amp;C2365,""[^а-яa-z0-9 ]"","" ""))")," нтерактивная панель  iala  75 дюймов 8 128  на мобильной стойке ")</f>
        <v> нтерактивная панель  iala  75 дюймов 8 128  на мобильной стойке </v>
      </c>
    </row>
    <row r="2366">
      <c r="A2366" s="35" t="s">
        <v>5418</v>
      </c>
      <c r="B2366" s="31" t="s">
        <v>5419</v>
      </c>
      <c r="C2366" s="31"/>
      <c r="D2366" s="37" t="s">
        <v>14</v>
      </c>
      <c r="E2366" s="38">
        <v>1.0</v>
      </c>
      <c r="F2366" s="38">
        <v>90.0</v>
      </c>
      <c r="G2366" s="11">
        <v>1556061.0</v>
      </c>
      <c r="H2366" s="34" t="str">
        <f>IFERROR(__xludf.DUMMYFUNCTION("LOWER(REGEXREPLACE(B2366&amp;"" ""&amp;C2366,""[^а-яa-z0-9 ]"","" ""))")," нтерактивная панель  iala  86 дюймов 2 16  на мобильной стойке ")</f>
        <v> нтерактивная панель  iala  86 дюймов 2 16  на мобильной стойке </v>
      </c>
    </row>
    <row r="2367">
      <c r="A2367" s="35" t="s">
        <v>5420</v>
      </c>
      <c r="B2367" s="31" t="s">
        <v>5421</v>
      </c>
      <c r="C2367" s="31"/>
      <c r="D2367" s="37" t="s">
        <v>14</v>
      </c>
      <c r="E2367" s="38">
        <v>1.0</v>
      </c>
      <c r="F2367" s="38">
        <v>90.0</v>
      </c>
      <c r="G2367" s="11">
        <v>1663975.0</v>
      </c>
      <c r="H2367" s="34" t="str">
        <f>IFERROR(__xludf.DUMMYFUNCTION("LOWER(REGEXREPLACE(B2367&amp;"" ""&amp;C2367,""[^а-яa-z0-9 ]"","" ""))")," нтерактивная панель  iala  86 дюймов 8 128  на мобильной стойке ")</f>
        <v> нтерактивная панель  iala  86 дюймов 8 128  на мобильной стойке </v>
      </c>
    </row>
    <row r="2368">
      <c r="A2368" s="35" t="s">
        <v>5422</v>
      </c>
      <c r="B2368" s="31" t="s">
        <v>5423</v>
      </c>
      <c r="C2368" s="31"/>
      <c r="D2368" s="37" t="s">
        <v>14</v>
      </c>
      <c r="E2368" s="38">
        <v>1.0</v>
      </c>
      <c r="F2368" s="38">
        <v>115.0</v>
      </c>
      <c r="G2368" s="11">
        <v>1789957.0</v>
      </c>
      <c r="H2368" s="34" t="str">
        <f>IFERROR(__xludf.DUMMYFUNCTION("LOWER(REGEXREPLACE(B2368&amp;"" ""&amp;C2368,""[^а-яa-z0-9 ]"","" ""))")," нтерактивная панель  iala  98 дюймов 2 16  на мобильной стойке ")</f>
        <v> нтерактивная панель  iala  98 дюймов 2 16  на мобильной стойке </v>
      </c>
    </row>
    <row r="2369">
      <c r="A2369" s="35" t="s">
        <v>5424</v>
      </c>
      <c r="B2369" s="31" t="s">
        <v>5425</v>
      </c>
      <c r="C2369" s="31"/>
      <c r="D2369" s="37" t="s">
        <v>14</v>
      </c>
      <c r="E2369" s="38">
        <v>1.0</v>
      </c>
      <c r="F2369" s="38">
        <v>115.0</v>
      </c>
      <c r="G2369" s="11">
        <v>2248593.0</v>
      </c>
      <c r="H2369" s="34" t="str">
        <f>IFERROR(__xludf.DUMMYFUNCTION("LOWER(REGEXREPLACE(B2369&amp;"" ""&amp;C2369,""[^а-яa-z0-9 ]"","" ""))")," нтерактивная панель  iala  98 дюймов 8 128  на мобильной стойке ")</f>
        <v> нтерактивная панель  iala  98 дюймов 8 128  на мобильной стойке </v>
      </c>
    </row>
    <row r="2370">
      <c r="A2370" s="35" t="s">
        <v>5426</v>
      </c>
      <c r="B2370" s="9" t="s">
        <v>5427</v>
      </c>
      <c r="C2370" s="31" t="s">
        <v>5428</v>
      </c>
      <c r="D2370" s="37" t="s">
        <v>14</v>
      </c>
      <c r="E2370" s="38">
        <v>1.0</v>
      </c>
      <c r="F2370" s="38">
        <v>75.0</v>
      </c>
      <c r="G2370" s="11">
        <v>1739189.0</v>
      </c>
      <c r="H2370" s="34" t="str">
        <f>IFERROR(__xludf.DUMMYFUNCTION("LOWER(REGEXREPLACE(B2370&amp;"" ""&amp;C2370,""[^а-яa-z0-9 ]"","" ""))"),"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онтрас"&amp;"тность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"&amp;"  3 0    3 2  ype     4 шт             ype   8    30 z  isplay  ort 1 4a       2 3 and      1 3      3 2  en 1  4 5   power delivery   1 шт   i  i  802 11ac      802 11ax   i  i 6e   luetooth 5 0  luetooth 5 2     x 1       для создания 3d уроков   то биб"&amp;"лиотека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f>
        <v>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v>
      </c>
    </row>
    <row r="2371">
      <c r="A2371" s="35" t="s">
        <v>5429</v>
      </c>
      <c r="B2371" s="9" t="s">
        <v>5430</v>
      </c>
      <c r="C2371" s="31"/>
      <c r="D2371" s="37" t="s">
        <v>68</v>
      </c>
      <c r="E2371" s="38">
        <v>1.0</v>
      </c>
      <c r="F2371" s="39">
        <v>64.3</v>
      </c>
      <c r="G2371" s="11">
        <v>2158519.0</v>
      </c>
      <c r="H2371" s="34" t="str">
        <f>IFERROR(__xludf.DUMMYFUNCTION("LOWER(REGEXREPLACE(B2371&amp;"" ""&amp;C2371,""[^а-яa-z0-9 ]"","" ""))")," нтерактивная панель        ltra  75 дюймов  в комплекте с компьютером      ore i5 1035  8      256    indows 10  ")</f>
        <v> нтерактивная панель        ltra  75 дюймов  в комплекте с компьютером      ore i5 1035  8      256    indows 10  </v>
      </c>
    </row>
    <row r="2372">
      <c r="A2372" s="35" t="s">
        <v>5431</v>
      </c>
      <c r="B2372" s="31" t="s">
        <v>5432</v>
      </c>
      <c r="C2372" s="31" t="s">
        <v>5433</v>
      </c>
      <c r="D2372" s="37" t="s">
        <v>14</v>
      </c>
      <c r="E2372" s="38">
        <v>1.0</v>
      </c>
      <c r="F2372" s="38">
        <v>73.0</v>
      </c>
      <c r="G2372" s="11">
        <v>1484285.0</v>
      </c>
      <c r="H2372" s="34" t="str">
        <f>IFERROR(__xludf.DUMMYFUNCTION("LOWER(REGEXREPLACE(B2372&amp;"" ""&amp;C2372,""[^а-яa-z0-9 ]"","" ""))"),"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"&amp;"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"&amp;"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"&amp;"для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подк"&amp;"лючения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"&amp;"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учител"&amp;"я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динамик"&amp;"и 2 х 15  т     одуль  i  i и  luetooth  romethean     астенное крепление ")</f>
        <v>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динамики 2 х 15  т     одуль  i  i и  luetooth  romethean     астенное крепление </v>
      </c>
    </row>
    <row r="2373">
      <c r="A2373" s="35" t="s">
        <v>5434</v>
      </c>
      <c r="B2373" s="31" t="s">
        <v>5435</v>
      </c>
      <c r="C2373" s="31" t="s">
        <v>5436</v>
      </c>
      <c r="D2373" s="37" t="s">
        <v>14</v>
      </c>
      <c r="E2373" s="38">
        <v>1.0</v>
      </c>
      <c r="F2373" s="39">
        <v>61.6</v>
      </c>
      <c r="G2373" s="11">
        <v>1224424.0</v>
      </c>
      <c r="H2373" s="34" t="str">
        <f>IFERROR(__xludf.DUMMYFUNCTION("LOWER(REGEXREPLACE(B2373&amp;"" ""&amp;C2373,""[^а-яa-z0-9 ]"","" ""))"),"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оо"&amp;"су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датчи"&amp;"к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созд"&amp;"ани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безб"&amp;"атарейная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"&amp;"0 х 3  внешний микрофон х 1  региональный кабель для питания длиной 3м  1шт   соответствие международному стандарту энергоэффективности  nergy  tar ")</f>
        <v>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0 х 3  внешний микрофон х 1  региональный кабель для питания длиной 3м  1шт   соответствие международному стандарту энергоэффективности  nergy  tar </v>
      </c>
    </row>
    <row r="2374">
      <c r="A2374" s="35" t="s">
        <v>5437</v>
      </c>
      <c r="B2374" s="31" t="s">
        <v>5438</v>
      </c>
      <c r="C2374" s="31" t="s">
        <v>5439</v>
      </c>
      <c r="D2374" s="37" t="s">
        <v>14</v>
      </c>
      <c r="E2374" s="38">
        <v>1.0</v>
      </c>
      <c r="F2374" s="38">
        <v>37.0</v>
      </c>
      <c r="G2374" s="11">
        <v>809479.0</v>
      </c>
      <c r="H2374" s="34" t="str">
        <f>IFERROR(__xludf.DUMMYFUNCTION("LOWER(REGEXREPLACE(B2374&amp;"" ""&amp;C2374,""[^а-яa-z0-9 ]"","" ""))"),"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компь"&amp;"ютера интерфейсы            2 0      3 0      ype       ouch    45                                        232    luetooth 5 0   i i 2 4 5  hz антибликовое и антивандальное покрытие экрана  в комплекте 2 маркера  1 указка  пульт  крепление  esa   1 шт ")</f>
        <v>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5">
      <c r="A2375" s="35" t="s">
        <v>5440</v>
      </c>
      <c r="B2375" s="31" t="s">
        <v>5441</v>
      </c>
      <c r="C2375" s="31" t="s">
        <v>5442</v>
      </c>
      <c r="D2375" s="37" t="s">
        <v>14</v>
      </c>
      <c r="E2375" s="38">
        <v>1.0</v>
      </c>
      <c r="F2375" s="38">
        <v>47.0</v>
      </c>
      <c r="G2375" s="11">
        <v>989369.0</v>
      </c>
      <c r="H2375" s="34" t="str">
        <f>IFERROR(__xludf.DUMMYFUNCTION("LOWER(REGEXREPLACE(B2375&amp;"" ""&amp;C2375,""[^а-яa-z0-9 ]"","" ""))"),"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интерфейсы"&amp;"            2 0      3 0      ype       ouch    45                                        232    luetooth 5 0   i i 2 4 5  hz  антибликовое и антивандальное покрытие экрана  в комплекте 2 маркера  1 указка  пульт  крепление  esa   1 шт ")</f>
        <v>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6">
      <c r="A2376" s="35" t="s">
        <v>5443</v>
      </c>
      <c r="B2376" s="31" t="s">
        <v>5444</v>
      </c>
      <c r="C2376" s="31" t="s">
        <v>5445</v>
      </c>
      <c r="D2376" s="37" t="s">
        <v>14</v>
      </c>
      <c r="E2376" s="38">
        <v>1.0</v>
      </c>
      <c r="F2376" s="38">
        <v>65.0</v>
      </c>
      <c r="G2376" s="11">
        <v>1618928.0</v>
      </c>
      <c r="H2376" s="34" t="str">
        <f>IFERROR(__xludf.DUMMYFUNCTION("LOWER(REGEXREPLACE(B2376&amp;"" ""&amp;C2376,""[^а-яa-z0-9 ]"","" ""))"),"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7">
      <c r="A2377" s="35" t="s">
        <v>5446</v>
      </c>
      <c r="B2377" s="31" t="s">
        <v>5447</v>
      </c>
      <c r="C2377" s="31" t="s">
        <v>5448</v>
      </c>
      <c r="D2377" s="37" t="s">
        <v>14</v>
      </c>
      <c r="E2377" s="38">
        <v>1.0</v>
      </c>
      <c r="F2377" s="38">
        <v>102.0</v>
      </c>
      <c r="G2377" s="11">
        <v>2518336.0</v>
      </c>
      <c r="H2377" s="34" t="str">
        <f>IFERROR(__xludf.DUMMYFUNCTION("LOWER(REGEXREPLACE(B2377&amp;"" ""&amp;C2377,""[^а-яa-z0-9 ]"","" ""))"),"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8">
      <c r="A2378" s="35" t="s">
        <v>5449</v>
      </c>
      <c r="B2378" s="9" t="s">
        <v>5450</v>
      </c>
      <c r="C2378" s="31" t="s">
        <v>5451</v>
      </c>
      <c r="D2378" s="37" t="s">
        <v>68</v>
      </c>
      <c r="E2378" s="38">
        <v>1.0</v>
      </c>
      <c r="F2378" s="38">
        <v>83.0</v>
      </c>
      <c r="G2378" s="11">
        <v>1964326.0</v>
      </c>
      <c r="H2378" s="34" t="str">
        <f>IFERROR(__xludf.DUMMYFUNCTION("LOWER(REGEXREPLACE(B2378&amp;"" ""&amp;C2378,""[^а-яa-z0-9 ]"","" ""))"),"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сиках"&amp;"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"&amp;"одновременных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цель"&amp;"нометаллический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дистан"&amp;"ционного управления   1шт  батарейки       2шт ")</f>
        <v>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дистанционного управления   1шт  батарейки       2шт </v>
      </c>
    </row>
    <row r="2379">
      <c r="A2379" s="35" t="s">
        <v>5452</v>
      </c>
      <c r="B2379" s="9" t="s">
        <v>5453</v>
      </c>
      <c r="C2379" s="31" t="s">
        <v>5454</v>
      </c>
      <c r="D2379" s="37" t="s">
        <v>14</v>
      </c>
      <c r="E2379" s="38">
        <v>1.0</v>
      </c>
      <c r="F2379" s="38">
        <v>63.0</v>
      </c>
      <c r="G2379" s="11">
        <v>1250001.0</v>
      </c>
      <c r="H2379" s="34" t="str">
        <f>IFERROR(__xludf.DUMMYFUNCTION("LOWER(REGEXREPLACE(B2379&amp;"" ""&amp;C2379,""[^а-яa-z0-9 ]"","" ""))"),"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функц"&amp;"ии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пров"&amp;"одной   45   2  100base    i  i      802 11a b g n ac с 2   2        диапазоны 2 4 и 5   ц  с поддержкой протоколов аутентификации              2     и 802 1       точка доступа  i  i   luetooth 5 0                    кабель питания   1 шт      кабель   1"&amp;"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"&amp;"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точност"&amp;"ью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матем"&amp;"атика  астрономия  культура ")</f>
        <v>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проводной   45   2  100base    i  i      802 11a b g n ac с 2   2        диапазоны 2 4 и 5   ц  с поддержкой протоколов аутентификации              2     и 802 1       точка доступа  i  i   luetooth 5 0                    кабель питания   1 шт      кабель   1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v>
      </c>
    </row>
    <row r="2380">
      <c r="A2380" s="35" t="s">
        <v>5455</v>
      </c>
      <c r="B2380" s="31" t="s">
        <v>5456</v>
      </c>
      <c r="C2380" s="31" t="s">
        <v>5457</v>
      </c>
      <c r="D2380" s="37" t="s">
        <v>14</v>
      </c>
      <c r="E2380" s="38">
        <v>1.0</v>
      </c>
      <c r="F2380" s="38">
        <v>55.0</v>
      </c>
      <c r="G2380" s="11">
        <v>926445.0</v>
      </c>
      <c r="H2380" s="34" t="str">
        <f>IFERROR(__xludf.DUMMYFUNCTION("LOWER(REGEXREPLACE(B2380&amp;"" ""&amp;C2380,""[^а-яa-z0-9 ]"","" ""))"),"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1">
      <c r="A2381" s="35" t="s">
        <v>5458</v>
      </c>
      <c r="B2381" s="9" t="s">
        <v>5459</v>
      </c>
      <c r="C2381" s="31" t="s">
        <v>5460</v>
      </c>
      <c r="D2381" s="37" t="s">
        <v>68</v>
      </c>
      <c r="E2381" s="38">
        <v>1.0</v>
      </c>
      <c r="F2381" s="38">
        <v>59.0</v>
      </c>
      <c r="G2381" s="11">
        <v>1421066.0</v>
      </c>
      <c r="H2381" s="34" t="str">
        <f>IFERROR(__xludf.DUMMYFUNCTION("LOWER(REGEXREPLACE(B2381&amp;"" ""&amp;C2381,""[^а-яa-z0-9 ]"","" ""))"),"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2">
      <c r="A2382" s="35" t="s">
        <v>5461</v>
      </c>
      <c r="B2382" s="9" t="s">
        <v>5462</v>
      </c>
      <c r="C2382" s="31" t="s">
        <v>5463</v>
      </c>
      <c r="D2382" s="37" t="s">
        <v>14</v>
      </c>
      <c r="E2382" s="38">
        <v>1.0</v>
      </c>
      <c r="F2382" s="38">
        <v>75.0</v>
      </c>
      <c r="G2382" s="11">
        <v>1214283.0</v>
      </c>
      <c r="H2382" s="34" t="str">
        <f>IFERROR(__xludf.DUMMYFUNCTION("LOWER(REGEXREPLACE(B2382&amp;"" ""&amp;C2382,""[^а-яa-z0-9 ]"","" ""))"),"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3">
      <c r="A2383" s="35" t="s">
        <v>5464</v>
      </c>
      <c r="B2383" s="9" t="s">
        <v>5465</v>
      </c>
      <c r="C2383" s="31" t="s">
        <v>5466</v>
      </c>
      <c r="D2383" s="37" t="s">
        <v>68</v>
      </c>
      <c r="E2383" s="38">
        <v>1.0</v>
      </c>
      <c r="F2383" s="38">
        <v>78.0</v>
      </c>
      <c r="G2383" s="11">
        <v>1708900.0</v>
      </c>
      <c r="H2383" s="34" t="str">
        <f>IFERROR(__xludf.DUMMYFUNCTION("LOWER(REGEXREPLACE(B2383&amp;"" ""&amp;C2383,""[^а-яa-z0-9 ]"","" ""))"),"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4">
      <c r="A2384" s="35" t="s">
        <v>5467</v>
      </c>
      <c r="B2384" s="31" t="s">
        <v>5468</v>
      </c>
      <c r="C2384" s="31" t="s">
        <v>5469</v>
      </c>
      <c r="D2384" s="37" t="s">
        <v>14</v>
      </c>
      <c r="E2384" s="38">
        <v>1.0</v>
      </c>
      <c r="F2384" s="38">
        <v>82.0</v>
      </c>
      <c r="G2384" s="11">
        <v>1618984.0</v>
      </c>
      <c r="H2384" s="34" t="str">
        <f>IFERROR(__xludf.DUMMYFUNCTION("LOWER(REGEXREPLACE(B2384&amp;"" ""&amp;C2384,""[^а-яa-z0-9 ]"","" ""))"),"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5">
      <c r="A2385" s="35" t="s">
        <v>5470</v>
      </c>
      <c r="B2385" s="9" t="s">
        <v>5471</v>
      </c>
      <c r="C2385" s="31" t="s">
        <v>5472</v>
      </c>
      <c r="D2385" s="37" t="s">
        <v>68</v>
      </c>
      <c r="E2385" s="38">
        <v>1.0</v>
      </c>
      <c r="F2385" s="38">
        <v>85.0</v>
      </c>
      <c r="G2385" s="11">
        <v>2055148.0</v>
      </c>
      <c r="H2385" s="34" t="str">
        <f>IFERROR(__xludf.DUMMYFUNCTION("LOWER(REGEXREPLACE(B2385&amp;"" ""&amp;C2385,""[^а-яa-z0-9 ]"","" ""))"),"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6">
      <c r="A2386" s="35" t="s">
        <v>5473</v>
      </c>
      <c r="B2386" s="31" t="s">
        <v>5474</v>
      </c>
      <c r="C2386" s="31" t="s">
        <v>5475</v>
      </c>
      <c r="D2386" s="37" t="s">
        <v>14</v>
      </c>
      <c r="E2386" s="38">
        <v>1.0</v>
      </c>
      <c r="F2386" s="39">
        <v>72.2</v>
      </c>
      <c r="G2386" s="11">
        <v>1058541.0</v>
      </c>
      <c r="H2386" s="34" t="str">
        <f>IFERROR(__xludf.DUMMYFUNCTION("LOWER(REGEXREPLACE(B2386&amp;"" ""&amp;C2386,""[^а-яa-z0-9 ]"","" ""))"),"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удио"&amp;"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f>
        <v>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v>
      </c>
    </row>
    <row r="2387">
      <c r="A2387" s="35" t="s">
        <v>5476</v>
      </c>
      <c r="B2387" s="31" t="s">
        <v>5477</v>
      </c>
      <c r="C2387" s="31" t="s">
        <v>5478</v>
      </c>
      <c r="D2387" s="37" t="s">
        <v>68</v>
      </c>
      <c r="E2387" s="38">
        <v>1.0</v>
      </c>
      <c r="F2387" s="38">
        <v>55.0</v>
      </c>
      <c r="G2387" s="11">
        <v>2523899.0</v>
      </c>
      <c r="H2387" s="34" t="str">
        <f>IFERROR(__xludf.DUMMYFUNCTION("LOWER(REGEXREPLACE(B2387&amp;"" ""&amp;C2387,""[^а-яa-z0-9 ]"","" ""))"),"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38"&amp;"40х2160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в"&amp;"ерсии 11 0  центральный процессор   ortex  55 1 9  z  chip  mlogic  982   графический процессор   uad core  ali 52   2  оперативная память  4  b  память накопителя  32  b ")</f>
        <v>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версии 11 0  центральный процессор   ortex  55 1 9  z  chip  mlogic  982   графический процессор   uad core  ali 52   2  оперативная память  4  b  память накопителя  32  b </v>
      </c>
    </row>
    <row r="2388">
      <c r="A2388" s="35" t="s">
        <v>5479</v>
      </c>
      <c r="B2388" s="9" t="s">
        <v>5480</v>
      </c>
      <c r="C2388" s="31" t="s">
        <v>5481</v>
      </c>
      <c r="D2388" s="37" t="s">
        <v>14</v>
      </c>
      <c r="E2388" s="38">
        <v>1.0</v>
      </c>
      <c r="F2388" s="40">
        <v>68.66</v>
      </c>
      <c r="G2388" s="11">
        <v>1058321.0</v>
      </c>
      <c r="H2388" s="34" t="str">
        <f>IFERROR(__xludf.DUMMYFUNCTION("LOWER(REGEXREPLACE(B2388&amp;"" ""&amp;C2388,""[^а-яa-z0-9 ]"","" ""))"),"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внутре"&amp;"нняя память  4     объем накопителя  32    аудио  встроенные динамики 2 шт   мощность  15  ")</f>
        <v>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внутренняя память  4     объем накопителя  32    аудио  встроенные динамики 2 шт   мощность  15  </v>
      </c>
    </row>
    <row r="2389">
      <c r="A2389" s="35" t="s">
        <v>5482</v>
      </c>
      <c r="B2389" s="9" t="s">
        <v>5483</v>
      </c>
      <c r="C2389" s="31" t="s">
        <v>5484</v>
      </c>
      <c r="D2389" s="37" t="s">
        <v>14</v>
      </c>
      <c r="E2389" s="38">
        <v>1.0</v>
      </c>
      <c r="F2389" s="38">
        <v>46.0</v>
      </c>
      <c r="G2389" s="11">
        <v>618319.0</v>
      </c>
      <c r="H2389" s="34" t="str">
        <f>IFERROR(__xludf.DUMMYFUNCTION("LOWER(REGEXREPLACE(B2389&amp;"" ""&amp;C2389,""[^а-яa-z0-9 ]"","" ""))"),"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1 440 48х816 02 мм ")</f>
        <v>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1 440 48х816 02 мм </v>
      </c>
    </row>
    <row r="2390">
      <c r="A2390" s="35" t="s">
        <v>5485</v>
      </c>
      <c r="B2390" s="9" t="s">
        <v>5486</v>
      </c>
      <c r="C2390" s="31" t="s">
        <v>5487</v>
      </c>
      <c r="D2390" s="37" t="s">
        <v>14</v>
      </c>
      <c r="E2390" s="38">
        <v>1.0</v>
      </c>
      <c r="F2390" s="38">
        <v>62.0</v>
      </c>
      <c r="G2390" s="11">
        <v>750836.0</v>
      </c>
      <c r="H2390" s="34" t="str">
        <f>IFERROR(__xludf.DUMMYFUNCTION("LOWER(REGEXREPLACE(B2390&amp;"" ""&amp;C2390,""[^а-яa-z0-9 ]"","" ""))"),"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1 650 24х928 26 мм")</f>
        <v>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1 650 24х928 26 мм</v>
      </c>
    </row>
    <row r="2391">
      <c r="A2391" s="35" t="s">
        <v>5488</v>
      </c>
      <c r="B2391" s="9" t="s">
        <v>5489</v>
      </c>
      <c r="C2391" s="31" t="s">
        <v>5490</v>
      </c>
      <c r="D2391" s="37" t="s">
        <v>14</v>
      </c>
      <c r="E2391" s="38">
        <v>1.0</v>
      </c>
      <c r="F2391" s="38">
        <v>82.0</v>
      </c>
      <c r="G2391" s="11">
        <v>1104141.0</v>
      </c>
      <c r="H2391" s="34" t="str">
        <f>IFERROR(__xludf.DUMMYFUNCTION("LOWER(REGEXREPLACE(B2391&amp;"" ""&amp;C2391,""[^а-яa-z0-9 ]"","" ""))"),"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1895 04х1065 96 мм")</f>
        <v>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1895 04х1065 96 мм</v>
      </c>
    </row>
    <row r="2392">
      <c r="A2392" s="35" t="s">
        <v>5491</v>
      </c>
      <c r="B2392" s="9" t="s">
        <v>5492</v>
      </c>
      <c r="C2392" s="31" t="s">
        <v>5493</v>
      </c>
      <c r="D2392" s="37" t="s">
        <v>14</v>
      </c>
      <c r="E2392" s="38">
        <v>1.0</v>
      </c>
      <c r="F2392" s="38">
        <v>120.0</v>
      </c>
      <c r="G2392" s="11">
        <v>2473068.0</v>
      </c>
      <c r="H2392" s="34" t="str">
        <f>IFERROR(__xludf.DUMMYFUNCTION("LOWER(REGEXREPLACE(B2392&amp;"" ""&amp;C2392,""[^а-яa-z0-9 ]"","" ""))"),"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стро"&amp;"енный     компьютер  7   ssd 256 б   8  б    ")</f>
        <v>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строенный     компьютер  7   ssd 256 б   8  б    </v>
      </c>
    </row>
    <row r="2393">
      <c r="A2393" s="35" t="s">
        <v>5494</v>
      </c>
      <c r="B2393" s="9" t="s">
        <v>5495</v>
      </c>
      <c r="C2393" s="31" t="s">
        <v>5496</v>
      </c>
      <c r="D2393" s="37" t="s">
        <v>14</v>
      </c>
      <c r="E2393" s="38">
        <v>1.0</v>
      </c>
      <c r="F2393" s="39">
        <v>58.6</v>
      </c>
      <c r="G2393" s="11">
        <v>1517920.0</v>
      </c>
      <c r="H2393" s="34" t="str">
        <f>IFERROR(__xludf.DUMMYFUNCTION("LOWER(REGEXREPLACE(B2393&amp;"" ""&amp;C2393,""[^а-яa-z0-9 ]"","" ""))"),"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дистанционно"&amp;"го управления  модуль  i  i")</f>
        <v>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дистанционного управления  модуль  i  i</v>
      </c>
    </row>
    <row r="2394">
      <c r="A2394" s="35" t="s">
        <v>5497</v>
      </c>
      <c r="B2394" s="9" t="s">
        <v>5498</v>
      </c>
      <c r="C2394" s="31" t="s">
        <v>5499</v>
      </c>
      <c r="D2394" s="37" t="s">
        <v>14</v>
      </c>
      <c r="E2394" s="38">
        <v>1.0</v>
      </c>
      <c r="F2394" s="40">
        <v>60.75</v>
      </c>
      <c r="G2394" s="11">
        <v>786156.0</v>
      </c>
      <c r="H2394" s="34" t="str">
        <f>IFERROR(__xludf.DUMMYFUNCTION("LOWER(REGEXREPLACE(B2394&amp;"" ""&amp;C2394,""[^а-яa-z0-9 ]"","" ""))"),"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"&amp;"т   бъем накопителя  32 б   строенная операционная система   ndroid 13 0 ")</f>
        <v>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т   бъем накопителя  32 б   строенная операционная система   ndroid 13 0 </v>
      </c>
    </row>
    <row r="2395">
      <c r="A2395" s="35" t="s">
        <v>5500</v>
      </c>
      <c r="B2395" s="9" t="s">
        <v>5501</v>
      </c>
      <c r="C2395" s="31" t="s">
        <v>5502</v>
      </c>
      <c r="D2395" s="37" t="s">
        <v>14</v>
      </c>
      <c r="E2395" s="38">
        <v>2.0</v>
      </c>
      <c r="F2395" s="38">
        <v>65.0</v>
      </c>
      <c r="G2395" s="11">
        <v>886591.0</v>
      </c>
      <c r="H2395" s="34" t="str">
        <f>IFERROR(__xludf.DUMMYFUNCTION("LOWER(REGEXREPLACE(B2395&amp;"" ""&amp;C2395,""[^а-яa-z0-9 ]"","" ""))"),"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эк"&amp;"рана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ст"&amp;"илуса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"&amp;"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ене"&amp;"ратор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смартфон"&amp;"ом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п"&amp;"одключения к внешним устройствам доступны различные порты      x 1       x 2   i  i  802 11ac    luetooth 5 0        3 0 x 3        x 1      in     45  x 1      out     45  x 1   inijack 3 5 x1      ard x1")</f>
        <v>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подключения к внешним устройствам доступны различные порты      x 1       x 2   i  i  802 11ac    luetooth 5 0        3 0 x 3        x 1      in     45  x 1      out     45  x 1   inijack 3 5 x1      ard x1</v>
      </c>
    </row>
    <row r="2396">
      <c r="A2396" s="35" t="s">
        <v>5503</v>
      </c>
      <c r="B2396" s="9" t="s">
        <v>5504</v>
      </c>
      <c r="C2396" s="31"/>
      <c r="D2396" s="37" t="s">
        <v>68</v>
      </c>
      <c r="E2396" s="38">
        <v>2.0</v>
      </c>
      <c r="F2396" s="38">
        <v>102.0</v>
      </c>
      <c r="G2396" s="11">
        <v>2122130.0</v>
      </c>
      <c r="H2396" s="34" t="str">
        <f>IFERROR(__xludf.DUMMYFUNCTION("LOWER(REGEXREPLACE(B2396&amp;"" ""&amp;C2396,""[^а-яa-z0-9 ]"","" ""))"),"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интерактивной"&amp;" панели на кол сиках в комплекте ")</f>
        <v>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7">
      <c r="A2397" s="35" t="s">
        <v>5505</v>
      </c>
      <c r="B2397" s="9" t="s">
        <v>5506</v>
      </c>
      <c r="C2397" s="31"/>
      <c r="D2397" s="37" t="s">
        <v>68</v>
      </c>
      <c r="E2397" s="38">
        <v>2.0</v>
      </c>
      <c r="F2397" s="38">
        <v>102.0</v>
      </c>
      <c r="G2397" s="11">
        <v>3767553.0</v>
      </c>
      <c r="H2397" s="34" t="str">
        <f>IFERROR(__xludf.DUMMYFUNCTION("LOWER(REGEXREPLACE(B2397&amp;"" ""&amp;C2397,""[^а-яa-z0-9 ]"","" ""))"),"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1"&amp;"1  мобильная стойка  mart     для интерактивной панели на кол сиках в комплекте ")</f>
        <v>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8">
      <c r="A2398" s="35" t="s">
        <v>5507</v>
      </c>
      <c r="B2398" s="31" t="s">
        <v>5508</v>
      </c>
      <c r="C2398" s="31"/>
      <c r="D2398" s="37" t="s">
        <v>14</v>
      </c>
      <c r="E2398" s="38">
        <v>2.0</v>
      </c>
      <c r="F2398" s="38">
        <v>59.0</v>
      </c>
      <c r="G2398" s="11">
        <v>3676520.0</v>
      </c>
      <c r="H2398" s="34" t="str">
        <f>IFERROR(__xludf.DUMMYFUNCTION("LOWER(REGEXREPLACE(B2398&amp;"" ""&amp;C2398,""[^а-яa-z0-9 ]"","" ""))")," нтерактивная панель типа  mart  oard   075   275  75 диагональ   oogle       еб камерa  mart  ltra                otebook для создания уроков ")</f>
        <v> нтерактивная панель типа  mart  oard   075   275  75 диагональ   oogle       еб камерa  mart  ltra                otebook для создания уроков </v>
      </c>
    </row>
    <row r="2399">
      <c r="A2399" s="35" t="s">
        <v>5509</v>
      </c>
      <c r="B2399" s="31" t="s">
        <v>5510</v>
      </c>
      <c r="C2399" s="31" t="s">
        <v>5511</v>
      </c>
      <c r="D2399" s="37" t="s">
        <v>14</v>
      </c>
      <c r="E2399" s="38">
        <v>2.0</v>
      </c>
      <c r="F2399" s="38">
        <v>70.0</v>
      </c>
      <c r="G2399" s="11">
        <v>988404.0</v>
      </c>
      <c r="H2399" s="34" t="str">
        <f>IFERROR(__xludf.DUMMYFUNCTION("LOWER(REGEXREPLACE(B2399&amp;"" ""&amp;C2399,""[^а-яa-z0-9 ]"","" ""))"),"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шт"&amp;"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"&amp;"ard    низу         3 5mm  x 1           3 5mm  x 1         x 1    232      9  x 1       2 1      x 1           lt  ode      x 1             l   x 2        3 0  x l   nly  ndroid        x 1         n x 1      x 1   боку       1 4   x 1        3 0  x l  or"&amp;"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"&amp;"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к"&amp;"абель       3 м   шнур питания переменного тока  1 8 м   карта      2 шт     енсорное перо  2 шт     астик  крепление на стену ")</f>
        <v>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ard    низу         3 5mm  x 1           3 5mm  x 1         x 1    232      9  x 1       2 1      x 1           lt  ode      x 1             l   x 2        3 0  x l   nly  ndroid        x 1         n x 1      x 1   боку       1 4   x 1        3 0  x l  or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кабель       3 м   шнур питания переменного тока  1 8 м   карта      2 шт     енсорное перо  2 шт     астик  крепление на стену </v>
      </c>
    </row>
    <row r="2400">
      <c r="A2400" s="35" t="s">
        <v>5512</v>
      </c>
      <c r="B2400" s="9" t="s">
        <v>5513</v>
      </c>
      <c r="C2400" s="31" t="s">
        <v>5514</v>
      </c>
      <c r="D2400" s="37" t="s">
        <v>14</v>
      </c>
      <c r="E2400" s="38">
        <v>2.0</v>
      </c>
      <c r="F2400" s="38">
        <v>46.0</v>
      </c>
      <c r="G2400" s="11">
        <v>709451.0</v>
      </c>
      <c r="H2400" s="34" t="str">
        <f>IFERROR(__xludf.DUMMYFUNCTION("LOWER(REGEXREPLACE(B2400&amp;"" ""&amp;C2400,""[^а-яa-z0-9 ]"","" ""))"),"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"&amp;"контрастность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упаковка"&amp;"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1">
      <c r="A2401" s="35" t="s">
        <v>5515</v>
      </c>
      <c r="B2401" s="9" t="s">
        <v>5516</v>
      </c>
      <c r="C2401" s="31" t="s">
        <v>5517</v>
      </c>
      <c r="D2401" s="37" t="s">
        <v>14</v>
      </c>
      <c r="E2401" s="38">
        <v>2.0</v>
      </c>
      <c r="F2401" s="39">
        <v>80.1</v>
      </c>
      <c r="G2401" s="11">
        <v>864173.0</v>
      </c>
      <c r="H2401" s="34" t="str">
        <f>IFERROR(__xludf.DUMMYFUNCTION("LOWER(REGEXREPLACE(B2401&amp;"" ""&amp;C2401,""[^а-яa-z0-9 ]"","" ""))"),"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инамическая"&amp;"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упаковк"&amp;"а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2">
      <c r="A2402" s="35" t="s">
        <v>5518</v>
      </c>
      <c r="B2402" s="9" t="s">
        <v>5519</v>
      </c>
      <c r="C2402" s="31" t="s">
        <v>5520</v>
      </c>
      <c r="D2402" s="37" t="s">
        <v>14</v>
      </c>
      <c r="E2402" s="38">
        <v>2.0</v>
      </c>
      <c r="F2402" s="40">
        <v>41.55</v>
      </c>
      <c r="G2402" s="11">
        <v>1839700.0</v>
      </c>
      <c r="H2402" s="34" t="str">
        <f>IFERROR(__xludf.DUMMYFUNCTION("LOWER(REGEXREPLACE(B2402&amp;"" ""&amp;C2402,""[^а-яa-z0-9 ]"","" ""))"),"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доп"&amp;"олнительных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корпоративн"&amp;"ым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совместную"&amp;"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f>
        <v>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v>
      </c>
    </row>
    <row r="2403">
      <c r="A2403" s="35" t="s">
        <v>5521</v>
      </c>
      <c r="B2403" s="9" t="s">
        <v>5522</v>
      </c>
      <c r="C2403" s="31" t="s">
        <v>5523</v>
      </c>
      <c r="D2403" s="37" t="s">
        <v>14</v>
      </c>
      <c r="E2403" s="38">
        <v>2.0</v>
      </c>
      <c r="F2403" s="40">
        <v>56.25</v>
      </c>
      <c r="G2403" s="11">
        <v>2233945.0</v>
      </c>
      <c r="H2403" s="34" t="str">
        <f>IFERROR(__xludf.DUMMYFUNCTION("LOWER(REGEXREPLACE(B2403&amp;"" ""&amp;C2403,""[^а-яa-z0-9 ]"","" ""))"),"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олный доступ к экосистеме  oogle   oogle  lay  tore  oogle  rive   ocs   heets  oogle  eet   lassroom  ou ube   hrome и другие сервисы  ативную")</f>
        <v>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олный доступ к экосистеме  oogle   oogle  lay  tore  oogle  rive   ocs   heets  oogle  eet   lassroom  ou ube   hrome и другие сервисы  ативную</v>
      </c>
    </row>
    <row r="2404">
      <c r="A2404" s="35" t="s">
        <v>5524</v>
      </c>
      <c r="B2404" s="9" t="s">
        <v>5525</v>
      </c>
      <c r="C2404" s="31" t="s">
        <v>5526</v>
      </c>
      <c r="D2404" s="37" t="s">
        <v>14</v>
      </c>
      <c r="E2404" s="38">
        <v>2.0</v>
      </c>
      <c r="F2404" s="40">
        <v>69.85</v>
      </c>
      <c r="G2404" s="11">
        <v>2711801.0</v>
      </c>
      <c r="H2404" s="34" t="str">
        <f>IFERROR(__xludf.DUMMYFUNCTION("LOWER(REGEXREPLACE(B2404&amp;"" ""&amp;C2404,""[^а-яa-z0-9 ]"","" ""))"),"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"&amp;"и  oogle  orkspace  омплектация     2 стилуса с681 разными наконечниками     ульт дистанционного управления     абели             питание      строенный  i  i модуль     уководство пользователя")</f>
        <v>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омплектация     2 стилуса с681 разными наконечниками     ульт дистанционного управления     абели             питание      строенный  i  i модуль     уководство пользователя</v>
      </c>
    </row>
    <row r="2405">
      <c r="A2405" s="35" t="s">
        <v>5527</v>
      </c>
      <c r="B2405" s="9" t="s">
        <v>5528</v>
      </c>
      <c r="C2405" s="31" t="s">
        <v>5529</v>
      </c>
      <c r="D2405" s="37" t="s">
        <v>14</v>
      </c>
      <c r="E2405" s="38">
        <v>2.0</v>
      </c>
      <c r="F2405" s="39">
        <v>59.5</v>
      </c>
      <c r="G2405" s="11">
        <v>1600874.0</v>
      </c>
      <c r="H2405" s="34" t="str">
        <f>IFERROR(__xludf.DUMMYFUNCTION("LOWER(REGEXREPLACE(B2405&amp;"" ""&amp;C2405,""[^а-яa-z0-9 ]"","" ""))"),"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 connect   i   роизводительность    перационная система   ndroid 13    роцессор   55  uad core    рафика   52   2            8      64       овместимость   indows  mac     inux   ndroid   hrome     вук и мультимедиа     инамики  "&amp;"2   16  т   сабвуфер 16  т    икрофоны  6 направленных    ильтр синего света и технология защиты глаз   ye  are   нтерфейсы и подключение          3 входа  2   4   60 z  1              1 выход  4   60 z         4       3 1  2        ouch 3 0  1        ype"&amp;"    65  т   1       2 0     isplay ort             232    45      2           10 100 1000  bps     удиоразъемы  3 5 мм  вход выход            i  i   i  i 6  2 4   z   5   z      luetooth  5 2  ополнительные возможности     оддержка     модуля  опционально"&amp;"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бизнеса"&amp;"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6">
      <c r="A2406" s="35" t="s">
        <v>5530</v>
      </c>
      <c r="B2406" s="9" t="s">
        <v>5531</v>
      </c>
      <c r="C2406" s="31" t="s">
        <v>5532</v>
      </c>
      <c r="D2406" s="37" t="s">
        <v>14</v>
      </c>
      <c r="E2406" s="38">
        <v>2.0</v>
      </c>
      <c r="F2406" s="38">
        <v>74.0</v>
      </c>
      <c r="G2406" s="11">
        <v>1959283.0</v>
      </c>
      <c r="H2406" s="34" t="str">
        <f>IFERROR(__xludf.DUMMYFUNCTION("LOWER(REGEXREPLACE(B2406&amp;"" ""&amp;C2406,""[^а-яa-z0-9 ]"","" ""))"),"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peechi connect   i        роизводительность    перационная система   ndroid 13    роцессор   55  uad core    рафика   52   2            8      64       овместимость   indows  mac     inux   ndroid   hrome     вук и мультимедиа     ина"&amp;"мики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"&amp;"   ype    65  т   1       2 0     isplay ort             232    45      2           10 100 1000  bps     удиоразъемы  3 5 мм  вход выход            i  i   i  i 6  2 4   z   5   z      luetooth  5 2  ополнительные возможности     оддержка     модуля  опцио"&amp;"нально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б"&amp;"изнеса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peechi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7">
      <c r="A2407" s="35" t="s">
        <v>5533</v>
      </c>
      <c r="B2407" s="31" t="s">
        <v>5534</v>
      </c>
      <c r="C2407" s="31"/>
      <c r="D2407" s="36"/>
      <c r="E2407" s="10"/>
      <c r="F2407" s="36"/>
      <c r="G2407" s="11"/>
      <c r="H2407" s="34" t="str">
        <f>IFERROR(__xludf.DUMMYFUNCTION("LOWER(REGEXREPLACE(B2407&amp;"" ""&amp;C2407,""[^а-яa-z0-9 ]"","" ""))")," исплей профессиональный ")</f>
        <v> исплей профессиональный </v>
      </c>
    </row>
    <row r="2408">
      <c r="A2408" s="35" t="s">
        <v>5535</v>
      </c>
      <c r="B2408" s="31" t="s">
        <v>5536</v>
      </c>
      <c r="C2408" s="31"/>
      <c r="D2408" s="37" t="s">
        <v>14</v>
      </c>
      <c r="E2408" s="10"/>
      <c r="F2408" s="39">
        <v>5.7</v>
      </c>
      <c r="G2408" s="11">
        <v>689805.0</v>
      </c>
      <c r="H2408" s="34" t="str">
        <f>IFERROR(__xludf.DUMMYFUNCTION("LOWER(REGEXREPLACE(B2408&amp;"" ""&amp;C2408,""[^а-яa-z0-9 ]"","" ""))")," исплей профессиональный   32      32           32  диагонали   amsung ")</f>
        <v> исплей профессиональный   32      32           32  диагонали   amsung </v>
      </c>
    </row>
    <row r="2409">
      <c r="A2409" s="35" t="s">
        <v>5537</v>
      </c>
      <c r="B2409" s="31" t="s">
        <v>5538</v>
      </c>
      <c r="C2409" s="31"/>
      <c r="D2409" s="37" t="s">
        <v>14</v>
      </c>
      <c r="E2409" s="10"/>
      <c r="F2409" s="38">
        <v>10.0</v>
      </c>
      <c r="G2409" s="11">
        <v>1030062.0</v>
      </c>
      <c r="H2409" s="34" t="str">
        <f>IFERROR(__xludf.DUMMYFUNCTION("LOWER(REGEXREPLACE(B2409&amp;"" ""&amp;C2409,""[^а-яa-z0-9 ]"","" ""))")," исплей профессиональный   43    43           43  диагонали   amsung ")</f>
        <v> исплей профессиональный   43    43           43  диагонали   amsung </v>
      </c>
    </row>
    <row r="2410">
      <c r="A2410" s="35" t="s">
        <v>5539</v>
      </c>
      <c r="B2410" s="31" t="s">
        <v>5540</v>
      </c>
      <c r="C2410" s="31"/>
      <c r="D2410" s="37" t="s">
        <v>14</v>
      </c>
      <c r="E2410" s="10"/>
      <c r="F2410" s="39">
        <v>13.4</v>
      </c>
      <c r="G2410" s="11">
        <v>1306072.0</v>
      </c>
      <c r="H2410" s="34" t="str">
        <f>IFERROR(__xludf.DUMMYFUNCTION("LOWER(REGEXREPLACE(B2410&amp;"" ""&amp;C2410,""[^а-яa-z0-9 ]"","" ""))")," исплей профессиональный   50    50           50  диагонали   amsung ")</f>
        <v> исплей профессиональный   50    50           50  диагонали   amsung </v>
      </c>
    </row>
    <row r="2411">
      <c r="A2411" s="35" t="s">
        <v>5541</v>
      </c>
      <c r="B2411" s="31" t="s">
        <v>5542</v>
      </c>
      <c r="C2411" s="31"/>
      <c r="D2411" s="37" t="s">
        <v>14</v>
      </c>
      <c r="E2411" s="10"/>
      <c r="F2411" s="39">
        <v>18.1</v>
      </c>
      <c r="G2411" s="11">
        <v>1416401.0</v>
      </c>
      <c r="H2411" s="34" t="str">
        <f>IFERROR(__xludf.DUMMYFUNCTION("LOWER(REGEXREPLACE(B2411&amp;"" ""&amp;C2411,""[^а-яa-z0-9 ]"","" ""))")," исплей профессиональный   55    55           55  диагонали   amsung ")</f>
        <v> исплей профессиональный   55    55           55  диагонали   amsung </v>
      </c>
    </row>
    <row r="2412">
      <c r="A2412" s="35" t="s">
        <v>5543</v>
      </c>
      <c r="B2412" s="31" t="s">
        <v>5544</v>
      </c>
      <c r="C2412" s="31"/>
      <c r="D2412" s="37" t="s">
        <v>14</v>
      </c>
      <c r="E2412" s="10"/>
      <c r="F2412" s="39">
        <v>0.9</v>
      </c>
      <c r="G2412" s="11">
        <v>394348.0</v>
      </c>
      <c r="H2412" s="34" t="str">
        <f>IFERROR(__xludf.DUMMYFUNCTION("LOWER(REGEXREPLACE(B2412&amp;"" ""&amp;C2412,""[^а-яa-z0-9 ]"","" ""))")," исплей профессиональный   13    13          13  диагонали   amsung ")</f>
        <v> исплей профессиональный   13    13          13  диагонали   amsung </v>
      </c>
    </row>
    <row r="2413">
      <c r="A2413" s="35" t="s">
        <v>5545</v>
      </c>
      <c r="B2413" s="31" t="s">
        <v>5546</v>
      </c>
      <c r="C2413" s="31"/>
      <c r="D2413" s="37" t="s">
        <v>14</v>
      </c>
      <c r="E2413" s="10"/>
      <c r="F2413" s="39">
        <v>13.4</v>
      </c>
      <c r="G2413" s="11">
        <v>902850.0</v>
      </c>
      <c r="H2413" s="34" t="str">
        <f>IFERROR(__xludf.DUMMYFUNCTION("LOWER(REGEXREPLACE(B2413&amp;"" ""&amp;C2413,""[^а-яa-z0-9 ]"","" ""))")," исплей профессиональный   50    50           50  диагонали   amsung ")</f>
        <v> исплей профессиональный   50    50           50  диагонали   amsung </v>
      </c>
    </row>
    <row r="2414">
      <c r="A2414" s="35" t="s">
        <v>5547</v>
      </c>
      <c r="B2414" s="31" t="s">
        <v>5548</v>
      </c>
      <c r="C2414" s="31"/>
      <c r="D2414" s="37" t="s">
        <v>14</v>
      </c>
      <c r="E2414" s="10"/>
      <c r="F2414" s="39">
        <v>18.1</v>
      </c>
      <c r="G2414" s="11">
        <v>1025014.0</v>
      </c>
      <c r="H2414" s="34" t="str">
        <f>IFERROR(__xludf.DUMMYFUNCTION("LOWER(REGEXREPLACE(B2414&amp;"" ""&amp;C2414,""[^а-яa-z0-9 ]"","" ""))")," исплей профессиональный   55    55          55  диагонали   amsung ")</f>
        <v> исплей профессиональный   55    55          55  диагонали   amsung </v>
      </c>
    </row>
    <row r="2415">
      <c r="A2415" s="35" t="s">
        <v>5549</v>
      </c>
      <c r="B2415" s="31" t="s">
        <v>5550</v>
      </c>
      <c r="C2415" s="31"/>
      <c r="D2415" s="37" t="s">
        <v>14</v>
      </c>
      <c r="E2415" s="10"/>
      <c r="F2415" s="39">
        <v>24.9</v>
      </c>
      <c r="G2415" s="11">
        <v>1240593.0</v>
      </c>
      <c r="H2415" s="34" t="str">
        <f>IFERROR(__xludf.DUMMYFUNCTION("LOWER(REGEXREPLACE(B2415&amp;"" ""&amp;C2415,""[^а-яa-z0-9 ]"","" ""))")," исплей профессиональный   65    65           65  диагонали   amsung ")</f>
        <v> исплей профессиональный   65    65           65  диагонали   amsung </v>
      </c>
    </row>
    <row r="2416">
      <c r="A2416" s="35" t="s">
        <v>5551</v>
      </c>
      <c r="B2416" s="9" t="s">
        <v>5552</v>
      </c>
      <c r="C2416" s="31"/>
      <c r="D2416" s="37" t="s">
        <v>14</v>
      </c>
      <c r="E2416" s="10"/>
      <c r="F2416" s="39">
        <v>12.2</v>
      </c>
      <c r="G2416" s="11">
        <v>471895.0</v>
      </c>
      <c r="H2416" s="34" t="str">
        <f>IFERROR(__xludf.DUMMYFUNCTION("LOWER(REGEXREPLACE(B2416&amp;"" ""&amp;C2416,""[^а-яa-z0-9 ]"","" ""))")," исплей профессиональный   4335          4335   43  диагонали   umien ")</f>
        <v> исплей профессиональный   4335          4335   43  диагонали   umien </v>
      </c>
    </row>
    <row r="2417">
      <c r="A2417" s="35" t="s">
        <v>5553</v>
      </c>
      <c r="B2417" s="9" t="s">
        <v>5554</v>
      </c>
      <c r="C2417" s="31"/>
      <c r="D2417" s="37" t="s">
        <v>14</v>
      </c>
      <c r="E2417" s="10"/>
      <c r="F2417" s="39">
        <v>18.6</v>
      </c>
      <c r="G2417" s="11">
        <v>572007.0</v>
      </c>
      <c r="H2417" s="34" t="str">
        <f>IFERROR(__xludf.DUMMYFUNCTION("LOWER(REGEXREPLACE(B2417&amp;"" ""&amp;C2417,""[^а-яa-z0-9 ]"","" ""))")," исплей профессиональный   5535          5535   55  диагонали   umien ")</f>
        <v> исплей профессиональный   5535          5535   55  диагонали   umien </v>
      </c>
    </row>
    <row r="2418">
      <c r="A2418" s="35" t="s">
        <v>5555</v>
      </c>
      <c r="B2418" s="31" t="s">
        <v>5556</v>
      </c>
      <c r="C2418" s="31" t="s">
        <v>5557</v>
      </c>
      <c r="D2418" s="37" t="s">
        <v>14</v>
      </c>
      <c r="E2418" s="10"/>
      <c r="F2418" s="38">
        <v>66.0</v>
      </c>
      <c r="G2418" s="11">
        <v>6250591.0</v>
      </c>
      <c r="H2418" s="34" t="str">
        <f>IFERROR(__xludf.DUMMYFUNCTION("LOWER(REGEXREPLACE(B2418&amp;"" ""&amp;C2418,""[^а-яa-z0-9 ]"","" ""))"),"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f>
        <v>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v>
      </c>
    </row>
    <row r="2419">
      <c r="A2419" s="35" t="s">
        <v>5558</v>
      </c>
      <c r="B2419" s="31" t="s">
        <v>5559</v>
      </c>
      <c r="C2419" s="31" t="s">
        <v>5560</v>
      </c>
      <c r="D2419" s="37" t="s">
        <v>14</v>
      </c>
      <c r="E2419" s="10"/>
      <c r="F2419" s="38">
        <v>49.0</v>
      </c>
      <c r="G2419" s="11">
        <v>3340878.0</v>
      </c>
      <c r="H2419" s="34" t="str">
        <f>IFERROR(__xludf.DUMMYFUNCTION("LOWER(REGEXREPLACE(B2419&amp;"" ""&amp;C2419,""[^а-яa-z0-9 ]"","" ""))"),"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0">
      <c r="A2420" s="35" t="s">
        <v>5561</v>
      </c>
      <c r="B2420" s="31" t="s">
        <v>5562</v>
      </c>
      <c r="C2420" s="31" t="s">
        <v>5560</v>
      </c>
      <c r="D2420" s="37" t="s">
        <v>14</v>
      </c>
      <c r="E2420" s="10"/>
      <c r="F2420" s="39">
        <v>41.5</v>
      </c>
      <c r="G2420" s="11">
        <v>2101555.0</v>
      </c>
      <c r="H2420" s="34" t="str">
        <f>IFERROR(__xludf.DUMMYFUNCTION("LOWER(REGEXREPLACE(B2420&amp;"" ""&amp;C2420,""[^а-яa-z0-9 ]"","" ""))"),"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1">
      <c r="A2421" s="35" t="s">
        <v>5563</v>
      </c>
      <c r="B2421" s="31" t="s">
        <v>5564</v>
      </c>
      <c r="C2421" s="31" t="s">
        <v>5565</v>
      </c>
      <c r="D2421" s="37" t="s">
        <v>14</v>
      </c>
      <c r="E2421" s="10"/>
      <c r="F2421" s="39">
        <v>24.2</v>
      </c>
      <c r="G2421" s="11">
        <v>1066953.0</v>
      </c>
      <c r="H2421" s="34" t="str">
        <f>IFERROR(__xludf.DUMMYFUNCTION("LOWER(REGEXREPLACE(B2421&amp;"" ""&amp;C2421,""[^а-яa-z0-9 ]"","" ""))"),"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2">
      <c r="A2422" s="35" t="s">
        <v>5566</v>
      </c>
      <c r="B2422" s="31" t="s">
        <v>5567</v>
      </c>
      <c r="C2422" s="31" t="s">
        <v>5565</v>
      </c>
      <c r="D2422" s="37" t="s">
        <v>14</v>
      </c>
      <c r="E2422" s="10"/>
      <c r="F2422" s="39">
        <v>16.1</v>
      </c>
      <c r="G2422" s="11">
        <v>840620.0</v>
      </c>
      <c r="H2422" s="34" t="str">
        <f>IFERROR(__xludf.DUMMYFUNCTION("LOWER(REGEXREPLACE(B2422&amp;"" ""&amp;C2422,""[^а-яa-z0-9 ]"","" ""))"),"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3">
      <c r="A2423" s="35" t="s">
        <v>5568</v>
      </c>
      <c r="B2423" s="31" t="s">
        <v>5569</v>
      </c>
      <c r="C2423" s="31" t="s">
        <v>5565</v>
      </c>
      <c r="D2423" s="37" t="s">
        <v>14</v>
      </c>
      <c r="E2423" s="10"/>
      <c r="F2423" s="39">
        <v>13.6</v>
      </c>
      <c r="G2423" s="11">
        <v>786730.0</v>
      </c>
      <c r="H2423" s="34" t="str">
        <f>IFERROR(__xludf.DUMMYFUNCTION("LOWER(REGEXREPLACE(B2423&amp;"" ""&amp;C2423,""[^а-яa-z0-9 ]"","" ""))"),"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4">
      <c r="A2424" s="35" t="s">
        <v>5570</v>
      </c>
      <c r="B2424" s="31" t="s">
        <v>5571</v>
      </c>
      <c r="C2424" s="31" t="s">
        <v>5565</v>
      </c>
      <c r="D2424" s="37" t="s">
        <v>14</v>
      </c>
      <c r="E2424" s="10"/>
      <c r="F2424" s="39">
        <v>11.1</v>
      </c>
      <c r="G2424" s="11">
        <v>657403.0</v>
      </c>
      <c r="H2424" s="34" t="str">
        <f>IFERROR(__xludf.DUMMYFUNCTION("LOWER(REGEXREPLACE(B2424&amp;"" ""&amp;C2424,""[^а-яa-z0-9 ]"","" ""))"),"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5">
      <c r="A2425" s="35" t="s">
        <v>5572</v>
      </c>
      <c r="B2425" s="31" t="s">
        <v>5573</v>
      </c>
      <c r="C2425" s="31" t="s">
        <v>5574</v>
      </c>
      <c r="D2425" s="37" t="s">
        <v>14</v>
      </c>
      <c r="E2425" s="10"/>
      <c r="F2425" s="39">
        <v>5.7</v>
      </c>
      <c r="G2425" s="11">
        <v>463409.0</v>
      </c>
      <c r="H2425" s="34" t="str">
        <f>IFERROR(__xludf.DUMMYFUNCTION("LOWER(REGEXREPLACE(B2425&amp;"" ""&amp;C2425,""[^а-яa-z0-9 ]"","" ""))"),"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"&amp;"         220  ")</f>
        <v>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220  </v>
      </c>
    </row>
    <row r="2426">
      <c r="A2426" s="35" t="s">
        <v>5575</v>
      </c>
      <c r="B2426" s="31" t="s">
        <v>5576</v>
      </c>
      <c r="C2426" s="31" t="s">
        <v>5577</v>
      </c>
      <c r="D2426" s="37" t="s">
        <v>14</v>
      </c>
      <c r="E2426" s="10"/>
      <c r="F2426" s="40">
        <v>3.34</v>
      </c>
      <c r="G2426" s="11">
        <v>511895.0</v>
      </c>
      <c r="H2426" s="34" t="str">
        <f>IFERROR(__xludf.DUMMYFUNCTION("LOWER(REGEXREPLACE(B2426&amp;"" ""&amp;C2426,""[^а-яa-z0-9 ]"","" ""))")," исплей профессиональный 22  3  22  диагонали  типа     ульт дистанционного управления  шнур питания       кабель       подключение телефона к   232   внешний    порт     панель")</f>
        <v> исплей профессиональный 22  3  22  диагонали  типа     ульт дистанционного управления  шнур питания       кабель       подключение телефона к   232   внешний    порт     панель</v>
      </c>
    </row>
    <row r="2427">
      <c r="A2427" s="35" t="s">
        <v>5578</v>
      </c>
      <c r="B2427" s="31" t="s">
        <v>5579</v>
      </c>
      <c r="C2427" s="31" t="s">
        <v>5580</v>
      </c>
      <c r="D2427" s="37" t="s">
        <v>14</v>
      </c>
      <c r="E2427" s="10"/>
      <c r="F2427" s="39">
        <v>16.8</v>
      </c>
      <c r="G2427" s="11">
        <v>2263122.0</v>
      </c>
      <c r="H2427" s="34" t="str">
        <f>IFERROR(__xludf.DUMMYFUNCTION("LOWER(REGEXREPLACE(B2427&amp;"" ""&amp;C2427,""[^а-яa-z0-9 ]"",""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8">
      <c r="A2428" s="35" t="s">
        <v>5581</v>
      </c>
      <c r="B2428" s="31" t="s">
        <v>5582</v>
      </c>
      <c r="C2428" s="31" t="s">
        <v>5580</v>
      </c>
      <c r="D2428" s="37" t="s">
        <v>14</v>
      </c>
      <c r="E2428" s="10"/>
      <c r="F2428" s="39">
        <v>16.8</v>
      </c>
      <c r="G2428" s="11">
        <v>2263122.0</v>
      </c>
      <c r="H2428" s="34" t="str">
        <f>IFERROR(__xludf.DUMMYFUNCTION("LOWER(REGEXREPLACE(B2428&amp;"" ""&amp;C2428,""[^а-яa-z0-9 ]"",""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9">
      <c r="A2429" s="35" t="s">
        <v>5583</v>
      </c>
      <c r="B2429" s="31" t="s">
        <v>5584</v>
      </c>
      <c r="C2429" s="31" t="s">
        <v>5580</v>
      </c>
      <c r="D2429" s="37" t="s">
        <v>14</v>
      </c>
      <c r="E2429" s="10"/>
      <c r="F2429" s="39">
        <v>18.8</v>
      </c>
      <c r="G2429" s="11">
        <v>1596062.0</v>
      </c>
      <c r="H2429" s="34" t="str">
        <f>IFERROR(__xludf.DUMMYFUNCTION("LOWER(REGEXREPLACE(B2429&amp;"" ""&amp;C2429,""[^а-яa-z0-9 ]"",""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0">
      <c r="A2430" s="35" t="s">
        <v>5585</v>
      </c>
      <c r="B2430" s="31" t="s">
        <v>5586</v>
      </c>
      <c r="C2430" s="31" t="s">
        <v>5587</v>
      </c>
      <c r="D2430" s="37" t="s">
        <v>14</v>
      </c>
      <c r="E2430" s="10"/>
      <c r="F2430" s="39">
        <v>18.6</v>
      </c>
      <c r="G2430" s="11">
        <v>1702749.0</v>
      </c>
      <c r="H2430" s="34" t="str">
        <f>IFERROR(__xludf.DUMMYFUNCTION("LOWER(REGEXREPLACE(B2430&amp;"" ""&amp;C2430,""[^а-яa-z0-9 ]"","" ""))")," исплей профессиональный 55  5    55  диагонали  типа     ульт дистанционного управления  инструкция  кабель питания  кабель    232   кабель  isplay ort     приемник")</f>
        <v> исплей профессиональный 55  5    55  диагонали  типа     ульт дистанционного управления  инструкция  кабель питания  кабель    232   кабель  isplay ort     приемник</v>
      </c>
    </row>
    <row r="2431">
      <c r="A2431" s="35" t="s">
        <v>5588</v>
      </c>
      <c r="B2431" s="31" t="s">
        <v>5589</v>
      </c>
      <c r="C2431" s="31" t="s">
        <v>5580</v>
      </c>
      <c r="D2431" s="37" t="s">
        <v>14</v>
      </c>
      <c r="E2431" s="10"/>
      <c r="F2431" s="39">
        <v>18.8</v>
      </c>
      <c r="G2431" s="11">
        <v>1702750.0</v>
      </c>
      <c r="H2431" s="34" t="str">
        <f>IFERROR(__xludf.DUMMYFUNCTION("LOWER(REGEXREPLACE(B2431&amp;"" ""&amp;C2431,""[^а-яa-z0-9 ]"",""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2">
      <c r="A2432" s="35" t="s">
        <v>5590</v>
      </c>
      <c r="B2432" s="31" t="s">
        <v>5591</v>
      </c>
      <c r="C2432" s="31" t="s">
        <v>5592</v>
      </c>
      <c r="D2432" s="37" t="s">
        <v>14</v>
      </c>
      <c r="E2432" s="10"/>
      <c r="F2432" s="39">
        <v>20.3</v>
      </c>
      <c r="G2432" s="11">
        <v>1594990.0</v>
      </c>
      <c r="H2432" s="34" t="str">
        <f>IFERROR(__xludf.DUMMYFUNCTION("LOWER(REGEXREPLACE(B2432&amp;"" ""&amp;C2432,""[^а-яa-z0-9 ]"","" ""))"),"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альбо"&amp;"мная ориентация      640   портретная ориентация      640  ")</f>
        <v>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альбомная ориентация      640   портретная ориентация      640  </v>
      </c>
    </row>
    <row r="2433">
      <c r="A2433" s="35" t="s">
        <v>5593</v>
      </c>
      <c r="B2433" s="31" t="s">
        <v>5594</v>
      </c>
      <c r="C2433" s="31" t="s">
        <v>5595</v>
      </c>
      <c r="D2433" s="37" t="s">
        <v>14</v>
      </c>
      <c r="E2433" s="10"/>
      <c r="F2433" s="39">
        <v>23.5</v>
      </c>
      <c r="G2433" s="11">
        <v>1314811.0</v>
      </c>
      <c r="H2433" s="34" t="str">
        <f>IFERROR(__xludf.DUMMYFUNCTION("LOWER(REGEXREPLACE(B2433&amp;"" ""&amp;C2433,""[^а-яa-z0-9 ]"",""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f>
        <v>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v>
      </c>
    </row>
    <row r="2434">
      <c r="A2434" s="35" t="s">
        <v>5596</v>
      </c>
      <c r="B2434" s="31" t="s">
        <v>5597</v>
      </c>
      <c r="C2434" s="31" t="s">
        <v>5598</v>
      </c>
      <c r="D2434" s="37" t="s">
        <v>14</v>
      </c>
      <c r="E2434" s="10"/>
      <c r="F2434" s="39">
        <v>16.9</v>
      </c>
      <c r="G2434" s="11">
        <v>1007659.0</v>
      </c>
      <c r="H2434" s="34" t="str">
        <f>IFERROR(__xludf.DUMMYFUNCTION("LOWER(REGEXREPLACE(B2434&amp;"" ""&amp;C2434,""[^а-яa-z0-9 ]"","" ""))"),"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f>
        <v>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v>
      </c>
    </row>
    <row r="2435">
      <c r="A2435" s="35" t="s">
        <v>5599</v>
      </c>
      <c r="B2435" s="31" t="s">
        <v>5600</v>
      </c>
      <c r="C2435" s="31"/>
      <c r="D2435" s="37" t="s">
        <v>14</v>
      </c>
      <c r="E2435" s="38">
        <v>2.0</v>
      </c>
      <c r="F2435" s="39">
        <v>104.5</v>
      </c>
      <c r="G2435" s="11">
        <v>9407403.0</v>
      </c>
      <c r="H2435" s="34" t="str">
        <f>IFERROR(__xludf.DUMMYFUNCTION("LOWER(REGEXREPLACE(B2435&amp;"" ""&amp;C2435,""[^а-яa-z0-9 ]"","" ""))"),"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"&amp;"2 0  rs232c  rj45  audio  ir  платформа  web    совместимость   restron  класс защиты    5x ")</f>
        <v>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2 0  rs232c  rj45  audio  ir  платформа  web    совместимость   restron  класс защиты    5x </v>
      </c>
    </row>
    <row r="2436">
      <c r="A2436" s="35" t="s">
        <v>5601</v>
      </c>
      <c r="B2436" s="31" t="s">
        <v>5602</v>
      </c>
      <c r="C2436" s="31"/>
      <c r="D2436" s="37" t="s">
        <v>14</v>
      </c>
      <c r="E2436" s="38">
        <v>2.0</v>
      </c>
      <c r="F2436" s="39">
        <v>66.7</v>
      </c>
      <c r="G2436" s="11">
        <v>2832832.0</v>
      </c>
      <c r="H2436" s="34" t="str">
        <f>IFERROR(__xludf.DUMMYFUNCTION("LOWER(REGEXREPLACE(B2436&amp;"" ""&amp;C2436,""[^а-яa-z0-9 ]"",""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7">
      <c r="A2437" s="35" t="s">
        <v>5603</v>
      </c>
      <c r="B2437" s="31" t="s">
        <v>5602</v>
      </c>
      <c r="C2437" s="31"/>
      <c r="D2437" s="37" t="s">
        <v>14</v>
      </c>
      <c r="E2437" s="38">
        <v>2.0</v>
      </c>
      <c r="F2437" s="38">
        <v>44.0</v>
      </c>
      <c r="G2437" s="11">
        <v>1868464.0</v>
      </c>
      <c r="H2437" s="34" t="str">
        <f>IFERROR(__xludf.DUMMYFUNCTION("LOWER(REGEXREPLACE(B2437&amp;"" ""&amp;C2437,""[^а-яa-z0-9 ]"",""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8">
      <c r="A2438" s="35" t="s">
        <v>5604</v>
      </c>
      <c r="B2438" s="31" t="s">
        <v>5605</v>
      </c>
      <c r="C2438" s="31"/>
      <c r="D2438" s="37" t="s">
        <v>14</v>
      </c>
      <c r="E2438" s="38">
        <v>2.0</v>
      </c>
      <c r="F2438" s="38">
        <v>27.0</v>
      </c>
      <c r="G2438" s="11">
        <v>904119.0</v>
      </c>
      <c r="H2438" s="34" t="str">
        <f>IFERROR(__xludf.DUMMYFUNCTION("LOWER(REGEXREPLACE(B2438&amp;"" ""&amp;C2438,""[^а-яa-z0-9 ]"","" ""))"),"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9">
      <c r="A2439" s="35" t="s">
        <v>5606</v>
      </c>
      <c r="B2439" s="31" t="s">
        <v>5607</v>
      </c>
      <c r="C2439" s="31"/>
      <c r="D2439" s="37" t="s">
        <v>14</v>
      </c>
      <c r="E2439" s="38">
        <v>2.0</v>
      </c>
      <c r="F2439" s="39">
        <v>18.1</v>
      </c>
      <c r="G2439" s="11">
        <v>675068.0</v>
      </c>
      <c r="H2439" s="34" t="str">
        <f>IFERROR(__xludf.DUMMYFUNCTION("LOWER(REGEXREPLACE(B2439&amp;"" ""&amp;C2439,""[^а-яa-z0-9 ]"","" ""))"),"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0">
      <c r="A2440" s="35" t="s">
        <v>5608</v>
      </c>
      <c r="B2440" s="31" t="s">
        <v>5609</v>
      </c>
      <c r="C2440" s="31"/>
      <c r="D2440" s="37" t="s">
        <v>14</v>
      </c>
      <c r="E2440" s="38">
        <v>2.0</v>
      </c>
      <c r="F2440" s="39">
        <v>14.2</v>
      </c>
      <c r="G2440" s="11">
        <v>542464.0</v>
      </c>
      <c r="H2440" s="34" t="str">
        <f>IFERROR(__xludf.DUMMYFUNCTION("LOWER(REGEXREPLACE(B2440&amp;"" ""&amp;C2440,""[^а-яa-z0-9 ]"","" ""))"),"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1">
      <c r="A2441" s="35" t="s">
        <v>5610</v>
      </c>
      <c r="B2441" s="31" t="s">
        <v>5611</v>
      </c>
      <c r="C2441" s="31"/>
      <c r="D2441" s="37" t="s">
        <v>14</v>
      </c>
      <c r="E2441" s="38">
        <v>2.0</v>
      </c>
      <c r="F2441" s="39">
        <v>11.3</v>
      </c>
      <c r="G2441" s="11">
        <v>494238.0</v>
      </c>
      <c r="H2441" s="34" t="str">
        <f>IFERROR(__xludf.DUMMYFUNCTION("LOWER(REGEXREPLACE(B2441&amp;"" ""&amp;C2441,""[^а-яa-z0-9 ]"","" ""))"),"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платфо"&amp;"рма  web    совместимость   restron  класс защиты    5x ")</f>
        <v>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2">
      <c r="A2442" s="35" t="s">
        <v>5612</v>
      </c>
      <c r="B2442" s="9" t="s">
        <v>5613</v>
      </c>
      <c r="C2442" s="31"/>
      <c r="D2442" s="37" t="s">
        <v>14</v>
      </c>
      <c r="E2442" s="38">
        <v>2.0</v>
      </c>
      <c r="F2442" s="38">
        <v>110.0</v>
      </c>
      <c r="G2442" s="11">
        <v>1.0713555E7</v>
      </c>
      <c r="H2442" s="34" t="str">
        <f>IFERROR(__xludf.DUMMYFUNCTION("LOWER(REGEXREPLACE(B2442&amp;"" ""&amp;C2442,""[^а-яa-z0-9 ]"","" ""))"),"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us"&amp;"b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f>
        <v>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v>
      </c>
    </row>
    <row r="2443">
      <c r="A2443" s="35" t="s">
        <v>5614</v>
      </c>
      <c r="B2443" s="31" t="s">
        <v>5615</v>
      </c>
      <c r="C2443" s="31"/>
      <c r="D2443" s="37" t="s">
        <v>14</v>
      </c>
      <c r="E2443" s="38">
        <v>2.0</v>
      </c>
      <c r="F2443" s="39">
        <v>6.5</v>
      </c>
      <c r="G2443" s="11">
        <v>373683.0</v>
      </c>
      <c r="H2443" s="34" t="str">
        <f>IFERROR(__xludf.DUMMYFUNCTION("LOWER(REGEXREPLACE(B2443&amp;"" ""&amp;C2443,""[^а-яa-z0-9 ]"","" ""))"),"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us"&amp;"b 2 0  rs232c  rj45  audio  платформа  web   ")</f>
        <v>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usb 2 0  rs232c  rj45  audio  платформа  web   </v>
      </c>
    </row>
    <row r="2444">
      <c r="A2444" s="35" t="s">
        <v>5616</v>
      </c>
      <c r="B2444" s="31" t="s">
        <v>5617</v>
      </c>
      <c r="C2444" s="31"/>
      <c r="D2444" s="36"/>
      <c r="E2444" s="10"/>
      <c r="F2444" s="36"/>
      <c r="G2444" s="11"/>
      <c r="H2444" s="34" t="str">
        <f>IFERROR(__xludf.DUMMYFUNCTION("LOWER(REGEXREPLACE(B2444&amp;"" ""&amp;C2444,""[^а-яa-z0-9 ]"","" ""))")," омплектующие интерактивной системы ")</f>
        <v> омплектующие интерактивной системы </v>
      </c>
    </row>
    <row r="2445">
      <c r="A2445" s="35" t="s">
        <v>5618</v>
      </c>
      <c r="B2445" s="31" t="s">
        <v>5619</v>
      </c>
      <c r="C2445" s="31"/>
      <c r="D2445" s="37" t="s">
        <v>14</v>
      </c>
      <c r="E2445" s="10"/>
      <c r="F2445" s="39">
        <v>11.3</v>
      </c>
      <c r="G2445" s="11">
        <v>200389.0</v>
      </c>
      <c r="H2445" s="34" t="str">
        <f>IFERROR(__xludf.DUMMYFUNCTION("LOWER(REGEXREPLACE(B2445&amp;"" ""&amp;C2445,""[^а-яa-z0-9 ]"","" ""))"),"    55   настенное крепление с возможностью фронтального доступа для видеостенных дисплеев ")</f>
        <v>    55   настенное крепление с возможностью фронтального доступа для видеостенных дисплеев </v>
      </c>
    </row>
    <row r="2446">
      <c r="A2446" s="35" t="s">
        <v>5620</v>
      </c>
      <c r="B2446" s="9" t="s">
        <v>5621</v>
      </c>
      <c r="C2446" s="31"/>
      <c r="D2446" s="37" t="s">
        <v>14</v>
      </c>
      <c r="E2446" s="10"/>
      <c r="F2446" s="39">
        <v>1.3</v>
      </c>
      <c r="G2446" s="11">
        <v>530579.0</v>
      </c>
      <c r="H2446" s="34" t="str">
        <f>IFERROR(__xludf.DUMMYFUNCTION("LOWER(REGEXREPLACE(B2446&amp;"" ""&amp;C2446,""[^а-яa-z0-9 ]"","" ""))")," омпьютер встраиваемый для интерактивной панели      ore i7 7700   ntel  ore   7 7700 3 6  4 2  4 ядра 8 потоков        4 8          128   indows 10 ")</f>
        <v> омпьютер встраиваемый для интерактивной панели      ore i7 7700   ntel  ore   7 7700 3 6  4 2  4 ядра 8 потоков        4 8          128   indows 10 </v>
      </c>
    </row>
    <row r="2447">
      <c r="A2447" s="35" t="s">
        <v>5622</v>
      </c>
      <c r="B2447" s="31" t="s">
        <v>5623</v>
      </c>
      <c r="C2447" s="31"/>
      <c r="D2447" s="37" t="s">
        <v>14</v>
      </c>
      <c r="E2447" s="10"/>
      <c r="F2447" s="39">
        <v>1.3</v>
      </c>
      <c r="G2447" s="11">
        <v>377700.0</v>
      </c>
      <c r="H2447" s="34" t="str">
        <f>IFERROR(__xludf.DUMMYFUNCTION("LOWER(REGEXREPLACE(B2447&amp;"" ""&amp;C2447,""[^а-яa-z0-9 ]"","" ""))")," омпьютер встраиваемый для интерактивной панели      ore i5 1035    ntel  ore  i5 1035 1 1 00 3 60   z 4 ядра 8 потоков  ntel     raphics 630        4 8          256   indows 10 ")</f>
        <v> омпьютер встраиваемый для интерактивной панели      ore i5 1035    ntel  ore  i5 1035 1 1 00 3 60   z 4 ядра 8 потоков  ntel     raphics 630        4 8          256   indows 10 </v>
      </c>
    </row>
    <row r="2448">
      <c r="A2448" s="35" t="s">
        <v>5624</v>
      </c>
      <c r="B2448" s="31" t="s">
        <v>5625</v>
      </c>
      <c r="C2448" s="31"/>
      <c r="D2448" s="37" t="s">
        <v>14</v>
      </c>
      <c r="E2448" s="10"/>
      <c r="F2448" s="38">
        <v>4.0</v>
      </c>
      <c r="G2448" s="11">
        <v>584549.0</v>
      </c>
      <c r="H2448" s="34" t="str">
        <f>IFERROR(__xludf.DUMMYFUNCTION("LOWER(REGEXREPLACE(B2448&amp;"" ""&amp;C2448,""[^а-яa-z0-9 ]"","" ""))")," омпьютер встраиваемый для интерактивной панели  actus t panel 75    4 ядра  8 потоков 2 40   ц    128 b 8 b    4     indows ")</f>
        <v> омпьютер встраиваемый для интерактивной панели  actus t panel 75    4 ядра  8 потоков 2 40   ц    128 b 8 b    4     indows </v>
      </c>
    </row>
    <row r="2449">
      <c r="A2449" s="35" t="s">
        <v>5626</v>
      </c>
      <c r="B2449" s="31" t="s">
        <v>5627</v>
      </c>
      <c r="C2449" s="31"/>
      <c r="D2449" s="37" t="s">
        <v>14</v>
      </c>
      <c r="E2449" s="10"/>
      <c r="F2449" s="38">
        <v>60.0</v>
      </c>
      <c r="G2449" s="11">
        <v>171062.0</v>
      </c>
      <c r="H2449" s="34" t="str">
        <f>IFERROR(__xludf.DUMMYFUNCTION("LOWER(REGEXREPLACE(B2449&amp;"" ""&amp;C2449,""[^а-яa-z0-9 ]"","" ""))")," обильная стойка для интерактивных панелей диагональю 75 дюймов       800x400 ")</f>
        <v> обильная стойка для интерактивных панелей диагональю 75 дюймов       800x400 </v>
      </c>
    </row>
    <row r="2450">
      <c r="A2450" s="35" t="s">
        <v>5628</v>
      </c>
      <c r="B2450" s="9" t="s">
        <v>5629</v>
      </c>
      <c r="C2450" s="31"/>
      <c r="D2450" s="37" t="s">
        <v>14</v>
      </c>
      <c r="E2450" s="38">
        <v>1.0</v>
      </c>
      <c r="F2450" s="39">
        <v>23.7</v>
      </c>
      <c r="G2450" s="11">
        <v>111961.0</v>
      </c>
      <c r="H2450" s="34" t="str">
        <f>IFERROR(__xludf.DUMMYFUNCTION("LOWER(REGEXREPLACE(B2450&amp;"" ""&amp;C2450,""[^а-яa-z0-9 ]"","" ""))")," обильная стойка для интерактивных панелей диагональю 65 86 дюймов ")</f>
        <v> обильная стойка для интерактивных панелей диагональю 65 86 дюймов </v>
      </c>
    </row>
    <row r="2451">
      <c r="A2451" s="35" t="s">
        <v>5630</v>
      </c>
      <c r="B2451" s="9" t="s">
        <v>5631</v>
      </c>
      <c r="C2451" s="31" t="s">
        <v>5632</v>
      </c>
      <c r="D2451" s="37" t="s">
        <v>14</v>
      </c>
      <c r="E2451" s="10"/>
      <c r="F2451" s="38">
        <v>20.0</v>
      </c>
      <c r="G2451" s="11">
        <v>107980.0</v>
      </c>
      <c r="H2451" s="34" t="str">
        <f>IFERROR(__xludf.DUMMYFUNCTION("LOWER(REGEXREPLACE(B2451&amp;"" ""&amp;C2451,""[^а-яa-z0-9 ]"","" ""))"),"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менее"&amp;"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и"&amp;"нтегрированные фиксаторы положения в каждом из них  смогут над жно е  зафиксировать и избежать случайного перемещения ")</f>
        <v>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интегрированные фиксаторы положения в каждом из них  смогут над жно е  зафиксировать и избежать случайного перемещения </v>
      </c>
    </row>
    <row r="2452">
      <c r="A2452" s="35" t="s">
        <v>5633</v>
      </c>
      <c r="B2452" s="31" t="s">
        <v>5634</v>
      </c>
      <c r="C2452" s="31" t="s">
        <v>5635</v>
      </c>
      <c r="D2452" s="37" t="s">
        <v>14</v>
      </c>
      <c r="E2452" s="38">
        <v>2.0</v>
      </c>
      <c r="F2452" s="39">
        <v>31.1</v>
      </c>
      <c r="G2452" s="11">
        <v>65943.0</v>
      </c>
      <c r="H2452" s="34" t="str">
        <f>IFERROR(__xludf.DUMMYFUNCTION("LOWER(REGEXREPLACE(B2452&amp;"" ""&amp;C2452,""[^а-яa-z0-9 ]"","" ""))"),"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упак"&amp;"овке   аводская упаковка от производителя   паковка имеет логотип производителя с заводским нанесением  4 колесика  2 подставки  крепление для камеры и болты ")</f>
        <v>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2 подставки  крепление для камеры и болты </v>
      </c>
    </row>
    <row r="2453">
      <c r="A2453" s="35" t="s">
        <v>5636</v>
      </c>
      <c r="B2453" s="31" t="s">
        <v>5637</v>
      </c>
      <c r="C2453" s="31" t="s">
        <v>5638</v>
      </c>
      <c r="D2453" s="37" t="s">
        <v>14</v>
      </c>
      <c r="E2453" s="38">
        <v>2.0</v>
      </c>
      <c r="F2453" s="39">
        <v>28.3</v>
      </c>
      <c r="G2453" s="11">
        <v>65932.0</v>
      </c>
      <c r="H2453" s="34" t="str">
        <f>IFERROR(__xludf.DUMMYFUNCTION("LOWER(REGEXREPLACE(B2453&amp;"" ""&amp;C2453,""[^а-яa-z0-9 ]"","" ""))"),"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уп"&amp;"аковке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f>
        <v>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v>
      </c>
    </row>
    <row r="2454">
      <c r="A2454" s="35" t="s">
        <v>5639</v>
      </c>
      <c r="B2454" s="31" t="s">
        <v>5640</v>
      </c>
      <c r="C2454" s="31" t="s">
        <v>5641</v>
      </c>
      <c r="D2454" s="37" t="s">
        <v>14</v>
      </c>
      <c r="E2454" s="38">
        <v>2.0</v>
      </c>
      <c r="F2454" s="39">
        <v>1.7</v>
      </c>
      <c r="G2454" s="11">
        <v>389712.0</v>
      </c>
      <c r="H2454" s="34" t="str">
        <f>IFERROR(__xludf.DUMMYFUNCTION("LOWER(REGEXREPLACE(B2454&amp;"" ""&amp;C2454,""[^а-яa-z0-9 ]"","" ""))"),"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часто"&amp;"та  3200   ц   вердотельный диск        вердотельный диск  память  512      нутренний разъем 1 х  2   нтерфейсы подключения 1 x     2 0  ype    5 x     3 0  ype    1x      1x    1 x    45  1x      ype    1 x            1 x          нтенны  2 шт ")</f>
        <v>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частота  3200   ц   вердотельный диск        вердотельный диск  память  512      нутренний разъем 1 х  2   нтерфейсы подключения 1 x     2 0  ype    5 x     3 0  ype    1x      1x    1 x    45  1x      ype    1 x            1 x          нтенны  2 шт </v>
      </c>
    </row>
    <row r="2455">
      <c r="A2455" s="35" t="s">
        <v>5642</v>
      </c>
      <c r="B2455" s="31" t="s">
        <v>5643</v>
      </c>
      <c r="C2455" s="31"/>
      <c r="D2455" s="37" t="s">
        <v>14</v>
      </c>
      <c r="E2455" s="10"/>
      <c r="F2455" s="36"/>
      <c r="G2455" s="11"/>
      <c r="H2455" s="34" t="str">
        <f>IFERROR(__xludf.DUMMYFUNCTION("LOWER(REGEXREPLACE(B2455&amp;"" ""&amp;C2455,""[^а-яa-z0-9 ]"","" ""))"),"    экран ")</f>
        <v>    экран </v>
      </c>
    </row>
    <row r="2456">
      <c r="A2456" s="35" t="s">
        <v>5644</v>
      </c>
      <c r="B2456" s="31" t="s">
        <v>5645</v>
      </c>
      <c r="C2456" s="31" t="s">
        <v>5646</v>
      </c>
      <c r="D2456" s="37" t="s">
        <v>14</v>
      </c>
      <c r="E2456" s="38">
        <v>2.0</v>
      </c>
      <c r="F2456" s="38">
        <v>100.0</v>
      </c>
      <c r="G2456" s="11">
        <v>8993246.0</v>
      </c>
      <c r="H2456" s="34" t="str">
        <f>IFERROR(__xludf.DUMMYFUNCTION("LOWER(REGEXREPLACE(B2456&amp;"" ""&amp;C2456,""[^а-яa-z0-9 ]"","" ""))"),"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f>
        <v>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v>
      </c>
    </row>
    <row r="2457">
      <c r="A2457" s="35" t="s">
        <v>5647</v>
      </c>
      <c r="B2457" s="31" t="s">
        <v>5648</v>
      </c>
      <c r="C2457" s="31"/>
      <c r="D2457" s="37" t="s">
        <v>14</v>
      </c>
      <c r="E2457" s="10"/>
      <c r="F2457" s="36"/>
      <c r="G2457" s="11"/>
      <c r="H2457" s="34" t="str">
        <f>IFERROR(__xludf.DUMMYFUNCTION("LOWER(REGEXREPLACE(B2457&amp;"" ""&amp;C2457,""[^а-яa-z0-9 ]"","" ""))")," рибуна интерактивная ")</f>
        <v> рибуна интерактивная </v>
      </c>
    </row>
    <row r="2458">
      <c r="A2458" s="35" t="s">
        <v>5649</v>
      </c>
      <c r="B2458" s="9" t="s">
        <v>5650</v>
      </c>
      <c r="C2458" s="31" t="s">
        <v>5651</v>
      </c>
      <c r="D2458" s="37" t="s">
        <v>14</v>
      </c>
      <c r="E2458" s="38">
        <v>2.0</v>
      </c>
      <c r="F2458" s="38">
        <v>100.0</v>
      </c>
      <c r="G2458" s="11">
        <v>2248603.0</v>
      </c>
      <c r="H2458" s="34" t="str">
        <f>IFERROR(__xludf.DUMMYFUNCTION("LOWER(REGEXREPLACE(B2458&amp;"" ""&amp;C2458,""[^а-яa-z0-9 ]"","" ""))"),"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"&amp;"16        2666  z    4   4 21300 19 19 19 43   416  2666 19   ulk  ack   1 шт   твердотельный накопитель 512              25 3 512           3  eries2 5           520   s  470   s      in 11      1 шт   монитор 21 5 дюйма   1 шт   сенсорное стекло 10 каса"&amp;"ний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f>
        <v>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16        2666  z    4   4 21300 19 19 19 43   416  2666 19   ulk  ack   1 шт   твердотельный накопитель 512              25 3 512           3  eries2 5           520   s  470   s      in 11      1 шт   монитор 21 5 дюйма   1 шт   сенсорное стекло 10 касаний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v>
      </c>
    </row>
    <row r="2459">
      <c r="A2459" s="35" t="s">
        <v>5652</v>
      </c>
      <c r="B2459" s="31" t="s">
        <v>5653</v>
      </c>
      <c r="C2459" s="31"/>
      <c r="D2459" s="37" t="s">
        <v>14</v>
      </c>
      <c r="E2459" s="10"/>
      <c r="F2459" s="36"/>
      <c r="G2459" s="11"/>
      <c r="H2459" s="34" t="str">
        <f>IFERROR(__xludf.DUMMYFUNCTION("LOWER(REGEXREPLACE(B2459&amp;"" ""&amp;C2459,""[^а-яa-z0-9 ]"","" ""))")," иоск интерактивный ")</f>
        <v> иоск интерактивный </v>
      </c>
    </row>
    <row r="2460">
      <c r="A2460" s="35" t="s">
        <v>5654</v>
      </c>
      <c r="B2460" s="9" t="s">
        <v>5655</v>
      </c>
      <c r="C2460" s="31"/>
      <c r="D2460" s="37" t="s">
        <v>14</v>
      </c>
      <c r="E2460" s="38">
        <v>2.0</v>
      </c>
      <c r="F2460" s="38">
        <v>100.0</v>
      </c>
      <c r="G2460" s="11">
        <v>1349317.0</v>
      </c>
      <c r="H2460" s="34" t="str">
        <f>IFERROR(__xludf.DUMMYFUNCTION("LOWER(REGEXREPLACE(B2460&amp;"" ""&amp;C2460,""[^а-яa-z0-9 ]"","" ""))"),"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f>
        <v>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v>
      </c>
    </row>
    <row r="2461">
      <c r="A2461" s="35" t="s">
        <v>5656</v>
      </c>
      <c r="B2461" s="9" t="s">
        <v>5657</v>
      </c>
      <c r="C2461" s="31"/>
      <c r="D2461" s="37" t="s">
        <v>14</v>
      </c>
      <c r="E2461" s="38">
        <v>2.0</v>
      </c>
      <c r="F2461" s="38">
        <v>100.0</v>
      </c>
      <c r="G2461" s="11">
        <v>1349317.0</v>
      </c>
      <c r="H2461" s="34" t="str">
        <f>IFERROR(__xludf.DUMMYFUNCTION("LOWER(REGEXREPLACE(B2461&amp;"" ""&amp;C2461,""[^а-яa-z0-9 ]"","" ""))"),"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мм"&amp;" ")</f>
        <v>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 </v>
      </c>
    </row>
    <row r="2462">
      <c r="A2462" s="35" t="s">
        <v>5658</v>
      </c>
      <c r="B2462" s="9" t="s">
        <v>5659</v>
      </c>
      <c r="C2462" s="31"/>
      <c r="D2462" s="36"/>
      <c r="E2462" s="10"/>
      <c r="F2462" s="36"/>
      <c r="G2462" s="11"/>
      <c r="H2462" s="34" t="str">
        <f>IFERROR(__xludf.DUMMYFUNCTION("LOWER(REGEXREPLACE(B2462&amp;"" ""&amp;C2462,""[^а-яa-z0-9 ]"","" ""))")," чебно практическое и учебно лабораторное оборудование ")</f>
        <v> чебно практическое и учебно лабораторное оборудование </v>
      </c>
    </row>
    <row r="2463">
      <c r="A2463" s="35" t="s">
        <v>5660</v>
      </c>
      <c r="B2463" s="31" t="s">
        <v>5661</v>
      </c>
      <c r="C2463" s="31" t="s">
        <v>5661</v>
      </c>
      <c r="D2463" s="37" t="s">
        <v>14</v>
      </c>
      <c r="E2463" s="38">
        <v>2.0</v>
      </c>
      <c r="F2463" s="38">
        <v>3.0</v>
      </c>
      <c r="G2463" s="11">
        <v>6028.0</v>
      </c>
      <c r="H2463" s="34" t="str">
        <f>IFERROR(__xludf.DUMMYFUNCTION("LOWER(REGEXREPLACE(B2463&amp;"" ""&amp;C2463,""[^а-яa-z0-9 ]"","" ""))")," гнетушитель  гнетушитель")</f>
        <v> гнетушитель  гнетушитель</v>
      </c>
    </row>
    <row r="2464">
      <c r="A2464" s="35" t="s">
        <v>5662</v>
      </c>
      <c r="B2464" s="31" t="s">
        <v>762</v>
      </c>
      <c r="C2464" s="31"/>
      <c r="D2464" s="37" t="s">
        <v>14</v>
      </c>
      <c r="E2464" s="10"/>
      <c r="F2464" s="36"/>
      <c r="G2464" s="11"/>
      <c r="H2464" s="34" t="str">
        <f>IFERROR(__xludf.DUMMYFUNCTION("LOWER(REGEXREPLACE(B2464&amp;"" ""&amp;C2464,""[^а-яa-z0-9 ]"","" ""))")," ольберт ")</f>
        <v> ольберт </v>
      </c>
    </row>
    <row r="2465">
      <c r="A2465" s="35" t="s">
        <v>5663</v>
      </c>
      <c r="B2465" s="31" t="s">
        <v>5664</v>
      </c>
      <c r="C2465" s="31" t="s">
        <v>5664</v>
      </c>
      <c r="D2465" s="37" t="s">
        <v>14</v>
      </c>
      <c r="E2465" s="38">
        <v>2.0</v>
      </c>
      <c r="F2465" s="39">
        <v>1.5</v>
      </c>
      <c r="G2465" s="11">
        <v>20628.0</v>
      </c>
      <c r="H2465" s="34" t="str">
        <f>IFERROR(__xludf.DUMMYFUNCTION("LOWER(REGEXREPLACE(B2465&amp;"" ""&amp;C2465,""[^а-яa-z0-9 ]"","" ""))")," ольберт низкий складной  размеры не менее 600х1000мм  ольберт низкий складной  размеры не менее 600х1000мм")</f>
        <v> ольберт низкий складной  размеры не менее 600х1000мм  ольберт низкий складной  размеры не менее 600х1000мм</v>
      </c>
    </row>
    <row r="2466">
      <c r="A2466" s="35" t="s">
        <v>5665</v>
      </c>
      <c r="B2466" s="31" t="s">
        <v>5666</v>
      </c>
      <c r="C2466" s="31"/>
      <c r="D2466" s="36"/>
      <c r="E2466" s="10"/>
      <c r="F2466" s="36"/>
      <c r="G2466" s="11"/>
      <c r="H2466" s="34" t="str">
        <f>IFERROR(__xludf.DUMMYFUNCTION("LOWER(REGEXREPLACE(B2466&amp;"" ""&amp;C2466,""[^а-яa-z0-9 ]"","" ""))")," ифровые образовательные ресурсы ")</f>
        <v> ифровые образовательные ресурсы </v>
      </c>
    </row>
    <row r="2467">
      <c r="A2467" s="35" t="s">
        <v>5667</v>
      </c>
      <c r="B2467" s="31" t="s">
        <v>5668</v>
      </c>
      <c r="C2467" s="31"/>
      <c r="D2467" s="37" t="s">
        <v>14</v>
      </c>
      <c r="E2467" s="10"/>
      <c r="F2467" s="36"/>
      <c r="G2467" s="11">
        <v>63054.0</v>
      </c>
      <c r="H2467" s="34" t="str">
        <f>IFERROR(__xludf.DUMMYFUNCTION("LOWER(REGEXREPLACE(B2467&amp;"" ""&amp;C2467,""[^а-яa-z0-9 ]"","" ""))")," нтерфейс ")</f>
        <v> нтерфейс </v>
      </c>
    </row>
    <row r="2468">
      <c r="A2468" s="35" t="s">
        <v>5669</v>
      </c>
      <c r="B2468" s="9" t="s">
        <v>5670</v>
      </c>
      <c r="C2468" s="31"/>
      <c r="D2468" s="37" t="s">
        <v>14</v>
      </c>
      <c r="E2468" s="10"/>
      <c r="F2468" s="36"/>
      <c r="G2468" s="11">
        <v>79393.0</v>
      </c>
      <c r="H2468" s="34" t="str">
        <f>IFERROR(__xludf.DUMMYFUNCTION("LOWER(REGEXREPLACE(B2468&amp;"" ""&amp;C2468,""[^а-яa-z0-9 ]"","" ""))")," чебное программное обеспечение для записи  показа и анализа данных ")</f>
        <v> чебное программное обеспечение для записи  показа и анализа данных </v>
      </c>
    </row>
    <row r="2469">
      <c r="A2469" s="35" t="s">
        <v>5671</v>
      </c>
      <c r="B2469" s="31" t="s">
        <v>5672</v>
      </c>
      <c r="C2469" s="31"/>
      <c r="D2469" s="37" t="s">
        <v>14</v>
      </c>
      <c r="E2469" s="10"/>
      <c r="F2469" s="36"/>
      <c r="G2469" s="11">
        <v>52857.0</v>
      </c>
      <c r="H2469" s="34" t="str">
        <f>IFERROR(__xludf.DUMMYFUNCTION("LOWER(REGEXREPLACE(B2469&amp;"" ""&amp;C2469,""[^а-яa-z0-9 ]"","" ""))")," истема управления кабинетом ")</f>
        <v> истема управления кабинетом </v>
      </c>
    </row>
    <row r="2470">
      <c r="A2470" s="35" t="s">
        <v>5673</v>
      </c>
      <c r="B2470" s="9" t="s">
        <v>5674</v>
      </c>
      <c r="C2470" s="31"/>
      <c r="D2470" s="36"/>
      <c r="E2470" s="10"/>
      <c r="F2470" s="36"/>
      <c r="G2470" s="11"/>
      <c r="H2470" s="34" t="str">
        <f>IFERROR(__xludf.DUMMYFUNCTION("LOWER(REGEXREPLACE(B2470&amp;"" ""&amp;C2470,""[^а-яa-z0-9 ]"","" ""))")," нформационно коммуникационные средства ")</f>
        <v> нформационно коммуникационные средства </v>
      </c>
    </row>
    <row r="2471">
      <c r="A2471" s="35" t="s">
        <v>5675</v>
      </c>
      <c r="B2471" s="31" t="s">
        <v>5676</v>
      </c>
      <c r="C2471" s="31"/>
      <c r="D2471" s="37" t="s">
        <v>14</v>
      </c>
      <c r="E2471" s="10"/>
      <c r="F2471" s="36"/>
      <c r="G2471" s="11"/>
      <c r="H2471" s="34" t="str">
        <f>IFERROR(__xludf.DUMMYFUNCTION("LOWER(REGEXREPLACE(B2471&amp;"" ""&amp;C2471,""[^а-яa-z0-9 ]"","" ""))")," окумент камера ")</f>
        <v> окумент камера </v>
      </c>
    </row>
    <row r="2472">
      <c r="A2472" s="35" t="s">
        <v>5677</v>
      </c>
      <c r="B2472" s="31" t="s">
        <v>5676</v>
      </c>
      <c r="C2472" s="31"/>
      <c r="D2472" s="37" t="s">
        <v>14</v>
      </c>
      <c r="E2472" s="10"/>
      <c r="F2472" s="36"/>
      <c r="G2472" s="11">
        <v>135804.0</v>
      </c>
      <c r="H2472" s="34" t="str">
        <f>IFERROR(__xludf.DUMMYFUNCTION("LOWER(REGEXREPLACE(B2472&amp;"" ""&amp;C2472,""[^а-яa-z0-9 ]"","" ""))")," окумент камера ")</f>
        <v> окумент камера </v>
      </c>
    </row>
    <row r="2473">
      <c r="A2473" s="35" t="s">
        <v>5678</v>
      </c>
      <c r="B2473" s="31" t="s">
        <v>5679</v>
      </c>
      <c r="C2473" s="31"/>
      <c r="D2473" s="37" t="s">
        <v>14</v>
      </c>
      <c r="E2473" s="10"/>
      <c r="F2473" s="36"/>
      <c r="G2473" s="11">
        <v>87589.0</v>
      </c>
      <c r="H2473" s="34" t="str">
        <f>IFERROR(__xludf.DUMMYFUNCTION("LOWER(REGEXREPLACE(B2473&amp;"" ""&amp;C2473,""[^а-яa-z0-9 ]"","" ""))")," окумент камера          51 ")</f>
        <v> окумент камера          51 </v>
      </c>
    </row>
    <row r="2474">
      <c r="A2474" s="35" t="s">
        <v>5680</v>
      </c>
      <c r="B2474" s="31" t="s">
        <v>5681</v>
      </c>
      <c r="C2474" s="31"/>
      <c r="D2474" s="37" t="s">
        <v>14</v>
      </c>
      <c r="E2474" s="38">
        <v>2.0</v>
      </c>
      <c r="F2474" s="39">
        <v>1.5</v>
      </c>
      <c r="G2474" s="11">
        <v>204318.0</v>
      </c>
      <c r="H2474" s="34" t="str">
        <f>IFERROR(__xludf.DUMMYFUNCTION("LOWER(REGEXREPLACE(B2474&amp;"" ""&amp;C2474,""[^а-яa-z0-9 ]"","" ""))")," окумент камера типа  vervision  50 ")</f>
        <v> окумент камера типа  vervision  50 </v>
      </c>
    </row>
    <row r="2475">
      <c r="A2475" s="35" t="s">
        <v>5682</v>
      </c>
      <c r="B2475" s="31" t="s">
        <v>5683</v>
      </c>
      <c r="C2475" s="31"/>
      <c r="D2475" s="36"/>
      <c r="E2475" s="10"/>
      <c r="F2475" s="36"/>
      <c r="G2475" s="11"/>
      <c r="H2475" s="34" t="str">
        <f>IFERROR(__xludf.DUMMYFUNCTION("LOWER(REGEXREPLACE(B2475&amp;"" ""&amp;C2475,""[^а-яa-z0-9 ]"","" ""))")," абораторное оборудование ")</f>
        <v> абораторное оборудование </v>
      </c>
    </row>
    <row r="2476">
      <c r="A2476" s="35" t="s">
        <v>5684</v>
      </c>
      <c r="B2476" s="31" t="s">
        <v>5685</v>
      </c>
      <c r="C2476" s="31"/>
      <c r="D2476" s="37" t="s">
        <v>14</v>
      </c>
      <c r="E2476" s="10"/>
      <c r="F2476" s="36"/>
      <c r="G2476" s="11"/>
      <c r="H2476" s="34" t="str">
        <f>IFERROR(__xludf.DUMMYFUNCTION("LOWER(REGEXREPLACE(B2476&amp;"" ""&amp;C2476,""[^а-яa-z0-9 ]"","" ""))")," арометр анероид ")</f>
        <v> арометр анероид </v>
      </c>
    </row>
    <row r="2477">
      <c r="A2477" s="35" t="s">
        <v>5686</v>
      </c>
      <c r="B2477" s="9" t="s">
        <v>5687</v>
      </c>
      <c r="C2477" s="31"/>
      <c r="D2477" s="37" t="s">
        <v>14</v>
      </c>
      <c r="E2477" s="38">
        <v>2.0</v>
      </c>
      <c r="F2477" s="39">
        <v>0.5</v>
      </c>
      <c r="G2477" s="11">
        <v>47448.0</v>
      </c>
      <c r="H2477" s="34" t="str">
        <f>IFERROR(__xludf.DUMMYFUNCTION("LOWER(REGEXREPLACE(B2477&amp;"" ""&amp;C2477,""[^а-яa-z0-9 ]"","" ""))")," арометр анероид   иапазон  720 780мм рт ст   96000 104000 а  цена деления 1мм рт ст   100 а ")</f>
        <v> арометр анероид   иапазон  720 780мм рт ст   96000 104000 а  цена деления 1мм рт ст   100 а </v>
      </c>
    </row>
    <row r="2478">
      <c r="A2478" s="35" t="s">
        <v>5688</v>
      </c>
      <c r="B2478" s="31" t="s">
        <v>5689</v>
      </c>
      <c r="C2478" s="31"/>
      <c r="D2478" s="37" t="s">
        <v>14</v>
      </c>
      <c r="E2478" s="38">
        <v>2.0</v>
      </c>
      <c r="F2478" s="39">
        <v>0.5</v>
      </c>
      <c r="G2478" s="11">
        <v>9894.0</v>
      </c>
      <c r="H2478" s="34" t="str">
        <f>IFERROR(__xludf.DUMMYFUNCTION("LOWER(REGEXREPLACE(B2478&amp;"" ""&amp;C2478,""[^а-яa-z0-9 ]"","" ""))")," арометр анероид   иапазон  950 1070г а  точность    5г а ")</f>
        <v> арометр анероид   иапазон  950 1070г а  точность    5г а </v>
      </c>
    </row>
    <row r="2479">
      <c r="A2479" s="35" t="s">
        <v>5690</v>
      </c>
      <c r="B2479" s="31" t="s">
        <v>5691</v>
      </c>
      <c r="C2479" s="31"/>
      <c r="D2479" s="37" t="s">
        <v>14</v>
      </c>
      <c r="E2479" s="10"/>
      <c r="F2479" s="36"/>
      <c r="G2479" s="11"/>
      <c r="H2479" s="34" t="str">
        <f>IFERROR(__xludf.DUMMYFUNCTION("LOWER(REGEXREPLACE(B2479&amp;"" ""&amp;C2479,""[^а-яa-z0-9 ]"","" ""))")," ермометр ")</f>
        <v> ермометр </v>
      </c>
    </row>
    <row r="2480">
      <c r="A2480" s="35" t="s">
        <v>5692</v>
      </c>
      <c r="B2480" s="31" t="s">
        <v>5693</v>
      </c>
      <c r="C2480" s="31"/>
      <c r="D2480" s="37" t="s">
        <v>14</v>
      </c>
      <c r="E2480" s="10"/>
      <c r="F2480" s="36"/>
      <c r="G2480" s="11">
        <v>405.0</v>
      </c>
      <c r="H2480" s="34" t="str">
        <f>IFERROR(__xludf.DUMMYFUNCTION("LOWER(REGEXREPLACE(B2480&amp;"" ""&amp;C2480,""[^а-яa-z0-9 ]"","" ""))")," ермометр демонстрационный ")</f>
        <v> ермометр демонстрационный </v>
      </c>
    </row>
    <row r="2481">
      <c r="A2481" s="35" t="s">
        <v>5694</v>
      </c>
      <c r="B2481" s="31" t="s">
        <v>5695</v>
      </c>
      <c r="C2481" s="31"/>
      <c r="D2481" s="37" t="s">
        <v>14</v>
      </c>
      <c r="E2481" s="38">
        <v>2.0</v>
      </c>
      <c r="F2481" s="40">
        <v>0.05</v>
      </c>
      <c r="G2481" s="11">
        <v>8543.0</v>
      </c>
      <c r="H2481" s="34" t="str">
        <f>IFERROR(__xludf.DUMMYFUNCTION("LOWER(REGEXREPLACE(B2481&amp;"" ""&amp;C2481,""[^а-яa-z0-9 ]"","" ""))")," ермометр с фиксацией максимального и минимального значений типа  cience ube      106   иапазон   20   до  50   ")</f>
        <v> ермометр с фиксацией максимального и минимального значений типа  cience ube      106   иапазон   20   до  50   </v>
      </c>
    </row>
    <row r="2482">
      <c r="A2482" s="35" t="s">
        <v>5696</v>
      </c>
      <c r="B2482" s="31" t="s">
        <v>5697</v>
      </c>
      <c r="C2482" s="31"/>
      <c r="D2482" s="37" t="s">
        <v>14</v>
      </c>
      <c r="E2482" s="38">
        <v>2.0</v>
      </c>
      <c r="F2482" s="42">
        <v>0.145</v>
      </c>
      <c r="G2482" s="11">
        <v>4306.0</v>
      </c>
      <c r="H2482" s="34" t="str">
        <f>IFERROR(__xludf.DUMMYFUNCTION("LOWER(REGEXREPLACE(B2482&amp;"" ""&amp;C2482,""[^а-яa-z0-9 ]"","" ""))")," ермометр цифровой   ержавеющая сталь   иапазон  от  50   до  100   ")</f>
        <v> ермометр цифровой   ержавеющая сталь   иапазон  от  50   до  100   </v>
      </c>
    </row>
    <row r="2483">
      <c r="A2483" s="35" t="s">
        <v>5698</v>
      </c>
      <c r="B2483" s="31" t="s">
        <v>5699</v>
      </c>
      <c r="C2483" s="31" t="s">
        <v>5700</v>
      </c>
      <c r="D2483" s="37" t="s">
        <v>14</v>
      </c>
      <c r="E2483" s="10"/>
      <c r="F2483" s="36"/>
      <c r="G2483" s="11">
        <v>346.0</v>
      </c>
      <c r="H2483" s="34" t="str">
        <f>IFERROR(__xludf.DUMMYFUNCTION("LOWER(REGEXREPLACE(B2483&amp;"" ""&amp;C2483,""[^а-яa-z0-9 ]"","" ""))"),"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f>
        <v>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v>
      </c>
    </row>
    <row r="2484">
      <c r="A2484" s="35" t="s">
        <v>5701</v>
      </c>
      <c r="B2484" s="31" t="s">
        <v>5702</v>
      </c>
      <c r="C2484" s="31" t="s">
        <v>5703</v>
      </c>
      <c r="D2484" s="37" t="s">
        <v>68</v>
      </c>
      <c r="E2484" s="10"/>
      <c r="F2484" s="40">
        <v>0.05</v>
      </c>
      <c r="G2484" s="11">
        <v>720.0</v>
      </c>
      <c r="H2484" s="34" t="str">
        <f>IFERROR(__xludf.DUMMYFUNCTION("LOWER(REGEXREPLACE(B2484&amp;"" ""&amp;C2484,""[^а-яa-z0-9 ]"","" ""))"),"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гн"&amp;"ездом для установки на иглу пластмассовой стойки   еверный полюс стрелки окрашен в синий цвет  а южный   в красный ")</f>
        <v>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гнездом для установки на иглу пластмассовой стойки   еверный полюс стрелки окрашен в синий цвет  а южный   в красный </v>
      </c>
    </row>
    <row r="2485">
      <c r="A2485" s="35" t="s">
        <v>5704</v>
      </c>
      <c r="B2485" s="31" t="s">
        <v>5705</v>
      </c>
      <c r="C2485" s="31"/>
      <c r="D2485" s="37" t="s">
        <v>14</v>
      </c>
      <c r="E2485" s="10"/>
      <c r="F2485" s="36"/>
      <c r="G2485" s="11"/>
      <c r="H2485" s="34" t="str">
        <f>IFERROR(__xludf.DUMMYFUNCTION("LOWER(REGEXREPLACE(B2485&amp;"" ""&amp;C2485,""[^а-яa-z0-9 ]"","" ""))")," еллурий  модель  олнце    емля    уна  ")</f>
        <v> еллурий  модель  олнце    емля    уна  </v>
      </c>
    </row>
    <row r="2486">
      <c r="A2486" s="35" t="s">
        <v>5706</v>
      </c>
      <c r="B2486" s="31" t="s">
        <v>5705</v>
      </c>
      <c r="C2486" s="31"/>
      <c r="D2486" s="37" t="s">
        <v>14</v>
      </c>
      <c r="E2486" s="10"/>
      <c r="F2486" s="36"/>
      <c r="G2486" s="11">
        <v>32644.0</v>
      </c>
      <c r="H2486" s="34" t="str">
        <f>IFERROR(__xludf.DUMMYFUNCTION("LOWER(REGEXREPLACE(B2486&amp;"" ""&amp;C2486,""[^а-яa-z0-9 ]"","" ""))")," еллурий  модель  олнце    емля    уна  ")</f>
        <v> еллурий  модель  олнце    емля    уна  </v>
      </c>
    </row>
    <row r="2487">
      <c r="A2487" s="35" t="s">
        <v>5707</v>
      </c>
      <c r="B2487" s="31" t="s">
        <v>5708</v>
      </c>
      <c r="C2487" s="31"/>
      <c r="D2487" s="37" t="s">
        <v>68</v>
      </c>
      <c r="E2487" s="38">
        <v>2.0</v>
      </c>
      <c r="F2487" s="39">
        <v>7.1</v>
      </c>
      <c r="G2487" s="11">
        <v>810960.0</v>
      </c>
      <c r="H2487" s="34" t="str">
        <f>IFERROR(__xludf.DUMMYFUNCTION("LOWER(REGEXREPLACE(B2487&amp;"" ""&amp;C2487,""[^а-яa-z0-9 ]"","" ""))")," омплект демонстрационного оборудования   еллурий  типа  ornelsen  xperimenta 31121 44260 ")</f>
        <v> омплект демонстрационного оборудования   еллурий  типа  ornelsen  xperimenta 31121 44260 </v>
      </c>
    </row>
    <row r="2488">
      <c r="A2488" s="35" t="s">
        <v>5709</v>
      </c>
      <c r="B2488" s="31" t="s">
        <v>5710</v>
      </c>
      <c r="C2488" s="31"/>
      <c r="D2488" s="37" t="s">
        <v>14</v>
      </c>
      <c r="E2488" s="10"/>
      <c r="F2488" s="36"/>
      <c r="G2488" s="11"/>
      <c r="H2488" s="34" t="str">
        <f>IFERROR(__xludf.DUMMYFUNCTION("LOWER(REGEXREPLACE(B2488&amp;"" ""&amp;C2488,""[^а-яa-z0-9 ]"","" ""))")," аня комбинированная ")</f>
        <v> аня комбинированная </v>
      </c>
    </row>
    <row r="2489">
      <c r="A2489" s="35" t="s">
        <v>5711</v>
      </c>
      <c r="B2489" s="9" t="s">
        <v>5712</v>
      </c>
      <c r="C2489" s="31" t="s">
        <v>5713</v>
      </c>
      <c r="D2489" s="37" t="s">
        <v>14</v>
      </c>
      <c r="E2489" s="38">
        <v>2.0</v>
      </c>
      <c r="F2489" s="40">
        <v>1.86</v>
      </c>
      <c r="G2489" s="11">
        <v>52346.0</v>
      </c>
      <c r="H2489" s="34" t="str">
        <f>IFERROR(__xludf.DUMMYFUNCTION("LOWER(REGEXREPLACE(B2489&amp;"" ""&amp;C2489,""[^а-яa-z0-9 ]"","" ""))"),"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водяно"&amp;"й бане 100    температура нагрева в песочной бане 300     апряжение питания 220    50  ц ")</f>
        <v>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водяной бане 100    температура нагрева в песочной бане 300     апряжение питания 220    50  ц </v>
      </c>
    </row>
    <row r="2490">
      <c r="A2490" s="35" t="s">
        <v>5714</v>
      </c>
      <c r="B2490" s="31" t="s">
        <v>5715</v>
      </c>
      <c r="C2490" s="31" t="s">
        <v>5716</v>
      </c>
      <c r="D2490" s="37" t="s">
        <v>14</v>
      </c>
      <c r="E2490" s="38">
        <v>2.0</v>
      </c>
      <c r="F2490" s="39">
        <v>0.8</v>
      </c>
      <c r="G2490" s="11">
        <v>12764.0</v>
      </c>
      <c r="H2490" s="34" t="str">
        <f>IFERROR(__xludf.DUMMYFUNCTION("LOWER(REGEXREPLACE(B2490&amp;"" ""&amp;C2490,""[^а-яa-z0-9 ]"","" ""))"),"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ля"&amp;" регулирования диаметра посадочного отверстия в комплекте должно быть не менее 4 съемных колец разных диаметров ")</f>
        <v>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 регулирования диаметра посадочного отверстия в комплекте должно быть не менее 4 съемных колец разных диаметров </v>
      </c>
    </row>
    <row r="2491">
      <c r="A2491" s="35" t="s">
        <v>5717</v>
      </c>
      <c r="B2491" s="31" t="s">
        <v>5718</v>
      </c>
      <c r="C2491" s="31" t="s">
        <v>5719</v>
      </c>
      <c r="D2491" s="37" t="s">
        <v>14</v>
      </c>
      <c r="E2491" s="38">
        <v>2.0</v>
      </c>
      <c r="F2491" s="39">
        <v>0.4</v>
      </c>
      <c r="G2491" s="11">
        <v>7817.0</v>
      </c>
      <c r="H2491" s="34" t="str">
        <f>IFERROR(__xludf.DUMMYFUNCTION("LOWER(REGEXREPLACE(B2491&amp;"" ""&amp;C2491,""[^а-яa-z0-9 ]"","" ""))"),"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1"&amp;"70   ")</f>
        <v>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170   </v>
      </c>
    </row>
    <row r="2492">
      <c r="A2492" s="35" t="s">
        <v>5720</v>
      </c>
      <c r="B2492" s="31" t="s">
        <v>5721</v>
      </c>
      <c r="C2492" s="31"/>
      <c r="D2492" s="37" t="s">
        <v>14</v>
      </c>
      <c r="E2492" s="10"/>
      <c r="F2492" s="36"/>
      <c r="G2492" s="11"/>
      <c r="H2492" s="34" t="str">
        <f>IFERROR(__xludf.DUMMYFUNCTION("LOWER(REGEXREPLACE(B2492&amp;"" ""&amp;C2492,""[^а-яa-z0-9 ]"","" ""))")," татив лабораторный ")</f>
        <v> татив лабораторный </v>
      </c>
    </row>
    <row r="2493">
      <c r="A2493" s="35" t="s">
        <v>5722</v>
      </c>
      <c r="B2493" s="31" t="s">
        <v>5723</v>
      </c>
      <c r="C2493" s="31" t="s">
        <v>5724</v>
      </c>
      <c r="D2493" s="37" t="s">
        <v>14</v>
      </c>
      <c r="E2493" s="38">
        <v>2.0</v>
      </c>
      <c r="F2493" s="42">
        <v>2.167</v>
      </c>
      <c r="G2493" s="11">
        <v>10672.0</v>
      </c>
      <c r="H2493" s="34" t="str">
        <f>IFERROR(__xludf.DUMMYFUNCTION("LOWER(REGEXREPLACE(B2493&amp;"" ""&amp;C2493,""[^а-яa-z0-9 ]"","" ""))"),"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f>
        <v>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v>
      </c>
    </row>
    <row r="2494">
      <c r="A2494" s="35" t="s">
        <v>5725</v>
      </c>
      <c r="B2494" s="31" t="s">
        <v>5726</v>
      </c>
      <c r="C2494" s="31" t="s">
        <v>5727</v>
      </c>
      <c r="D2494" s="37" t="s">
        <v>14</v>
      </c>
      <c r="E2494" s="38">
        <v>2.0</v>
      </c>
      <c r="F2494" s="39">
        <v>6.4</v>
      </c>
      <c r="G2494" s="11">
        <v>21428.0</v>
      </c>
      <c r="H2494" s="34" t="str">
        <f>IFERROR(__xludf.DUMMYFUNCTION("LOWER(REGEXREPLACE(B2494&amp;"" ""&amp;C2494,""[^а-яa-z0-9 ]"","" ""))"),"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"&amp;"1 шт   кольцо  93 мм    1 шт   струбцина   1 шт   столик   1 шт   винты   16 шт ")</f>
        <v>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1 шт   кольцо  93 мм    1 шт   струбцина   1 шт   столик   1 шт   винты   16 шт </v>
      </c>
    </row>
    <row r="2495">
      <c r="A2495" s="35" t="s">
        <v>5728</v>
      </c>
      <c r="B2495" s="31" t="s">
        <v>5729</v>
      </c>
      <c r="C2495" s="31" t="s">
        <v>5730</v>
      </c>
      <c r="D2495" s="37" t="s">
        <v>14</v>
      </c>
      <c r="E2495" s="38">
        <v>2.0</v>
      </c>
      <c r="F2495" s="42">
        <v>2.167</v>
      </c>
      <c r="G2495" s="11">
        <v>9361.0</v>
      </c>
      <c r="H2495" s="34" t="str">
        <f>IFERROR(__xludf.DUMMYFUNCTION("LOWER(REGEXREPLACE(B2495&amp;"" ""&amp;C2495,""[^а-яa-z0-9 ]"","" ""))"),"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f>
        <v>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v>
      </c>
    </row>
    <row r="2496">
      <c r="A2496" s="35" t="s">
        <v>5731</v>
      </c>
      <c r="B2496" s="31" t="s">
        <v>5732</v>
      </c>
      <c r="C2496" s="31" t="s">
        <v>5733</v>
      </c>
      <c r="D2496" s="37" t="s">
        <v>14</v>
      </c>
      <c r="E2496" s="38">
        <v>2.0</v>
      </c>
      <c r="F2496" s="39">
        <v>2.7</v>
      </c>
      <c r="G2496" s="11">
        <v>13721.0</v>
      </c>
      <c r="H2496" s="34" t="str">
        <f>IFERROR(__xludf.DUMMYFUNCTION("LOWER(REGEXREPLACE(B2496&amp;"" ""&amp;C2496,""[^а-яa-z0-9 ]"","" ""))"),"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к"&amp;"репления стеклянных приборов")</f>
        <v>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v>
      </c>
    </row>
    <row r="2497">
      <c r="A2497" s="35" t="s">
        <v>5734</v>
      </c>
      <c r="B2497" s="31" t="s">
        <v>5735</v>
      </c>
      <c r="C2497" s="31" t="s">
        <v>5736</v>
      </c>
      <c r="D2497" s="37" t="s">
        <v>14</v>
      </c>
      <c r="E2497" s="38">
        <v>2.0</v>
      </c>
      <c r="F2497" s="40">
        <v>0.18</v>
      </c>
      <c r="G2497" s="11">
        <v>11393.0</v>
      </c>
      <c r="H2497" s="34" t="str">
        <f>IFERROR(__xludf.DUMMYFUNCTION("LOWER(REGEXREPLACE(B2497&amp;"" ""&amp;C2497,""[^а-яa-z0-9 ]"","" ""))"),"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f>
        <v>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v>
      </c>
    </row>
    <row r="2498">
      <c r="A2498" s="35" t="s">
        <v>5737</v>
      </c>
      <c r="B2498" s="31" t="s">
        <v>5738</v>
      </c>
      <c r="C2498" s="31" t="s">
        <v>5739</v>
      </c>
      <c r="D2498" s="37" t="s">
        <v>14</v>
      </c>
      <c r="E2498" s="10"/>
      <c r="F2498" s="40">
        <v>0.95</v>
      </c>
      <c r="G2498" s="11">
        <v>11694.0</v>
      </c>
      <c r="H2498" s="34" t="str">
        <f>IFERROR(__xludf.DUMMYFUNCTION("LOWER(REGEXREPLACE(B2498&amp;"" ""&amp;C2498,""[^а-яa-z0-9 ]"","" ""))"),"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дополнитель"&amp;"ной диоптрийной наводки от  2 5 до  2 5 диоптрий")</f>
        <v>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дополнительной диоптрийной наводки от  2 5 до  2 5 диоптрий</v>
      </c>
    </row>
    <row r="2499">
      <c r="A2499" s="35" t="s">
        <v>5740</v>
      </c>
      <c r="B2499" s="31" t="s">
        <v>5741</v>
      </c>
      <c r="C2499" s="31"/>
      <c r="D2499" s="37" t="s">
        <v>14</v>
      </c>
      <c r="E2499" s="10"/>
      <c r="F2499" s="36"/>
      <c r="G2499" s="11"/>
      <c r="H2499" s="34" t="str">
        <f>IFERROR(__xludf.DUMMYFUNCTION("LOWER(REGEXREPLACE(B2499&amp;"" ""&amp;C2499,""[^а-яa-z0-9 ]"","" ""))")," асос ")</f>
        <v> асос </v>
      </c>
    </row>
    <row r="2500">
      <c r="A2500" s="35" t="s">
        <v>5742</v>
      </c>
      <c r="B2500" s="31" t="s">
        <v>5743</v>
      </c>
      <c r="C2500" s="31" t="s">
        <v>5744</v>
      </c>
      <c r="D2500" s="37" t="s">
        <v>14</v>
      </c>
      <c r="E2500" s="38">
        <v>2.0</v>
      </c>
      <c r="F2500" s="39">
        <v>0.2</v>
      </c>
      <c r="G2500" s="11">
        <v>5156.0</v>
      </c>
      <c r="H2500" s="34" t="str">
        <f>IFERROR(__xludf.DUMMYFUNCTION("LOWER(REGEXREPLACE(B2500&amp;"" ""&amp;C2500,""[^а-яa-z0-9 ]"","" ""))")," асос воздушный ручной  асос воздушный ручной   асос поршневой двойного действия   аксимальное разрежение 40 мм рт  cт   нагнетание 4 ат ")</f>
        <v> асос воздушный ручной  асос воздушный ручной   асос поршневой двойного действия   аксимальное разрежение 40 мм рт  cт   нагнетание 4 ат </v>
      </c>
    </row>
    <row r="2501">
      <c r="A2501" s="35" t="s">
        <v>5745</v>
      </c>
      <c r="B2501" s="31" t="s">
        <v>5746</v>
      </c>
      <c r="C2501" s="31" t="s">
        <v>5747</v>
      </c>
      <c r="D2501" s="37" t="s">
        <v>14</v>
      </c>
      <c r="E2501" s="38">
        <v>2.0</v>
      </c>
      <c r="F2501" s="42">
        <v>0.238</v>
      </c>
      <c r="G2501" s="11">
        <v>7015.0</v>
      </c>
      <c r="H2501" s="34" t="str">
        <f>IFERROR(__xludf.DUMMYFUNCTION("LOWER(REGEXREPLACE(B2501&amp;"" ""&amp;C2501,""[^а-яa-z0-9 ]"","" ""))"),"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прот"&amp;"очная трубка с двумя газоотводами    1 шт ")</f>
        <v>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 </v>
      </c>
    </row>
    <row r="2502">
      <c r="A2502" s="35" t="s">
        <v>5748</v>
      </c>
      <c r="B2502" s="31" t="s">
        <v>5749</v>
      </c>
      <c r="C2502" s="31" t="s">
        <v>5750</v>
      </c>
      <c r="D2502" s="37" t="s">
        <v>14</v>
      </c>
      <c r="E2502" s="38">
        <v>2.0</v>
      </c>
      <c r="F2502" s="39">
        <v>2.7</v>
      </c>
      <c r="G2502" s="11">
        <v>40006.0</v>
      </c>
      <c r="H2502" s="34" t="str">
        <f>IFERROR(__xludf.DUMMYFUNCTION("LOWER(REGEXREPLACE(B2502&amp;"" ""&amp;C2502,""[^а-яa-z0-9 ]"","" ""))"),"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f>
        <v>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v>
      </c>
    </row>
    <row r="2503">
      <c r="A2503" s="35" t="s">
        <v>5751</v>
      </c>
      <c r="B2503" s="31" t="s">
        <v>5752</v>
      </c>
      <c r="C2503" s="31" t="s">
        <v>5753</v>
      </c>
      <c r="D2503" s="37" t="s">
        <v>14</v>
      </c>
      <c r="E2503" s="10"/>
      <c r="F2503" s="40">
        <v>2.58</v>
      </c>
      <c r="G2503" s="11">
        <v>2639.0</v>
      </c>
      <c r="H2503" s="34" t="str">
        <f>IFERROR(__xludf.DUMMYFUNCTION("LOWER(REGEXREPLACE(B2503&amp;"" ""&amp;C2503,""[^а-яa-z0-9 ]"","" ""))"),"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бо"&amp;"лее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f>
        <v>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v>
      </c>
    </row>
    <row r="2504">
      <c r="A2504" s="35" t="s">
        <v>5754</v>
      </c>
      <c r="B2504" s="31" t="s">
        <v>5755</v>
      </c>
      <c r="C2504" s="31"/>
      <c r="D2504" s="37" t="s">
        <v>14</v>
      </c>
      <c r="E2504" s="10"/>
      <c r="F2504" s="36"/>
      <c r="G2504" s="11"/>
      <c r="H2504" s="34" t="str">
        <f>IFERROR(__xludf.DUMMYFUNCTION("LOWER(REGEXREPLACE(B2504&amp;"" ""&amp;C2504,""[^а-яa-z0-9 ]"","" ""))")," истолет баллистический ")</f>
        <v> истолет баллистический </v>
      </c>
    </row>
    <row r="2505">
      <c r="A2505" s="35" t="s">
        <v>5756</v>
      </c>
      <c r="B2505" s="31" t="s">
        <v>5755</v>
      </c>
      <c r="C2505" s="31" t="s">
        <v>5757</v>
      </c>
      <c r="D2505" s="37" t="s">
        <v>14</v>
      </c>
      <c r="E2505" s="38">
        <v>2.0</v>
      </c>
      <c r="F2505" s="40">
        <v>1.95</v>
      </c>
      <c r="G2505" s="11">
        <v>23193.0</v>
      </c>
      <c r="H2505" s="34" t="str">
        <f>IFERROR(__xludf.DUMMYFUNCTION("LOWER(REGEXREPLACE(B2505&amp;"" ""&amp;C2505,""[^а-яa-z0-9 ]"","" ""))"),"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шк"&amp;"алы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удерживаетс"&amp;"я с помощью проволочного крючка   ля определения угла наклона прибора служит транспортир с ценой деления 150 с отвесом ")</f>
        <v>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удерживается с помощью проволочного крючка   ля определения угла наклона прибора служит транспортир с ценой деления 150 с отвесом </v>
      </c>
    </row>
    <row r="2506">
      <c r="A2506" s="35" t="s">
        <v>5758</v>
      </c>
      <c r="B2506" s="31" t="s">
        <v>5759</v>
      </c>
      <c r="C2506" s="31" t="s">
        <v>5760</v>
      </c>
      <c r="D2506" s="37" t="s">
        <v>14</v>
      </c>
      <c r="E2506" s="38">
        <v>2.0</v>
      </c>
      <c r="F2506" s="40">
        <v>1.44</v>
      </c>
      <c r="G2506" s="11">
        <v>17204.0</v>
      </c>
      <c r="H2506" s="34" t="str">
        <f>IFERROR(__xludf.DUMMYFUNCTION("LOWER(REGEXREPLACE(B2506&amp;"" ""&amp;C2506,""[^а-яa-z0-9 ]"","" ""))"),"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мен"&amp;"ее 250мм  крана  звонка ")</f>
        <v>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менее 250мм  крана  звонка </v>
      </c>
    </row>
    <row r="2507">
      <c r="A2507" s="35" t="s">
        <v>5761</v>
      </c>
      <c r="B2507" s="31" t="s">
        <v>5762</v>
      </c>
      <c r="C2507" s="31"/>
      <c r="D2507" s="36"/>
      <c r="E2507" s="10"/>
      <c r="F2507" s="36"/>
      <c r="G2507" s="11"/>
      <c r="H2507" s="34" t="str">
        <f>IFERROR(__xludf.DUMMYFUNCTION("LOWER(REGEXREPLACE(B2507&amp;"" ""&amp;C2507,""[^а-яa-z0-9 ]"","" ""))")," борудование и инвентарь для занятий физической культурой ")</f>
        <v> борудование и инвентарь для занятий физической культурой </v>
      </c>
    </row>
    <row r="2508">
      <c r="A2508" s="35" t="s">
        <v>5763</v>
      </c>
      <c r="B2508" s="31" t="s">
        <v>5764</v>
      </c>
      <c r="C2508" s="31"/>
      <c r="D2508" s="37" t="s">
        <v>14</v>
      </c>
      <c r="E2508" s="10"/>
      <c r="F2508" s="36"/>
      <c r="G2508" s="11"/>
      <c r="H2508" s="34" t="str">
        <f>IFERROR(__xludf.DUMMYFUNCTION("LOWER(REGEXREPLACE(B2508&amp;"" ""&amp;C2508,""[^а-яa-z0-9 ]"","" ""))")," тенка гимнастическая ")</f>
        <v> тенка гимнастическая </v>
      </c>
    </row>
    <row r="2509">
      <c r="A2509" s="35" t="s">
        <v>5765</v>
      </c>
      <c r="B2509" s="31" t="s">
        <v>5766</v>
      </c>
      <c r="C2509" s="31"/>
      <c r="D2509" s="37" t="s">
        <v>14</v>
      </c>
      <c r="E2509" s="38">
        <v>1.0</v>
      </c>
      <c r="F2509" s="39">
        <v>26.9</v>
      </c>
      <c r="G2509" s="11">
        <v>28571.0</v>
      </c>
      <c r="H2509" s="34" t="str">
        <f>IFERROR(__xludf.DUMMYFUNCTION("LOWER(REGEXREPLACE(B2509&amp;"" ""&amp;C2509,""[^а-яa-z0-9 ]"","" ""))")," етская шведская стенка деревянная эконом  доска 45х105 мм  ")</f>
        <v> етская шведская стенка деревянная эконом  доска 45х105 мм  </v>
      </c>
    </row>
    <row r="2510">
      <c r="A2510" s="35" t="s">
        <v>5767</v>
      </c>
      <c r="B2510" s="31" t="s">
        <v>5768</v>
      </c>
      <c r="C2510" s="31"/>
      <c r="D2510" s="37" t="s">
        <v>14</v>
      </c>
      <c r="E2510" s="38">
        <v>1.0</v>
      </c>
      <c r="F2510" s="39">
        <v>26.9</v>
      </c>
      <c r="G2510" s="11">
        <v>28571.0</v>
      </c>
      <c r="H2510" s="34" t="str">
        <f>IFERROR(__xludf.DUMMYFUNCTION("LOWER(REGEXREPLACE(B2510&amp;"" ""&amp;C2510,""[^а-яa-z0-9 ]"","" ""))")," ведская стенка деревянная эконом  доска 45х105мм  ")</f>
        <v> ведская стенка деревянная эконом  доска 45х105мм  </v>
      </c>
    </row>
    <row r="2511">
      <c r="A2511" s="35" t="s">
        <v>5769</v>
      </c>
      <c r="B2511" s="31" t="s">
        <v>5770</v>
      </c>
      <c r="C2511" s="31"/>
      <c r="D2511" s="37" t="s">
        <v>14</v>
      </c>
      <c r="E2511" s="38">
        <v>1.0</v>
      </c>
      <c r="F2511" s="38">
        <v>52.0</v>
      </c>
      <c r="G2511" s="11">
        <v>33036.0</v>
      </c>
      <c r="H2511" s="34" t="str">
        <f>IFERROR(__xludf.DUMMYFUNCTION("LOWER(REGEXREPLACE(B2511&amp;"" ""&amp;C2511,""[^а-яa-z0-9 ]"","" ""))")," ведская стенка деревянная стандарт  доска 40х140мм  до 260см высота ")</f>
        <v> ведская стенка деревянная стандарт  доска 40х140мм  до 260см высота </v>
      </c>
    </row>
    <row r="2512">
      <c r="A2512" s="35" t="s">
        <v>5771</v>
      </c>
      <c r="B2512" s="31" t="s">
        <v>5772</v>
      </c>
      <c r="C2512" s="31"/>
      <c r="D2512" s="37" t="s">
        <v>14</v>
      </c>
      <c r="E2512" s="38">
        <v>1.0</v>
      </c>
      <c r="F2512" s="38">
        <v>52.0</v>
      </c>
      <c r="G2512" s="11">
        <v>34821.0</v>
      </c>
      <c r="H2512" s="34" t="str">
        <f>IFERROR(__xludf.DUMMYFUNCTION("LOWER(REGEXREPLACE(B2512&amp;"" ""&amp;C2512,""[^а-яa-z0-9 ]"","" ""))")," ведская стенка деревянная стандарт  доска 40х140мм  до 320см высота ")</f>
        <v> ведская стенка деревянная стандарт  доска 40х140мм  до 320см высота </v>
      </c>
    </row>
    <row r="2513">
      <c r="A2513" s="35" t="s">
        <v>5773</v>
      </c>
      <c r="B2513" s="31" t="s">
        <v>5774</v>
      </c>
      <c r="C2513" s="31" t="s">
        <v>5775</v>
      </c>
      <c r="D2513" s="37" t="s">
        <v>14</v>
      </c>
      <c r="E2513" s="38">
        <v>2.0</v>
      </c>
      <c r="F2513" s="38">
        <v>18.0</v>
      </c>
      <c r="G2513" s="11">
        <v>67056.0</v>
      </c>
      <c r="H2513" s="34" t="str">
        <f>IFERROR(__xludf.DUMMYFUNCTION("LOWER(REGEXREPLACE(B2513&amp;"" ""&amp;C2513,""[^а-яa-z0-9 ]"","" ""))"),"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4">
      <c r="A2514" s="35" t="s">
        <v>5776</v>
      </c>
      <c r="B2514" s="31" t="s">
        <v>5777</v>
      </c>
      <c r="C2514" s="31" t="s">
        <v>5778</v>
      </c>
      <c r="D2514" s="37" t="s">
        <v>14</v>
      </c>
      <c r="E2514" s="38">
        <v>2.0</v>
      </c>
      <c r="F2514" s="38">
        <v>20.0</v>
      </c>
      <c r="G2514" s="11">
        <v>62010.0</v>
      </c>
      <c r="H2514" s="34" t="str">
        <f>IFERROR(__xludf.DUMMYFUNCTION("LOWER(REGEXREPLACE(B2514&amp;"" ""&amp;C2514,""[^а-яa-z0-9 ]"","" ""))"),"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5">
      <c r="A2515" s="35" t="s">
        <v>5779</v>
      </c>
      <c r="B2515" s="31" t="s">
        <v>5780</v>
      </c>
      <c r="C2515" s="31" t="s">
        <v>5781</v>
      </c>
      <c r="D2515" s="37" t="s">
        <v>14</v>
      </c>
      <c r="E2515" s="38">
        <v>2.0</v>
      </c>
      <c r="F2515" s="38">
        <v>25.0</v>
      </c>
      <c r="G2515" s="11">
        <v>72691.0</v>
      </c>
      <c r="H2515" s="34" t="str">
        <f>IFERROR(__xludf.DUMMYFUNCTION("LOWER(REGEXREPLACE(B2515&amp;"" ""&amp;C2515,""[^а-яa-z0-9 ]"","" ""))"),"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6">
      <c r="A2516" s="35" t="s">
        <v>5782</v>
      </c>
      <c r="B2516" s="31" t="s">
        <v>5783</v>
      </c>
      <c r="C2516" s="31" t="s">
        <v>5784</v>
      </c>
      <c r="D2516" s="37" t="s">
        <v>14</v>
      </c>
      <c r="E2516" s="38">
        <v>2.0</v>
      </c>
      <c r="F2516" s="38">
        <v>23.0</v>
      </c>
      <c r="G2516" s="11">
        <v>73822.0</v>
      </c>
      <c r="H2516" s="34" t="str">
        <f>IFERROR(__xludf.DUMMYFUNCTION("LOWER(REGEXREPLACE(B2516&amp;"" ""&amp;C2516,""[^а-яa-z0-9 ]"","" ""))"),"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с"&amp;"осны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"&amp;"упражнений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7">
      <c r="A2517" s="35" t="s">
        <v>5785</v>
      </c>
      <c r="B2517" s="31" t="s">
        <v>5786</v>
      </c>
      <c r="C2517" s="31" t="s">
        <v>5787</v>
      </c>
      <c r="D2517" s="37" t="s">
        <v>14</v>
      </c>
      <c r="E2517" s="38">
        <v>2.0</v>
      </c>
      <c r="F2517" s="38">
        <v>27.0</v>
      </c>
      <c r="G2517" s="11">
        <v>72623.0</v>
      </c>
      <c r="H2517" s="34" t="str">
        <f>IFERROR(__xludf.DUMMYFUNCTION("LOWER(REGEXREPLACE(B2517&amp;"" ""&amp;C2517,""[^а-яa-z0-9 ]"","" ""))"),"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8">
      <c r="A2518" s="35" t="s">
        <v>5788</v>
      </c>
      <c r="B2518" s="31" t="s">
        <v>5789</v>
      </c>
      <c r="C2518" s="31" t="s">
        <v>5790</v>
      </c>
      <c r="D2518" s="37" t="s">
        <v>14</v>
      </c>
      <c r="E2518" s="38">
        <v>2.0</v>
      </c>
      <c r="F2518" s="38">
        <v>30.0</v>
      </c>
      <c r="G2518" s="11">
        <v>77309.0</v>
      </c>
      <c r="H2518" s="34" t="str">
        <f>IFERROR(__xludf.DUMMYFUNCTION("LOWER(REGEXREPLACE(B2518&amp;"" ""&amp;C2518,""[^а-яa-z0-9 ]"","" ""))"),"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9">
      <c r="A2519" s="35" t="s">
        <v>5791</v>
      </c>
      <c r="B2519" s="31" t="s">
        <v>5792</v>
      </c>
      <c r="C2519" s="31" t="s">
        <v>5793</v>
      </c>
      <c r="D2519" s="37" t="s">
        <v>14</v>
      </c>
      <c r="E2519" s="38">
        <v>2.0</v>
      </c>
      <c r="F2519" s="38">
        <v>27.0</v>
      </c>
      <c r="G2519" s="11">
        <v>77848.0</v>
      </c>
      <c r="H2519" s="34" t="str">
        <f>IFERROR(__xludf.DUMMYFUNCTION("LOWER(REGEXREPLACE(B2519&amp;"" ""&amp;C2519,""[^а-яa-z0-9 ]"","" ""))"),"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изгот"&amp;"овленных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р"&amp;"едназначена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та"&amp;"к и на перекладинах стенок гимнастических ")</f>
        <v>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0">
      <c r="A2520" s="35" t="s">
        <v>5794</v>
      </c>
      <c r="B2520" s="31" t="s">
        <v>5795</v>
      </c>
      <c r="C2520" s="31" t="s">
        <v>5796</v>
      </c>
      <c r="D2520" s="37" t="s">
        <v>14</v>
      </c>
      <c r="E2520" s="38">
        <v>2.0</v>
      </c>
      <c r="F2520" s="38">
        <v>25.0</v>
      </c>
      <c r="G2520" s="11">
        <v>71785.0</v>
      </c>
      <c r="H2520" s="34" t="str">
        <f>IFERROR(__xludf.DUMMYFUNCTION("LOWER(REGEXREPLACE(B2520&amp;"" ""&amp;C2520,""[^а-яa-z0-9 ]"","" ""))"),"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1">
      <c r="A2521" s="35" t="s">
        <v>5797</v>
      </c>
      <c r="B2521" s="31" t="s">
        <v>5798</v>
      </c>
      <c r="C2521" s="31" t="s">
        <v>5799</v>
      </c>
      <c r="D2521" s="37" t="s">
        <v>14</v>
      </c>
      <c r="E2521" s="38">
        <v>2.0</v>
      </c>
      <c r="F2521" s="38">
        <v>29.0</v>
      </c>
      <c r="G2521" s="11">
        <v>76678.0</v>
      </c>
      <c r="H2521" s="34" t="str">
        <f>IFERROR(__xludf.DUMMYFUNCTION("LOWER(REGEXREPLACE(B2521&amp;"" ""&amp;C2521,""[^а-яa-z0-9 ]"","" ""))"),"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2">
      <c r="A2522" s="35" t="s">
        <v>5800</v>
      </c>
      <c r="B2522" s="31" t="s">
        <v>5801</v>
      </c>
      <c r="C2522" s="31" t="s">
        <v>5802</v>
      </c>
      <c r="D2522" s="37" t="s">
        <v>14</v>
      </c>
      <c r="E2522" s="38">
        <v>2.0</v>
      </c>
      <c r="F2522" s="38">
        <v>32.0</v>
      </c>
      <c r="G2522" s="11">
        <v>83495.0</v>
      </c>
      <c r="H2522" s="34" t="str">
        <f>IFERROR(__xludf.DUMMYFUNCTION("LOWER(REGEXREPLACE(B2522&amp;"" ""&amp;C2522,""[^а-яa-z0-9 ]"","" ""))"),"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"&amp;"покрытых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выпо"&amp;"лнения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"&amp;"стенок гимнастических ")</f>
        <v>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3">
      <c r="A2523" s="35" t="s">
        <v>5803</v>
      </c>
      <c r="B2523" s="31" t="s">
        <v>5804</v>
      </c>
      <c r="C2523" s="31"/>
      <c r="D2523" s="37" t="s">
        <v>14</v>
      </c>
      <c r="E2523" s="10"/>
      <c r="F2523" s="36"/>
      <c r="G2523" s="11"/>
      <c r="H2523" s="34" t="str">
        <f>IFERROR(__xludf.DUMMYFUNCTION("LOWER(REGEXREPLACE(B2523&amp;"" ""&amp;C2523,""[^а-яa-z0-9 ]"","" ""))")," оска для гимнастической стенки ")</f>
        <v> оска для гимнастической стенки </v>
      </c>
    </row>
    <row r="2524">
      <c r="A2524" s="35" t="s">
        <v>5805</v>
      </c>
      <c r="B2524" s="31" t="s">
        <v>5806</v>
      </c>
      <c r="C2524" s="31"/>
      <c r="D2524" s="37" t="s">
        <v>14</v>
      </c>
      <c r="E2524" s="38">
        <v>1.0</v>
      </c>
      <c r="F2524" s="38">
        <v>8.0</v>
      </c>
      <c r="G2524" s="11">
        <v>13839.0</v>
      </c>
      <c r="H2524" s="34" t="str">
        <f>IFERROR(__xludf.DUMMYFUNCTION("LOWER(REGEXREPLACE(B2524&amp;"" ""&amp;C2524,""[^а-яa-z0-9 ]"","" ""))")," оска массажная приставная 150х30 см ")</f>
        <v> оска массажная приставная 150х30 см </v>
      </c>
    </row>
    <row r="2525">
      <c r="A2525" s="35" t="s">
        <v>5807</v>
      </c>
      <c r="B2525" s="31" t="s">
        <v>5808</v>
      </c>
      <c r="C2525" s="31"/>
      <c r="D2525" s="37" t="s">
        <v>14</v>
      </c>
      <c r="E2525" s="38">
        <v>1.0</v>
      </c>
      <c r="F2525" s="38">
        <v>8.0</v>
      </c>
      <c r="G2525" s="11">
        <v>14911.0</v>
      </c>
      <c r="H2525" s="34" t="str">
        <f>IFERROR(__xludf.DUMMYFUNCTION("LOWER(REGEXREPLACE(B2525&amp;"" ""&amp;C2525,""[^а-яa-z0-9 ]"","" ""))")," оска массажная приставная 180х30 см ")</f>
        <v> оска массажная приставная 180х30 см </v>
      </c>
    </row>
    <row r="2526">
      <c r="A2526" s="35" t="s">
        <v>5809</v>
      </c>
      <c r="B2526" s="31" t="s">
        <v>5810</v>
      </c>
      <c r="C2526" s="31"/>
      <c r="D2526" s="37" t="s">
        <v>14</v>
      </c>
      <c r="E2526" s="38">
        <v>1.0</v>
      </c>
      <c r="F2526" s="39">
        <v>9.5</v>
      </c>
      <c r="G2526" s="11">
        <v>26749.0</v>
      </c>
      <c r="H2526" s="34" t="str">
        <f>IFERROR(__xludf.DUMMYFUNCTION("LOWER(REGEXREPLACE(B2526&amp;"" ""&amp;C2526,""[^а-яa-z0-9 ]"","" ""))")," оска массажная приставная 200х30 см ")</f>
        <v> оска массажная приставная 200х30 см </v>
      </c>
    </row>
    <row r="2527">
      <c r="A2527" s="35" t="s">
        <v>5811</v>
      </c>
      <c r="B2527" s="31" t="s">
        <v>5812</v>
      </c>
      <c r="C2527" s="31"/>
      <c r="D2527" s="37" t="s">
        <v>14</v>
      </c>
      <c r="E2527" s="38">
        <v>1.0</v>
      </c>
      <c r="F2527" s="38">
        <v>15.0</v>
      </c>
      <c r="G2527" s="11">
        <v>10268.0</v>
      </c>
      <c r="H2527" s="34" t="str">
        <f>IFERROR(__xludf.DUMMYFUNCTION("LOWER(REGEXREPLACE(B2527&amp;"" ""&amp;C2527,""[^а-яa-z0-9 ]"","" ""))")," оска наклонная приставная 150x30 см ")</f>
        <v> оска наклонная приставная 150x30 см </v>
      </c>
    </row>
    <row r="2528">
      <c r="A2528" s="35" t="s">
        <v>5813</v>
      </c>
      <c r="B2528" s="31" t="s">
        <v>5814</v>
      </c>
      <c r="C2528" s="31"/>
      <c r="D2528" s="37" t="s">
        <v>14</v>
      </c>
      <c r="E2528" s="38">
        <v>1.0</v>
      </c>
      <c r="F2528" s="38">
        <v>15.0</v>
      </c>
      <c r="G2528" s="11">
        <v>11339.0</v>
      </c>
      <c r="H2528" s="34" t="str">
        <f>IFERROR(__xludf.DUMMYFUNCTION("LOWER(REGEXREPLACE(B2528&amp;"" ""&amp;C2528,""[^а-яa-z0-9 ]"","" ""))")," оска наклонная приставная 180x30 см ")</f>
        <v> оска наклонная приставная 180x30 см </v>
      </c>
    </row>
    <row r="2529">
      <c r="A2529" s="35" t="s">
        <v>5815</v>
      </c>
      <c r="B2529" s="31" t="s">
        <v>5816</v>
      </c>
      <c r="C2529" s="31"/>
      <c r="D2529" s="37" t="s">
        <v>14</v>
      </c>
      <c r="E2529" s="38">
        <v>1.0</v>
      </c>
      <c r="F2529" s="38">
        <v>20.0</v>
      </c>
      <c r="G2529" s="11">
        <v>12857.0</v>
      </c>
      <c r="H2529" s="34" t="str">
        <f>IFERROR(__xludf.DUMMYFUNCTION("LOWER(REGEXREPLACE(B2529&amp;"" ""&amp;C2529,""[^а-яa-z0-9 ]"","" ""))")," оска наклонная приставная 200x30 см ")</f>
        <v> оска наклонная приставная 200x30 см </v>
      </c>
    </row>
    <row r="2530">
      <c r="A2530" s="35" t="s">
        <v>5817</v>
      </c>
      <c r="B2530" s="31" t="s">
        <v>5818</v>
      </c>
      <c r="C2530" s="31" t="s">
        <v>5819</v>
      </c>
      <c r="D2530" s="37" t="s">
        <v>14</v>
      </c>
      <c r="E2530" s="38">
        <v>2.0</v>
      </c>
      <c r="F2530" s="38">
        <v>9.0</v>
      </c>
      <c r="G2530" s="11">
        <v>31910.0</v>
      </c>
      <c r="H2530" s="34" t="str">
        <f>IFERROR(__xludf.DUMMYFUNCTION("LOWER(REGEXREPLACE(B2530&amp;"" ""&amp;C2530,""[^а-яa-z0-9 ]"","" ""))"),"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"&amp;"поперечных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репл"&amp;"ение крючки ")</f>
        <v>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1">
      <c r="A2531" s="35" t="s">
        <v>5820</v>
      </c>
      <c r="B2531" s="31" t="s">
        <v>5821</v>
      </c>
      <c r="C2531" s="31" t="s">
        <v>5822</v>
      </c>
      <c r="D2531" s="37" t="s">
        <v>14</v>
      </c>
      <c r="E2531" s="38">
        <v>2.0</v>
      </c>
      <c r="F2531" s="39">
        <v>10.5</v>
      </c>
      <c r="G2531" s="11">
        <v>39019.0</v>
      </c>
      <c r="H2531" s="34" t="str">
        <f>IFERROR(__xludf.DUMMYFUNCTION("LOWER(REGEXREPLACE(B2531&amp;"" ""&amp;C2531,""[^а-яa-z0-9 ]"","" ""))"),"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отшлифова"&amp;"на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гим"&amp;"настическую стенку и выполнения различных гимнастических упражнений   репление крючки ")</f>
        <v>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2">
      <c r="A2532" s="35" t="s">
        <v>5823</v>
      </c>
      <c r="B2532" s="31" t="s">
        <v>5824</v>
      </c>
      <c r="C2532" s="31" t="s">
        <v>5825</v>
      </c>
      <c r="D2532" s="37" t="s">
        <v>14</v>
      </c>
      <c r="E2532" s="38">
        <v>2.0</v>
      </c>
      <c r="F2532" s="38">
        <v>12.0</v>
      </c>
      <c r="G2532" s="11">
        <v>41816.0</v>
      </c>
      <c r="H2532" s="34" t="str">
        <f>IFERROR(__xludf.DUMMYFUNCTION("LOWER(REGEXREPLACE(B2532&amp;"" ""&amp;C2532,""[^а-яa-z0-9 ]"","" ""))"),"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и"&amp;"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гимн"&amp;"астическую стенку и выполнения различных гимнастических упражнений   репление крючки ")</f>
        <v>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3">
      <c r="A2533" s="35" t="s">
        <v>5826</v>
      </c>
      <c r="B2533" s="31" t="s">
        <v>5827</v>
      </c>
      <c r="C2533" s="31" t="s">
        <v>5828</v>
      </c>
      <c r="D2533" s="37" t="s">
        <v>14</v>
      </c>
      <c r="E2533" s="38">
        <v>2.0</v>
      </c>
      <c r="F2533" s="38">
        <v>8.0</v>
      </c>
      <c r="G2533" s="11">
        <v>25331.0</v>
      </c>
      <c r="H2533" s="34" t="str">
        <f>IFERROR(__xludf.DUMMYFUNCTION("LOWER(REGEXREPLACE(B2533&amp;"" ""&amp;C2533,""[^а-яa-z0-9 ]"","" ""))"),"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высокок"&amp;"ачественным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4">
      <c r="A2534" s="35" t="s">
        <v>5829</v>
      </c>
      <c r="B2534" s="31" t="s">
        <v>5830</v>
      </c>
      <c r="C2534" s="31" t="s">
        <v>5831</v>
      </c>
      <c r="D2534" s="37" t="s">
        <v>14</v>
      </c>
      <c r="E2534" s="38">
        <v>2.0</v>
      </c>
      <c r="F2534" s="39">
        <v>9.5</v>
      </c>
      <c r="G2534" s="11">
        <v>29615.0</v>
      </c>
      <c r="H2534" s="34" t="str">
        <f>IFERROR(__xludf.DUMMYFUNCTION("LOWER(REGEXREPLACE(B2534&amp;"" ""&amp;C2534,""[^а-яa-z0-9 ]"","" ""))"),"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высок"&amp;"окачественным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5">
      <c r="A2535" s="35" t="s">
        <v>5832</v>
      </c>
      <c r="B2535" s="31" t="s">
        <v>5833</v>
      </c>
      <c r="C2535" s="31" t="s">
        <v>5834</v>
      </c>
      <c r="D2535" s="37" t="s">
        <v>14</v>
      </c>
      <c r="E2535" s="38">
        <v>2.0</v>
      </c>
      <c r="F2535" s="38">
        <v>11.0</v>
      </c>
      <c r="G2535" s="11">
        <v>32672.0</v>
      </c>
      <c r="H2535" s="34" t="str">
        <f>IFERROR(__xludf.DUMMYFUNCTION("LOWER(REGEXREPLACE(B2535&amp;"" ""&amp;C2535,""[^а-яa-z0-9 ]"","" ""))"),"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высококачес"&amp;"твенным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6">
      <c r="A2536" s="35" t="s">
        <v>5835</v>
      </c>
      <c r="B2536" s="31" t="s">
        <v>5836</v>
      </c>
      <c r="C2536" s="31"/>
      <c r="D2536" s="37" t="s">
        <v>14</v>
      </c>
      <c r="E2536" s="10"/>
      <c r="F2536" s="36"/>
      <c r="G2536" s="11"/>
      <c r="H2536" s="34" t="str">
        <f>IFERROR(__xludf.DUMMYFUNCTION("LOWER(REGEXREPLACE(B2536&amp;"" ""&amp;C2536,""[^а-яa-z0-9 ]"","" ""))")," камейка гимнастическая ")</f>
        <v> камейка гимнастическая </v>
      </c>
    </row>
    <row r="2537">
      <c r="A2537" s="35" t="s">
        <v>5837</v>
      </c>
      <c r="B2537" s="31" t="s">
        <v>5838</v>
      </c>
      <c r="C2537" s="31"/>
      <c r="D2537" s="37" t="s">
        <v>14</v>
      </c>
      <c r="E2537" s="38">
        <v>1.0</v>
      </c>
      <c r="F2537" s="38">
        <v>21.0</v>
      </c>
      <c r="G2537" s="11">
        <v>14286.0</v>
      </c>
      <c r="H2537" s="34" t="str">
        <f>IFERROR(__xludf.DUMMYFUNCTION("LOWER(REGEXREPLACE(B2537&amp;"" ""&amp;C2537,""[^а-яa-z0-9 ]"","" ""))")," камья гимнастическая 150х23х30см ")</f>
        <v> камья гимнастическая 150х23х30см </v>
      </c>
    </row>
    <row r="2538">
      <c r="A2538" s="35" t="s">
        <v>5839</v>
      </c>
      <c r="B2538" s="31" t="s">
        <v>5840</v>
      </c>
      <c r="C2538" s="31"/>
      <c r="D2538" s="37" t="s">
        <v>14</v>
      </c>
      <c r="E2538" s="38">
        <v>1.0</v>
      </c>
      <c r="F2538" s="38">
        <v>21.0</v>
      </c>
      <c r="G2538" s="11">
        <v>15179.0</v>
      </c>
      <c r="H2538" s="34" t="str">
        <f>IFERROR(__xludf.DUMMYFUNCTION("LOWER(REGEXREPLACE(B2538&amp;"" ""&amp;C2538,""[^а-яa-z0-9 ]"","" ""))")," камья гимнастическая 200х23х30см ")</f>
        <v> камья гимнастическая 200х23х30см </v>
      </c>
    </row>
    <row r="2539">
      <c r="A2539" s="35" t="s">
        <v>5841</v>
      </c>
      <c r="B2539" s="31" t="s">
        <v>5842</v>
      </c>
      <c r="C2539" s="31"/>
      <c r="D2539" s="37" t="s">
        <v>14</v>
      </c>
      <c r="E2539" s="38">
        <v>1.0</v>
      </c>
      <c r="F2539" s="38">
        <v>21.0</v>
      </c>
      <c r="G2539" s="11">
        <v>16071.0</v>
      </c>
      <c r="H2539" s="34" t="str">
        <f>IFERROR(__xludf.DUMMYFUNCTION("LOWER(REGEXREPLACE(B2539&amp;"" ""&amp;C2539,""[^а-яa-z0-9 ]"","" ""))")," камья гимнастическая 250х23х30см ")</f>
        <v> камья гимнастическая 250х23х30см </v>
      </c>
    </row>
    <row r="2540">
      <c r="A2540" s="35" t="s">
        <v>5843</v>
      </c>
      <c r="B2540" s="31" t="s">
        <v>5844</v>
      </c>
      <c r="C2540" s="31"/>
      <c r="D2540" s="37" t="s">
        <v>14</v>
      </c>
      <c r="E2540" s="38">
        <v>1.0</v>
      </c>
      <c r="F2540" s="38">
        <v>23.0</v>
      </c>
      <c r="G2540" s="11">
        <v>18750.0</v>
      </c>
      <c r="H2540" s="34" t="str">
        <f>IFERROR(__xludf.DUMMYFUNCTION("LOWER(REGEXREPLACE(B2540&amp;"" ""&amp;C2540,""[^а-яa-z0-9 ]"","" ""))")," камья гимнастическая 300х23х30см ")</f>
        <v> камья гимнастическая 300х23х30см </v>
      </c>
    </row>
    <row r="2541">
      <c r="A2541" s="35" t="s">
        <v>5845</v>
      </c>
      <c r="B2541" s="31" t="s">
        <v>5846</v>
      </c>
      <c r="C2541" s="31"/>
      <c r="D2541" s="37" t="s">
        <v>14</v>
      </c>
      <c r="E2541" s="38">
        <v>1.0</v>
      </c>
      <c r="F2541" s="38">
        <v>23.0</v>
      </c>
      <c r="G2541" s="11">
        <v>20536.0</v>
      </c>
      <c r="H2541" s="34" t="str">
        <f>IFERROR(__xludf.DUMMYFUNCTION("LOWER(REGEXREPLACE(B2541&amp;"" ""&amp;C2541,""[^а-яa-z0-9 ]"","" ""))")," камья гимнастическая 350х23х30см ")</f>
        <v> камья гимнастическая 350х23х30см </v>
      </c>
    </row>
    <row r="2542">
      <c r="A2542" s="35" t="s">
        <v>5847</v>
      </c>
      <c r="B2542" s="31" t="s">
        <v>5848</v>
      </c>
      <c r="C2542" s="31"/>
      <c r="D2542" s="37" t="s">
        <v>14</v>
      </c>
      <c r="E2542" s="38">
        <v>1.0</v>
      </c>
      <c r="F2542" s="38">
        <v>28.0</v>
      </c>
      <c r="G2542" s="11">
        <v>22321.0</v>
      </c>
      <c r="H2542" s="34" t="str">
        <f>IFERROR(__xludf.DUMMYFUNCTION("LOWER(REGEXREPLACE(B2542&amp;"" ""&amp;C2542,""[^а-яa-z0-9 ]"","" ""))")," камья гимнастическая 400х23х30см ")</f>
        <v> камья гимнастическая 400х23х30см </v>
      </c>
    </row>
    <row r="2543">
      <c r="A2543" s="35" t="s">
        <v>5849</v>
      </c>
      <c r="B2543" s="31" t="s">
        <v>5850</v>
      </c>
      <c r="C2543" s="31" t="s">
        <v>5851</v>
      </c>
      <c r="D2543" s="37" t="s">
        <v>14</v>
      </c>
      <c r="E2543" s="10"/>
      <c r="F2543" s="36"/>
      <c r="G2543" s="11">
        <v>20593.0</v>
      </c>
      <c r="H2543" s="34" t="str">
        <f>IFERROR(__xludf.DUMMYFUNCTION("LOWER(REGEXREPLACE(B2543&amp;"" ""&amp;C2543,""[^а-яa-z0-9 ]"","" ""))")," камья гимнастическая  размеры не менее 2000х240х300мм  камейка гимнастическая покрыта качественным мебельным  лаком на водной основе")</f>
        <v> камья гимнастическая  размеры не менее 2000х240х300мм  камейка гимнастическая покрыта качественным мебельным  лаком на водной основе</v>
      </c>
    </row>
    <row r="2544">
      <c r="A2544" s="35" t="s">
        <v>5852</v>
      </c>
      <c r="B2544" s="31" t="s">
        <v>5853</v>
      </c>
      <c r="C2544" s="31" t="s">
        <v>5854</v>
      </c>
      <c r="D2544" s="37" t="s">
        <v>14</v>
      </c>
      <c r="E2544" s="38">
        <v>2.0</v>
      </c>
      <c r="F2544" s="40">
        <v>10.25</v>
      </c>
      <c r="G2544" s="11">
        <v>41461.0</v>
      </c>
      <c r="H2544" s="34" t="str">
        <f>IFERROR(__xludf.DUMMYFUNCTION("LOWER(REGEXREPLACE(B2544&amp;"" ""&amp;C2544,""[^а-яa-z0-9 ]"","" ""))"),"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с"&amp;"обой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пов"&amp;"ышенная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напыл"&amp;"ения в электростатическом поле ")</f>
        <v>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5">
      <c r="A2545" s="35" t="s">
        <v>5855</v>
      </c>
      <c r="B2545" s="31" t="s">
        <v>5856</v>
      </c>
      <c r="C2545" s="31" t="s">
        <v>5857</v>
      </c>
      <c r="D2545" s="37" t="s">
        <v>14</v>
      </c>
      <c r="E2545" s="38">
        <v>2.0</v>
      </c>
      <c r="F2545" s="39">
        <v>15.5</v>
      </c>
      <c r="G2545" s="11">
        <v>56725.0</v>
      </c>
      <c r="H2545" s="34" t="str">
        <f>IFERROR(__xludf.DUMMYFUNCTION("LOWER(REGEXREPLACE(B2545&amp;"" ""&amp;C2545,""[^а-яa-z0-9 ]"","" ""))"),"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межд"&amp;"у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б"&amp;"езвредным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f>
        <v>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6">
      <c r="A2546" s="35" t="s">
        <v>5858</v>
      </c>
      <c r="B2546" s="31" t="s">
        <v>5859</v>
      </c>
      <c r="C2546" s="31" t="s">
        <v>5860</v>
      </c>
      <c r="D2546" s="37" t="s">
        <v>14</v>
      </c>
      <c r="E2546" s="38">
        <v>2.0</v>
      </c>
      <c r="F2546" s="38">
        <v>25.0</v>
      </c>
      <c r="G2546" s="11">
        <v>71325.0</v>
      </c>
      <c r="H2546" s="34" t="str">
        <f>IFERROR(__xludf.DUMMYFUNCTION("LOWER(REGEXREPLACE(B2546&amp;"" ""&amp;C2546,""[^а-яa-z0-9 ]"","" ""))"),"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меж"&amp;"ду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по"&amp;"рошковым высокопрочным полимерным покрытием цвета графит методом напыления в электростатическом поле")</f>
        <v>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7">
      <c r="A2547" s="35" t="s">
        <v>5861</v>
      </c>
      <c r="B2547" s="31" t="s">
        <v>5862</v>
      </c>
      <c r="C2547" s="31" t="s">
        <v>5863</v>
      </c>
      <c r="D2547" s="37" t="s">
        <v>14</v>
      </c>
      <c r="E2547" s="38">
        <v>2.0</v>
      </c>
      <c r="F2547" s="39">
        <v>30.5</v>
      </c>
      <c r="G2547" s="11">
        <v>79983.0</v>
      </c>
      <c r="H2547" s="34" t="str">
        <f>IFERROR(__xludf.DUMMYFUNCTION("LOWER(REGEXREPLACE(B2547&amp;"" ""&amp;C2547,""[^а-яa-z0-9 ]"","" ""))"),"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с"&amp;"обой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повыш"&amp;"енная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напылен"&amp;"ия в электростатическом поле")</f>
        <v>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8">
      <c r="A2548" s="35" t="s">
        <v>5864</v>
      </c>
      <c r="B2548" s="9" t="s">
        <v>5865</v>
      </c>
      <c r="C2548" s="31" t="s">
        <v>5866</v>
      </c>
      <c r="D2548" s="37" t="s">
        <v>14</v>
      </c>
      <c r="E2548" s="38">
        <v>2.0</v>
      </c>
      <c r="F2548" s="38">
        <v>18.0</v>
      </c>
      <c r="G2548" s="11">
        <v>69737.0</v>
      </c>
      <c r="H2548" s="34" t="str">
        <f>IFERROR(__xludf.DUMMYFUNCTION("LOWER(REGEXREPLACE(B2548&amp;"" ""&amp;C2548,""[^а-яa-z0-9 ]"","" ""))"),"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ып"&amp;"олнена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опасно"&amp;"сти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f>
        <v>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v>
      </c>
    </row>
    <row r="2549">
      <c r="A2549" s="35" t="s">
        <v>5867</v>
      </c>
      <c r="B2549" s="31" t="s">
        <v>5868</v>
      </c>
      <c r="C2549" s="31" t="s">
        <v>5869</v>
      </c>
      <c r="D2549" s="37" t="s">
        <v>14</v>
      </c>
      <c r="E2549" s="38">
        <v>2.0</v>
      </c>
      <c r="F2549" s="38">
        <v>17.0</v>
      </c>
      <c r="G2549" s="11">
        <v>30343.0</v>
      </c>
      <c r="H2549" s="34" t="str">
        <f>IFERROR(__xludf.DUMMYFUNCTION("LOWER(REGEXREPLACE(B2549&amp;"" ""&amp;C2549,""[^а-яa-z0-9 ]"","" ""))"),"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f>
        <v>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v>
      </c>
    </row>
    <row r="2550">
      <c r="A2550" s="35" t="s">
        <v>5870</v>
      </c>
      <c r="B2550" s="31" t="s">
        <v>5871</v>
      </c>
      <c r="C2550" s="31"/>
      <c r="D2550" s="37" t="s">
        <v>14</v>
      </c>
      <c r="E2550" s="10"/>
      <c r="F2550" s="36"/>
      <c r="G2550" s="11"/>
      <c r="H2550" s="34" t="str">
        <f>IFERROR(__xludf.DUMMYFUNCTION("LOWER(REGEXREPLACE(B2550&amp;"" ""&amp;C2550,""[^а-яa-z0-9 ]"","" ""))")," анат для перетягивания ")</f>
        <v> анат для перетягивания </v>
      </c>
    </row>
    <row r="2551">
      <c r="A2551" s="35" t="s">
        <v>5872</v>
      </c>
      <c r="B2551" s="31" t="s">
        <v>5873</v>
      </c>
      <c r="C2551" s="31" t="s">
        <v>5874</v>
      </c>
      <c r="D2551" s="37" t="s">
        <v>14</v>
      </c>
      <c r="E2551" s="38">
        <v>2.0</v>
      </c>
      <c r="F2551" s="38">
        <v>7.0</v>
      </c>
      <c r="G2551" s="11">
        <v>81878.0</v>
      </c>
      <c r="H2551" s="34" t="str">
        <f>IFERROR(__xludf.DUMMYFUNCTION("LOWER(REGEXREPLACE(B2551&amp;"" ""&amp;C2551,""[^а-яa-z0-9 ]"","" ""))"),"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чех"&amp;"лы для того  чтобы предотвратить распушение и продлить срок службы ")</f>
        <v>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2">
      <c r="A2552" s="35" t="s">
        <v>5875</v>
      </c>
      <c r="B2552" s="31" t="s">
        <v>5876</v>
      </c>
      <c r="C2552" s="31" t="s">
        <v>5877</v>
      </c>
      <c r="D2552" s="37" t="s">
        <v>14</v>
      </c>
      <c r="E2552" s="38">
        <v>2.0</v>
      </c>
      <c r="F2552" s="39">
        <v>8.7</v>
      </c>
      <c r="G2552" s="11">
        <v>90394.0</v>
      </c>
      <c r="H2552" s="34" t="str">
        <f>IFERROR(__xludf.DUMMYFUNCTION("LOWER(REGEXREPLACE(B2552&amp;"" ""&amp;C2552,""[^а-яa-z0-9 ]"","" ""))"),"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3">
      <c r="A2553" s="35" t="s">
        <v>5878</v>
      </c>
      <c r="B2553" s="31" t="s">
        <v>5879</v>
      </c>
      <c r="C2553" s="31" t="s">
        <v>5880</v>
      </c>
      <c r="D2553" s="37" t="s">
        <v>14</v>
      </c>
      <c r="E2553" s="38">
        <v>2.0</v>
      </c>
      <c r="F2553" s="38">
        <v>6.0</v>
      </c>
      <c r="G2553" s="11">
        <v>52398.0</v>
      </c>
      <c r="H2553" s="34" t="str">
        <f>IFERROR(__xludf.DUMMYFUNCTION("LOWER(REGEXREPLACE(B2553&amp;"" ""&amp;C2553,""[^а-яa-z0-9 ]"","" ""))"),"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рас"&amp;"пушение и продлить срок службы ")</f>
        <v>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4">
      <c r="A2554" s="35" t="s">
        <v>5881</v>
      </c>
      <c r="B2554" s="31" t="s">
        <v>5882</v>
      </c>
      <c r="C2554" s="31" t="s">
        <v>5883</v>
      </c>
      <c r="D2554" s="37" t="s">
        <v>14</v>
      </c>
      <c r="E2554" s="38">
        <v>2.0</v>
      </c>
      <c r="F2554" s="39">
        <v>7.9</v>
      </c>
      <c r="G2554" s="11">
        <v>62621.0</v>
      </c>
      <c r="H2554" s="34" t="str">
        <f>IFERROR(__xludf.DUMMYFUNCTION("LOWER(REGEXREPLACE(B2554&amp;"" ""&amp;C2554,""[^а-яa-z0-9 ]"","" ""))"),"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5">
      <c r="A2555" s="35" t="s">
        <v>5884</v>
      </c>
      <c r="B2555" s="31" t="s">
        <v>5885</v>
      </c>
      <c r="C2555" s="31" t="s">
        <v>5886</v>
      </c>
      <c r="D2555" s="37" t="s">
        <v>14</v>
      </c>
      <c r="E2555" s="38">
        <v>2.0</v>
      </c>
      <c r="F2555" s="39">
        <v>7.2</v>
      </c>
      <c r="G2555" s="11">
        <v>74395.0</v>
      </c>
      <c r="H2555" s="34" t="str">
        <f>IFERROR(__xludf.DUMMYFUNCTION("LOWER(REGEXREPLACE(B2555&amp;"" ""&amp;C2555,""[^а-яa-z0-9 ]"","" ""))"),"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"&amp;"повышает выносливость  скорость  сила которую вы получите от тренировок с кроссфит канатом   атериал каната   100   нейлон с вставками из красного нейлона ")</f>
        <v>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6">
      <c r="A2556" s="35" t="s">
        <v>5887</v>
      </c>
      <c r="B2556" s="31" t="s">
        <v>5888</v>
      </c>
      <c r="C2556" s="31" t="s">
        <v>5889</v>
      </c>
      <c r="D2556" s="37" t="s">
        <v>14</v>
      </c>
      <c r="E2556" s="38">
        <v>2.0</v>
      </c>
      <c r="F2556" s="39">
        <v>9.2</v>
      </c>
      <c r="G2556" s="11">
        <v>99192.0</v>
      </c>
      <c r="H2556" s="34" t="str">
        <f>IFERROR(__xludf.DUMMYFUNCTION("LOWER(REGEXREPLACE(B2556&amp;"" ""&amp;C2556,""[^а-яa-z0-9 ]"","" ""))"),"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тренирово"&amp;"к повышает выносливость  скорость  сила которую вы получите от тренировок с кроссфит канатом   атериал каната   100   нейлон с вставками из красного нейлона ")</f>
        <v>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7">
      <c r="A2557" s="35" t="s">
        <v>5890</v>
      </c>
      <c r="B2557" s="31" t="s">
        <v>5891</v>
      </c>
      <c r="C2557" s="31"/>
      <c r="D2557" s="37" t="s">
        <v>14</v>
      </c>
      <c r="E2557" s="10"/>
      <c r="F2557" s="36"/>
      <c r="G2557" s="11"/>
      <c r="H2557" s="34" t="str">
        <f>IFERROR(__xludf.DUMMYFUNCTION("LOWER(REGEXREPLACE(B2557&amp;"" ""&amp;C2557,""[^а-яa-z0-9 ]"","" ""))")," анат для лазания ")</f>
        <v> анат для лазания </v>
      </c>
    </row>
    <row r="2558">
      <c r="A2558" s="35" t="s">
        <v>5892</v>
      </c>
      <c r="B2558" s="31" t="s">
        <v>5893</v>
      </c>
      <c r="C2558" s="31"/>
      <c r="D2558" s="37" t="s">
        <v>14</v>
      </c>
      <c r="E2558" s="38">
        <v>1.0</v>
      </c>
      <c r="F2558" s="39">
        <v>1.8</v>
      </c>
      <c r="G2558" s="11">
        <v>2857.0</v>
      </c>
      <c r="H2558" s="34" t="str">
        <f>IFERROR(__xludf.DUMMYFUNCTION("LOWER(REGEXREPLACE(B2558&amp;"" ""&amp;C2558,""[^а-яa-z0-9 ]"","" ""))")," анат спортивный 32мм ")</f>
        <v> анат спортивный 32мм </v>
      </c>
    </row>
    <row r="2559">
      <c r="A2559" s="35" t="s">
        <v>5894</v>
      </c>
      <c r="B2559" s="31" t="s">
        <v>5895</v>
      </c>
      <c r="C2559" s="31"/>
      <c r="D2559" s="37" t="s">
        <v>14</v>
      </c>
      <c r="E2559" s="38">
        <v>1.0</v>
      </c>
      <c r="F2559" s="39">
        <v>2.1</v>
      </c>
      <c r="G2559" s="11">
        <v>6071.0</v>
      </c>
      <c r="H2559" s="34" t="str">
        <f>IFERROR(__xludf.DUMMYFUNCTION("LOWER(REGEXREPLACE(B2559&amp;"" ""&amp;C2559,""[^а-яa-z0-9 ]"","" ""))")," анат спортивный 50мм ")</f>
        <v> анат спортивный 50мм </v>
      </c>
    </row>
    <row r="2560">
      <c r="A2560" s="35" t="s">
        <v>5896</v>
      </c>
      <c r="B2560" s="31" t="s">
        <v>5897</v>
      </c>
      <c r="C2560" s="31"/>
      <c r="D2560" s="37" t="s">
        <v>14</v>
      </c>
      <c r="E2560" s="38">
        <v>1.0</v>
      </c>
      <c r="F2560" s="38">
        <v>2.0</v>
      </c>
      <c r="G2560" s="11">
        <v>4018.0</v>
      </c>
      <c r="H2560" s="34" t="str">
        <f>IFERROR(__xludf.DUMMYFUNCTION("LOWER(REGEXREPLACE(B2560&amp;"" ""&amp;C2560,""[^а-яa-z0-9 ]"","" ""))")," анат спортивный 40мм ")</f>
        <v> анат спортивный 40мм </v>
      </c>
    </row>
    <row r="2561">
      <c r="A2561" s="35" t="s">
        <v>5898</v>
      </c>
      <c r="B2561" s="31" t="s">
        <v>5899</v>
      </c>
      <c r="C2561" s="31" t="s">
        <v>5900</v>
      </c>
      <c r="D2561" s="37" t="s">
        <v>14</v>
      </c>
      <c r="E2561" s="38">
        <v>2.0</v>
      </c>
      <c r="F2561" s="38">
        <v>5.0</v>
      </c>
      <c r="G2561" s="11">
        <v>50367.0</v>
      </c>
      <c r="H2561" s="34" t="str">
        <f>IFERROR(__xludf.DUMMYFUNCTION("LOWER(REGEXREPLACE(B2561&amp;"" ""&amp;C2561,""[^а-яa-z0-9 ]"","" ""))"),"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f>
        <v>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v>
      </c>
    </row>
    <row r="2562">
      <c r="A2562" s="35" t="s">
        <v>5901</v>
      </c>
      <c r="B2562" s="31" t="s">
        <v>5902</v>
      </c>
      <c r="C2562" s="31" t="s">
        <v>5903</v>
      </c>
      <c r="D2562" s="37" t="s">
        <v>14</v>
      </c>
      <c r="E2562" s="38">
        <v>2.0</v>
      </c>
      <c r="F2562" s="38">
        <v>6.0</v>
      </c>
      <c r="G2562" s="11">
        <v>59907.0</v>
      </c>
      <c r="H2562" s="34" t="str">
        <f>IFERROR(__xludf.DUMMYFUNCTION("LOWER(REGEXREPLACE(B2562&amp;"" ""&amp;C2562,""[^а-яa-z0-9 ]"","" ""))"),"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3">
      <c r="A2563" s="35" t="s">
        <v>5904</v>
      </c>
      <c r="B2563" s="31" t="s">
        <v>5905</v>
      </c>
      <c r="C2563" s="31" t="s">
        <v>5906</v>
      </c>
      <c r="D2563" s="37" t="s">
        <v>14</v>
      </c>
      <c r="E2563" s="38">
        <v>2.0</v>
      </c>
      <c r="F2563" s="38">
        <v>7.0</v>
      </c>
      <c r="G2563" s="11">
        <v>69271.0</v>
      </c>
      <c r="H2563" s="34" t="str">
        <f>IFERROR(__xludf.DUMMYFUNCTION("LOWER(REGEXREPLACE(B2563&amp;"" ""&amp;C2563,""[^а-яa-z0-9 ]"","" ""))"),"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4">
      <c r="A2564" s="35" t="s">
        <v>5907</v>
      </c>
      <c r="B2564" s="31" t="s">
        <v>5908</v>
      </c>
      <c r="C2564" s="31" t="s">
        <v>5909</v>
      </c>
      <c r="D2564" s="37" t="s">
        <v>14</v>
      </c>
      <c r="E2564" s="38">
        <v>2.0</v>
      </c>
      <c r="F2564" s="38">
        <v>8.0</v>
      </c>
      <c r="G2564" s="11">
        <v>86479.0</v>
      </c>
      <c r="H2564" s="34" t="str">
        <f>IFERROR(__xludf.DUMMYFUNCTION("LOWER(REGEXREPLACE(B2564&amp;"" ""&amp;C2564,""[^а-яa-z0-9 ]"","" ""))"),"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кана"&amp;"та закрепл н декоративный чехол   анат для лазания предназначен для общефизической подготовки учащихся в спортивных залах ")</f>
        <v>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5">
      <c r="A2565" s="35" t="s">
        <v>5910</v>
      </c>
      <c r="B2565" s="31" t="s">
        <v>5911</v>
      </c>
      <c r="C2565" s="31" t="s">
        <v>5912</v>
      </c>
      <c r="D2565" s="37" t="s">
        <v>14</v>
      </c>
      <c r="E2565" s="38">
        <v>2.0</v>
      </c>
      <c r="F2565" s="38">
        <v>9.0</v>
      </c>
      <c r="G2565" s="11">
        <v>87825.0</v>
      </c>
      <c r="H2565" s="34" t="str">
        <f>IFERROR(__xludf.DUMMYFUNCTION("LOWER(REGEXREPLACE(B2565&amp;"" ""&amp;C2565,""[^а-яa-z0-9 ]"","" ""))"),"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6">
      <c r="A2566" s="35" t="s">
        <v>5913</v>
      </c>
      <c r="B2566" s="31" t="s">
        <v>5914</v>
      </c>
      <c r="C2566" s="31" t="s">
        <v>5915</v>
      </c>
      <c r="D2566" s="37" t="s">
        <v>14</v>
      </c>
      <c r="E2566" s="38">
        <v>2.0</v>
      </c>
      <c r="F2566" s="38">
        <v>12.0</v>
      </c>
      <c r="G2566" s="11">
        <v>112450.0</v>
      </c>
      <c r="H2566" s="34" t="str">
        <f>IFERROR(__xludf.DUMMYFUNCTION("LOWER(REGEXREPLACE(B2566&amp;"" ""&amp;C2566,""[^а-яa-z0-9 ]"","" ""))"),"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декорати"&amp;"вный чехол   анат для лазания предназначен для общефизической подготовки учащихся в спортивных залах ")</f>
        <v>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7">
      <c r="A2567" s="35" t="s">
        <v>5916</v>
      </c>
      <c r="B2567" s="31" t="s">
        <v>5917</v>
      </c>
      <c r="C2567" s="31"/>
      <c r="D2567" s="37" t="s">
        <v>14</v>
      </c>
      <c r="E2567" s="10"/>
      <c r="F2567" s="36"/>
      <c r="G2567" s="11"/>
      <c r="H2567" s="34" t="str">
        <f>IFERROR(__xludf.DUMMYFUNCTION("LOWER(REGEXREPLACE(B2567&amp;"" ""&amp;C2567,""[^а-яa-z0-9 ]"","" ""))")," еревочная лестница ")</f>
        <v> еревочная лестница </v>
      </c>
    </row>
    <row r="2568">
      <c r="A2568" s="35" t="s">
        <v>5918</v>
      </c>
      <c r="B2568" s="31" t="s">
        <v>5919</v>
      </c>
      <c r="C2568" s="31"/>
      <c r="D2568" s="37" t="s">
        <v>14</v>
      </c>
      <c r="E2568" s="38">
        <v>1.0</v>
      </c>
      <c r="F2568" s="39">
        <v>1.6</v>
      </c>
      <c r="G2568" s="11">
        <v>9286.0</v>
      </c>
      <c r="H2568" s="34" t="str">
        <f>IFERROR(__xludf.DUMMYFUNCTION("LOWER(REGEXREPLACE(B2568&amp;"" ""&amp;C2568,""[^а-яa-z0-9 ]"","" ""))")," естница веревочная 2м ")</f>
        <v> естница веревочная 2м </v>
      </c>
    </row>
    <row r="2569">
      <c r="A2569" s="35" t="s">
        <v>5920</v>
      </c>
      <c r="B2569" s="9" t="s">
        <v>5921</v>
      </c>
      <c r="C2569" s="31"/>
      <c r="D2569" s="37" t="s">
        <v>14</v>
      </c>
      <c r="E2569" s="10"/>
      <c r="F2569" s="36"/>
      <c r="G2569" s="11">
        <v>203513.0</v>
      </c>
      <c r="H2569" s="34" t="str">
        <f>IFERROR(__xludf.DUMMYFUNCTION("LOWER(REGEXREPLACE(B2569&amp;"" ""&amp;C2569,""[^а-яa-z0-9 ]"","" ""))")," етская каркасная веревочная лестница   азмер  170х69х7 см ")</f>
        <v> етская каркасная веревочная лестница   азмер  170х69х7 см </v>
      </c>
    </row>
    <row r="2570">
      <c r="A2570" s="35" t="s">
        <v>5922</v>
      </c>
      <c r="B2570" s="31" t="s">
        <v>5923</v>
      </c>
      <c r="C2570" s="31" t="s">
        <v>5924</v>
      </c>
      <c r="D2570" s="37" t="s">
        <v>68</v>
      </c>
      <c r="E2570" s="38">
        <v>1.0</v>
      </c>
      <c r="F2570" s="38">
        <v>1.0</v>
      </c>
      <c r="G2570" s="11">
        <v>4140.0</v>
      </c>
      <c r="H2570" s="34" t="str">
        <f>IFERROR(__xludf.DUMMYFUNCTION("LOWER(REGEXREPLACE(B2570&amp;"" ""&amp;C2570,""[^а-яa-z0-9 ]"","" ""))")," абор кеглей  егли для эстафет состоит из 6 цветных кеглей и 2 шаров   ысота 265 мм   лина 170 мм   ирина 250 мм   атериал       пластик  ")</f>
        <v> абор кеглей  егли для эстафет состоит из 6 цветных кеглей и 2 шаров   ысота 265 мм   лина 170 мм   ирина 250 мм   атериал       пластик  </v>
      </c>
    </row>
    <row r="2571">
      <c r="A2571" s="35" t="s">
        <v>5925</v>
      </c>
      <c r="B2571" s="31" t="s">
        <v>5926</v>
      </c>
      <c r="C2571" s="31"/>
      <c r="D2571" s="37" t="s">
        <v>14</v>
      </c>
      <c r="E2571" s="10"/>
      <c r="F2571" s="36"/>
      <c r="G2571" s="11"/>
      <c r="H2571" s="34" t="str">
        <f>IFERROR(__xludf.DUMMYFUNCTION("LOWER(REGEXREPLACE(B2571&amp;"" ""&amp;C2571,""[^а-яa-z0-9 ]"","" ""))")," висток игровой ")</f>
        <v> висток игровой </v>
      </c>
    </row>
    <row r="2572">
      <c r="A2572" s="35" t="s">
        <v>5927</v>
      </c>
      <c r="B2572" s="31" t="s">
        <v>5928</v>
      </c>
      <c r="C2572" s="31"/>
      <c r="D2572" s="37" t="s">
        <v>14</v>
      </c>
      <c r="E2572" s="38">
        <v>1.0</v>
      </c>
      <c r="F2572" s="40">
        <v>0.02</v>
      </c>
      <c r="G2572" s="11">
        <v>536.0</v>
      </c>
      <c r="H2572" s="34" t="str">
        <f>IFERROR(__xludf.DUMMYFUNCTION("LOWER(REGEXREPLACE(B2572&amp;"" ""&amp;C2572,""[^а-яa-z0-9 ]"","" ""))")," висток металический ")</f>
        <v> висток металический </v>
      </c>
    </row>
    <row r="2573">
      <c r="A2573" s="35" t="s">
        <v>5929</v>
      </c>
      <c r="B2573" s="31" t="s">
        <v>5930</v>
      </c>
      <c r="C2573" s="31"/>
      <c r="D2573" s="37" t="s">
        <v>14</v>
      </c>
      <c r="E2573" s="38">
        <v>1.0</v>
      </c>
      <c r="F2573" s="40">
        <v>0.02</v>
      </c>
      <c r="G2573" s="11">
        <v>446.0</v>
      </c>
      <c r="H2573" s="34" t="str">
        <f>IFERROR(__xludf.DUMMYFUNCTION("LOWER(REGEXREPLACE(B2573&amp;"" ""&amp;C2573,""[^а-яa-z0-9 ]"","" ""))")," висток     ")</f>
        <v> висток     </v>
      </c>
    </row>
    <row r="2574">
      <c r="A2574" s="35" t="s">
        <v>5931</v>
      </c>
      <c r="B2574" s="31" t="s">
        <v>5932</v>
      </c>
      <c r="C2574" s="31" t="s">
        <v>5933</v>
      </c>
      <c r="D2574" s="37" t="s">
        <v>14</v>
      </c>
      <c r="E2574" s="38">
        <v>2.0</v>
      </c>
      <c r="F2574" s="40">
        <v>0.01</v>
      </c>
      <c r="G2574" s="11">
        <v>2342.0</v>
      </c>
      <c r="H2574" s="34" t="str">
        <f>IFERROR(__xludf.DUMMYFUNCTION("LOWER(REGEXREPLACE(B2574&amp;"" ""&amp;C2574,""[^а-яa-z0-9 ]"","" ""))"),"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f>
        <v>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v>
      </c>
    </row>
    <row r="2575">
      <c r="A2575" s="35" t="s">
        <v>5934</v>
      </c>
      <c r="B2575" s="31" t="s">
        <v>5935</v>
      </c>
      <c r="C2575" s="31"/>
      <c r="D2575" s="37" t="s">
        <v>14</v>
      </c>
      <c r="E2575" s="38">
        <v>2.0</v>
      </c>
      <c r="F2575" s="40">
        <v>0.05</v>
      </c>
      <c r="G2575" s="11">
        <v>4047.0</v>
      </c>
      <c r="H2575" s="34" t="str">
        <f>IFERROR(__xludf.DUMMYFUNCTION("LOWER(REGEXREPLACE(B2575&amp;"" ""&amp;C2575,""[^а-яa-z0-9 ]"","" ""))")," висток пластиковый    40 ")</f>
        <v> висток пластиковый    40 </v>
      </c>
    </row>
    <row r="2576">
      <c r="A2576" s="35" t="s">
        <v>5936</v>
      </c>
      <c r="B2576" s="31" t="s">
        <v>5937</v>
      </c>
      <c r="C2576" s="31" t="s">
        <v>5938</v>
      </c>
      <c r="D2576" s="37" t="s">
        <v>14</v>
      </c>
      <c r="E2576" s="38">
        <v>2.0</v>
      </c>
      <c r="F2576" s="40">
        <v>0.02</v>
      </c>
      <c r="G2576" s="11">
        <v>14600.0</v>
      </c>
      <c r="H2576" s="34" t="str">
        <f>IFERROR(__xludf.DUMMYFUNCTION("LOWER(REGEXREPLACE(B2576&amp;"" ""&amp;C2576,""[^а-яa-z0-9 ]"","" ""))"),"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ак"&amp;"кумулятор 18650 ")</f>
        <v>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аккумулятор 18650 </v>
      </c>
    </row>
    <row r="2577">
      <c r="A2577" s="35" t="s">
        <v>5939</v>
      </c>
      <c r="B2577" s="31" t="s">
        <v>5940</v>
      </c>
      <c r="C2577" s="31"/>
      <c r="D2577" s="37" t="s">
        <v>14</v>
      </c>
      <c r="E2577" s="10"/>
      <c r="F2577" s="36"/>
      <c r="G2577" s="11"/>
      <c r="H2577" s="34" t="str">
        <f>IFERROR(__xludf.DUMMYFUNCTION("LOWER(REGEXREPLACE(B2577&amp;"" ""&amp;C2577,""[^а-яa-z0-9 ]"","" ""))")," нвентарь для художественной гимнастики ")</f>
        <v> нвентарь для художественной гимнастики </v>
      </c>
    </row>
    <row r="2578">
      <c r="A2578" s="35" t="s">
        <v>5941</v>
      </c>
      <c r="B2578" s="31" t="s">
        <v>5942</v>
      </c>
      <c r="C2578" s="31" t="s">
        <v>5943</v>
      </c>
      <c r="D2578" s="37" t="s">
        <v>14</v>
      </c>
      <c r="E2578" s="38">
        <v>2.0</v>
      </c>
      <c r="F2578" s="40">
        <v>0.15</v>
      </c>
      <c r="G2578" s="11">
        <v>4918.0</v>
      </c>
      <c r="H2578" s="34" t="str">
        <f>IFERROR(__xludf.DUMMYFUNCTION("LOWER(REGEXREPLACE(B2578&amp;"" ""&amp;C2578,""[^а-яa-z0-9 ]"","" ""))"),"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и"&amp;" ручка булавы каучуковые  тело   пластиковое     лина  36 см   ес  150 гр   атериал  пластик каучук ")</f>
        <v>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 ручка булавы каучуковые  тело   пластиковое     лина  36 см   ес  150 гр   атериал  пластик каучук </v>
      </c>
    </row>
    <row r="2579">
      <c r="A2579" s="35" t="s">
        <v>5944</v>
      </c>
      <c r="B2579" s="31" t="s">
        <v>5945</v>
      </c>
      <c r="C2579" s="31" t="s">
        <v>5945</v>
      </c>
      <c r="D2579" s="37" t="s">
        <v>14</v>
      </c>
      <c r="E2579" s="38">
        <v>2.0</v>
      </c>
      <c r="F2579" s="40">
        <v>0.05</v>
      </c>
      <c r="G2579" s="11">
        <v>3981.0</v>
      </c>
      <c r="H2579" s="34" t="str">
        <f>IFERROR(__xludf.DUMMYFUNCTION("LOWER(REGEXREPLACE(B2579&amp;"" ""&amp;C2579,""[^а-яa-z0-9 ]"","" ""))"),"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f>
        <v>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v>
      </c>
    </row>
    <row r="2580">
      <c r="A2580" s="35" t="s">
        <v>5946</v>
      </c>
      <c r="B2580" s="31" t="s">
        <v>5947</v>
      </c>
      <c r="C2580" s="31" t="s">
        <v>5948</v>
      </c>
      <c r="D2580" s="37" t="s">
        <v>14</v>
      </c>
      <c r="E2580" s="38">
        <v>2.0</v>
      </c>
      <c r="F2580" s="38">
        <v>1.0</v>
      </c>
      <c r="G2580" s="11">
        <v>4500.0</v>
      </c>
      <c r="H2580" s="34" t="str">
        <f>IFERROR(__xludf.DUMMYFUNCTION("LOWER(REGEXREPLACE(B2580&amp;"" ""&amp;C2580,""[^а-яa-z0-9 ]"","" ""))"),"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1">
      <c r="A2581" s="35" t="s">
        <v>5949</v>
      </c>
      <c r="B2581" s="31" t="s">
        <v>5950</v>
      </c>
      <c r="C2581" s="31" t="s">
        <v>5948</v>
      </c>
      <c r="D2581" s="37" t="s">
        <v>14</v>
      </c>
      <c r="E2581" s="38">
        <v>2.0</v>
      </c>
      <c r="F2581" s="38">
        <v>2.0</v>
      </c>
      <c r="G2581" s="11">
        <v>5403.0</v>
      </c>
      <c r="H2581" s="34" t="str">
        <f>IFERROR(__xludf.DUMMYFUNCTION("LOWER(REGEXREPLACE(B2581&amp;"" ""&amp;C2581,""[^а-яa-z0-9 ]"","" ""))"),"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2">
      <c r="A2582" s="35" t="s">
        <v>5951</v>
      </c>
      <c r="B2582" s="31" t="s">
        <v>5952</v>
      </c>
      <c r="C2582" s="31" t="s">
        <v>5948</v>
      </c>
      <c r="D2582" s="37" t="s">
        <v>14</v>
      </c>
      <c r="E2582" s="38">
        <v>2.0</v>
      </c>
      <c r="F2582" s="38">
        <v>3.0</v>
      </c>
      <c r="G2582" s="11">
        <v>6307.0</v>
      </c>
      <c r="H2582" s="34" t="str">
        <f>IFERROR(__xludf.DUMMYFUNCTION("LOWER(REGEXREPLACE(B2582&amp;"" ""&amp;C2582,""[^а-яa-z0-9 ]"","" ""))"),"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3">
      <c r="A2583" s="35" t="s">
        <v>5953</v>
      </c>
      <c r="B2583" s="31" t="s">
        <v>5954</v>
      </c>
      <c r="C2583" s="31" t="s">
        <v>5955</v>
      </c>
      <c r="D2583" s="37" t="s">
        <v>68</v>
      </c>
      <c r="E2583" s="38">
        <v>2.0</v>
      </c>
      <c r="F2583" s="38">
        <v>1.0</v>
      </c>
      <c r="G2583" s="11">
        <v>11245.0</v>
      </c>
      <c r="H2583" s="34" t="str">
        <f>IFERROR(__xludf.DUMMYFUNCTION("LOWER(REGEXREPLACE(B2583&amp;"" ""&amp;C2583,""[^а-яa-z0-9 ]"","" ""))"),"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f>
        <v>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v>
      </c>
    </row>
    <row r="2584">
      <c r="A2584" s="35" t="s">
        <v>5956</v>
      </c>
      <c r="B2584" s="9" t="s">
        <v>5957</v>
      </c>
      <c r="C2584" s="31" t="s">
        <v>5958</v>
      </c>
      <c r="D2584" s="37" t="s">
        <v>1478</v>
      </c>
      <c r="E2584" s="38">
        <v>2.0</v>
      </c>
      <c r="F2584" s="40">
        <v>1.45</v>
      </c>
      <c r="G2584" s="11">
        <v>35977.0</v>
      </c>
      <c r="H2584" s="34" t="str">
        <f>IFERROR(__xludf.DUMMYFUNCTION("LOWER(REGEXREPLACE(B2584&amp;"" ""&amp;C2584,""[^а-яa-z0-9 ]"","" ""))"),"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с"&amp;"кручивания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f>
        <v>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v>
      </c>
    </row>
    <row r="2585">
      <c r="A2585" s="35" t="s">
        <v>5959</v>
      </c>
      <c r="B2585" s="31" t="s">
        <v>5960</v>
      </c>
      <c r="C2585" s="31" t="s">
        <v>5961</v>
      </c>
      <c r="D2585" s="37" t="s">
        <v>1507</v>
      </c>
      <c r="E2585" s="38">
        <v>2.0</v>
      </c>
      <c r="F2585" s="38">
        <v>8.0</v>
      </c>
      <c r="G2585" s="11">
        <v>33980.0</v>
      </c>
      <c r="H2585" s="34" t="str">
        <f>IFERROR(__xludf.DUMMYFUNCTION("LOWER(REGEXREPLACE(B2585&amp;"" ""&amp;C2585,""[^а-яa-z0-9 ]"","" ""))"),"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деформир"&amp;"уется  выдерживает нагрузку  легче массива дерева и устойчива к перепадам температуры")</f>
        <v>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v>
      </c>
    </row>
    <row r="2586">
      <c r="A2586" s="35" t="s">
        <v>5962</v>
      </c>
      <c r="B2586" s="31" t="s">
        <v>5963</v>
      </c>
      <c r="C2586" s="31" t="s">
        <v>5964</v>
      </c>
      <c r="D2586" s="37" t="s">
        <v>14</v>
      </c>
      <c r="E2586" s="38">
        <v>2.0</v>
      </c>
      <c r="F2586" s="39">
        <v>1.2</v>
      </c>
      <c r="G2586" s="11">
        <v>11302.0</v>
      </c>
      <c r="H2586" s="34" t="str">
        <f>IFERROR(__xludf.DUMMYFUNCTION("LOWER(REGEXREPLACE(B2586&amp;"" ""&amp;C2586,""[^а-яa-z0-9 ]"","" ""))"),"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пов"&amp;"ерхностью ")</f>
        <v>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поверхностью </v>
      </c>
    </row>
    <row r="2587">
      <c r="A2587" s="35" t="s">
        <v>5965</v>
      </c>
      <c r="B2587" s="31" t="s">
        <v>5966</v>
      </c>
      <c r="C2587" s="31"/>
      <c r="D2587" s="37" t="s">
        <v>14</v>
      </c>
      <c r="E2587" s="38">
        <v>1.0</v>
      </c>
      <c r="F2587" s="39">
        <v>0.2</v>
      </c>
      <c r="G2587" s="11"/>
      <c r="H2587" s="34" t="str">
        <f>IFERROR(__xludf.DUMMYFUNCTION("LOWER(REGEXREPLACE(B2587&amp;"" ""&amp;C2587,""[^а-яa-z0-9 ]"","" ""))")," алка гимнастическая ")</f>
        <v> алка гимнастическая </v>
      </c>
    </row>
    <row r="2588">
      <c r="A2588" s="35" t="s">
        <v>5967</v>
      </c>
      <c r="B2588" s="31" t="s">
        <v>5968</v>
      </c>
      <c r="C2588" s="31"/>
      <c r="D2588" s="37" t="s">
        <v>14</v>
      </c>
      <c r="E2588" s="38">
        <v>2.0</v>
      </c>
      <c r="F2588" s="39">
        <v>0.2</v>
      </c>
      <c r="G2588" s="11">
        <v>900.0</v>
      </c>
      <c r="H2588" s="34" t="str">
        <f>IFERROR(__xludf.DUMMYFUNCTION("LOWER(REGEXREPLACE(B2588&amp;"" ""&amp;C2588,""[^а-яa-z0-9 ]"","" ""))")," алка гимнастическая   атериал пластик   иаметр 25мм  длина 1000мм ")</f>
        <v> алка гимнастическая   атериал пластик   иаметр 25мм  длина 1000мм </v>
      </c>
    </row>
    <row r="2589">
      <c r="A2589" s="35" t="s">
        <v>5969</v>
      </c>
      <c r="B2589" s="31" t="s">
        <v>5970</v>
      </c>
      <c r="C2589" s="31" t="s">
        <v>5971</v>
      </c>
      <c r="D2589" s="37" t="s">
        <v>14</v>
      </c>
      <c r="E2589" s="38">
        <v>2.0</v>
      </c>
      <c r="F2589" s="40">
        <v>0.15</v>
      </c>
      <c r="G2589" s="11">
        <v>1686.0</v>
      </c>
      <c r="H2589" s="34" t="str">
        <f>IFERROR(__xludf.DUMMYFUNCTION("LOWER(REGEXREPLACE(B2589&amp;"" ""&amp;C2589,""[^а-яa-z0-9 ]"","" ""))"),"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гимн"&amp;"астическая изготовлена из дерева с закругленными краями ")</f>
        <v>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гимнастическая изготовлена из дерева с закругленными краями </v>
      </c>
    </row>
    <row r="2590">
      <c r="A2590" s="35" t="s">
        <v>5972</v>
      </c>
      <c r="B2590" s="31" t="s">
        <v>5973</v>
      </c>
      <c r="C2590" s="31" t="s">
        <v>5974</v>
      </c>
      <c r="D2590" s="37" t="s">
        <v>14</v>
      </c>
      <c r="E2590" s="38">
        <v>2.0</v>
      </c>
      <c r="F2590" s="40">
        <v>0.18</v>
      </c>
      <c r="G2590" s="11">
        <v>1987.0</v>
      </c>
      <c r="H2590" s="34" t="str">
        <f>IFERROR(__xludf.DUMMYFUNCTION("LOWER(REGEXREPLACE(B2590&amp;"" ""&amp;C2590,""[^а-яa-z0-9 ]"","" ""))"),"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"&amp;"гимнастическая изготовлена из дерева с закругленными краями ")</f>
        <v>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гимнастическая изготовлена из дерева с закругленными краями </v>
      </c>
    </row>
    <row r="2591">
      <c r="A2591" s="35" t="s">
        <v>5975</v>
      </c>
      <c r="B2591" s="31" t="s">
        <v>5976</v>
      </c>
      <c r="C2591" s="31" t="s">
        <v>5977</v>
      </c>
      <c r="D2591" s="37" t="s">
        <v>14</v>
      </c>
      <c r="E2591" s="38">
        <v>2.0</v>
      </c>
      <c r="F2591" s="40">
        <v>0.08</v>
      </c>
      <c r="G2591" s="11">
        <v>4317.0</v>
      </c>
      <c r="H2591" s="34" t="str">
        <f>IFERROR(__xludf.DUMMYFUNCTION("LOWER(REGEXREPLACE(B2591&amp;"" ""&amp;C2591,""[^а-яa-z0-9 ]"","" ""))"),"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мо"&amp;"жно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f>
        <v>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v>
      </c>
    </row>
    <row r="2592">
      <c r="A2592" s="35" t="s">
        <v>5978</v>
      </c>
      <c r="B2592" s="31" t="s">
        <v>5979</v>
      </c>
      <c r="C2592" s="31" t="s">
        <v>5980</v>
      </c>
      <c r="D2592" s="37" t="s">
        <v>14</v>
      </c>
      <c r="E2592" s="38">
        <v>2.0</v>
      </c>
      <c r="F2592" s="38">
        <v>1.0</v>
      </c>
      <c r="G2592" s="11">
        <v>12398.0</v>
      </c>
      <c r="H2592" s="34" t="str">
        <f>IFERROR(__xludf.DUMMYFUNCTION("LOWER(REGEXREPLACE(B2592&amp;"" ""&amp;C2592,""[^а-яa-z0-9 ]"","" ""))"),"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3">
      <c r="A2593" s="35" t="s">
        <v>5981</v>
      </c>
      <c r="B2593" s="31" t="s">
        <v>5982</v>
      </c>
      <c r="C2593" s="31" t="s">
        <v>5983</v>
      </c>
      <c r="D2593" s="37" t="s">
        <v>14</v>
      </c>
      <c r="E2593" s="38">
        <v>2.0</v>
      </c>
      <c r="F2593" s="38">
        <v>2.0</v>
      </c>
      <c r="G2593" s="11">
        <v>13952.0</v>
      </c>
      <c r="H2593" s="34" t="str">
        <f>IFERROR(__xludf.DUMMYFUNCTION("LOWER(REGEXREPLACE(B2593&amp;"" ""&amp;C2593,""[^а-яa-z0-9 ]"","" ""))"),"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4">
      <c r="A2594" s="35" t="s">
        <v>5984</v>
      </c>
      <c r="B2594" s="31" t="s">
        <v>5985</v>
      </c>
      <c r="C2594" s="31" t="s">
        <v>5986</v>
      </c>
      <c r="D2594" s="37" t="s">
        <v>14</v>
      </c>
      <c r="E2594" s="38">
        <v>2.0</v>
      </c>
      <c r="F2594" s="38">
        <v>3.0</v>
      </c>
      <c r="G2594" s="11">
        <v>15505.0</v>
      </c>
      <c r="H2594" s="34" t="str">
        <f>IFERROR(__xludf.DUMMYFUNCTION("LOWER(REGEXREPLACE(B2594&amp;"" ""&amp;C2594,""[^а-яa-z0-9 ]"","" ""))"),"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5">
      <c r="A2595" s="35" t="s">
        <v>5987</v>
      </c>
      <c r="B2595" s="31" t="s">
        <v>5988</v>
      </c>
      <c r="C2595" s="31" t="s">
        <v>5989</v>
      </c>
      <c r="D2595" s="37" t="s">
        <v>14</v>
      </c>
      <c r="E2595" s="38">
        <v>2.0</v>
      </c>
      <c r="F2595" s="38">
        <v>4.0</v>
      </c>
      <c r="G2595" s="11">
        <v>17059.0</v>
      </c>
      <c r="H2595" s="34" t="str">
        <f>IFERROR(__xludf.DUMMYFUNCTION("LOWER(REGEXREPLACE(B2595&amp;"" ""&amp;C2595,""[^а-яa-z0-9 ]"","" ""))"),"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6">
      <c r="A2596" s="35" t="s">
        <v>5990</v>
      </c>
      <c r="B2596" s="31" t="s">
        <v>5991</v>
      </c>
      <c r="C2596" s="31" t="s">
        <v>5992</v>
      </c>
      <c r="D2596" s="37" t="s">
        <v>14</v>
      </c>
      <c r="E2596" s="38">
        <v>2.0</v>
      </c>
      <c r="F2596" s="38">
        <v>5.0</v>
      </c>
      <c r="G2596" s="11">
        <v>18612.0</v>
      </c>
      <c r="H2596" s="34" t="str">
        <f>IFERROR(__xludf.DUMMYFUNCTION("LOWER(REGEXREPLACE(B2596&amp;"" ""&amp;C2596,""[^а-яa-z0-9 ]"","" ""))"),"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7">
      <c r="A2597" s="35" t="s">
        <v>5993</v>
      </c>
      <c r="B2597" s="31" t="s">
        <v>5994</v>
      </c>
      <c r="C2597" s="31" t="s">
        <v>5995</v>
      </c>
      <c r="D2597" s="37" t="s">
        <v>14</v>
      </c>
      <c r="E2597" s="38">
        <v>2.0</v>
      </c>
      <c r="F2597" s="38">
        <v>6.0</v>
      </c>
      <c r="G2597" s="11">
        <v>20165.0</v>
      </c>
      <c r="H2597" s="34" t="str">
        <f>IFERROR(__xludf.DUMMYFUNCTION("LOWER(REGEXREPLACE(B2597&amp;"" ""&amp;C2597,""[^а-яa-z0-9 ]"","" ""))"),"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8">
      <c r="A2598" s="35" t="s">
        <v>5996</v>
      </c>
      <c r="B2598" s="31" t="s">
        <v>5997</v>
      </c>
      <c r="C2598" s="31" t="s">
        <v>5998</v>
      </c>
      <c r="D2598" s="37" t="s">
        <v>14</v>
      </c>
      <c r="E2598" s="38">
        <v>2.0</v>
      </c>
      <c r="F2598" s="38">
        <v>7.0</v>
      </c>
      <c r="G2598" s="11">
        <v>21719.0</v>
      </c>
      <c r="H2598" s="34" t="str">
        <f>IFERROR(__xludf.DUMMYFUNCTION("LOWER(REGEXREPLACE(B2598&amp;"" ""&amp;C2598,""[^а-яa-z0-9 ]"","" ""))"),"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9">
      <c r="A2599" s="35" t="s">
        <v>5999</v>
      </c>
      <c r="B2599" s="31" t="s">
        <v>6000</v>
      </c>
      <c r="C2599" s="31" t="s">
        <v>6001</v>
      </c>
      <c r="D2599" s="37" t="s">
        <v>14</v>
      </c>
      <c r="E2599" s="38">
        <v>2.0</v>
      </c>
      <c r="F2599" s="38">
        <v>8.0</v>
      </c>
      <c r="G2599" s="11">
        <v>25441.0</v>
      </c>
      <c r="H2599" s="34" t="str">
        <f>IFERROR(__xludf.DUMMYFUNCTION("LOWER(REGEXREPLACE(B2599&amp;"" ""&amp;C2599,""[^а-яa-z0-9 ]"","" ""))"),"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0">
      <c r="A2600" s="35" t="s">
        <v>6002</v>
      </c>
      <c r="B2600" s="31" t="s">
        <v>6003</v>
      </c>
      <c r="C2600" s="31" t="s">
        <v>6004</v>
      </c>
      <c r="D2600" s="37" t="s">
        <v>14</v>
      </c>
      <c r="E2600" s="38">
        <v>2.0</v>
      </c>
      <c r="F2600" s="38">
        <v>9.0</v>
      </c>
      <c r="G2600" s="11">
        <v>28854.0</v>
      </c>
      <c r="H2600" s="34" t="str">
        <f>IFERROR(__xludf.DUMMYFUNCTION("LOWER(REGEXREPLACE(B2600&amp;"" ""&amp;C2600,""[^а-яa-z0-9 ]"","" ""))"),"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1">
      <c r="A2601" s="35" t="s">
        <v>6005</v>
      </c>
      <c r="B2601" s="31" t="s">
        <v>6006</v>
      </c>
      <c r="C2601" s="31" t="s">
        <v>6007</v>
      </c>
      <c r="D2601" s="37" t="s">
        <v>14</v>
      </c>
      <c r="E2601" s="38">
        <v>2.0</v>
      </c>
      <c r="F2601" s="38">
        <v>10.0</v>
      </c>
      <c r="G2601" s="11">
        <v>32576.0</v>
      </c>
      <c r="H2601" s="34" t="str">
        <f>IFERROR(__xludf.DUMMYFUNCTION("LOWER(REGEXREPLACE(B2601&amp;"" ""&amp;C2601,""[^а-яa-z0-9 ]"","" ""))"),"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улучшенного"&amp;" хвата  пластиковые утяжел нные наконечники   азмер 1000х30мм")</f>
        <v>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2">
      <c r="A2602" s="35" t="s">
        <v>6008</v>
      </c>
      <c r="B2602" s="31" t="s">
        <v>6009</v>
      </c>
      <c r="C2602" s="31" t="s">
        <v>6010</v>
      </c>
      <c r="D2602" s="37" t="s">
        <v>14</v>
      </c>
      <c r="E2602" s="38">
        <v>2.0</v>
      </c>
      <c r="F2602" s="39">
        <v>0.2</v>
      </c>
      <c r="G2602" s="11">
        <v>2426.0</v>
      </c>
      <c r="H2602" s="34" t="str">
        <f>IFERROR(__xludf.DUMMYFUNCTION("LOWER(REGEXREPLACE(B2602&amp;"" ""&amp;C2602,""[^а-яa-z0-9 ]"","" ""))"),"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3">
      <c r="A2603" s="35" t="s">
        <v>6011</v>
      </c>
      <c r="B2603" s="31" t="s">
        <v>6012</v>
      </c>
      <c r="C2603" s="31" t="s">
        <v>6010</v>
      </c>
      <c r="D2603" s="37" t="s">
        <v>14</v>
      </c>
      <c r="E2603" s="38">
        <v>2.0</v>
      </c>
      <c r="F2603" s="40">
        <v>0.23</v>
      </c>
      <c r="G2603" s="11">
        <v>2717.0</v>
      </c>
      <c r="H2603" s="34" t="str">
        <f>IFERROR(__xludf.DUMMYFUNCTION("LOWER(REGEXREPLACE(B2603&amp;"" ""&amp;C2603,""[^а-яa-z0-9 ]"","" ""))"),"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4">
      <c r="A2604" s="35" t="s">
        <v>6013</v>
      </c>
      <c r="B2604" s="31" t="s">
        <v>6014</v>
      </c>
      <c r="C2604" s="31"/>
      <c r="D2604" s="37" t="s">
        <v>14</v>
      </c>
      <c r="E2604" s="10"/>
      <c r="F2604" s="36"/>
      <c r="G2604" s="11"/>
      <c r="H2604" s="34" t="str">
        <f>IFERROR(__xludf.DUMMYFUNCTION("LOWER(REGEXREPLACE(B2604&amp;"" ""&amp;C2604,""[^а-яa-z0-9 ]"","" ""))")," какалка ")</f>
        <v> какалка </v>
      </c>
    </row>
    <row r="2605">
      <c r="A2605" s="35" t="s">
        <v>6015</v>
      </c>
      <c r="B2605" s="31" t="s">
        <v>6016</v>
      </c>
      <c r="C2605" s="31"/>
      <c r="D2605" s="37" t="s">
        <v>14</v>
      </c>
      <c r="E2605" s="38">
        <v>1.0</v>
      </c>
      <c r="F2605" s="39">
        <v>0.2</v>
      </c>
      <c r="G2605" s="11">
        <v>1786.0</v>
      </c>
      <c r="H2605" s="34" t="str">
        <f>IFERROR(__xludf.DUMMYFUNCTION("LOWER(REGEXREPLACE(B2605&amp;"" ""&amp;C2605,""[^а-яa-z0-9 ]"","" ""))")," какалка с деревянными ручками ")</f>
        <v> какалка с деревянными ручками </v>
      </c>
    </row>
    <row r="2606">
      <c r="A2606" s="35" t="s">
        <v>6017</v>
      </c>
      <c r="B2606" s="31" t="s">
        <v>6018</v>
      </c>
      <c r="C2606" s="31"/>
      <c r="D2606" s="37" t="s">
        <v>14</v>
      </c>
      <c r="E2606" s="38">
        <v>1.0</v>
      </c>
      <c r="F2606" s="39">
        <v>0.2</v>
      </c>
      <c r="G2606" s="11">
        <v>1339.0</v>
      </c>
      <c r="H2606" s="34" t="str">
        <f>IFERROR(__xludf.DUMMYFUNCTION("LOWER(REGEXREPLACE(B2606&amp;"" ""&amp;C2606,""[^а-яa-z0-9 ]"","" ""))")," какалка j 582 ")</f>
        <v> какалка j 582 </v>
      </c>
    </row>
    <row r="2607">
      <c r="A2607" s="35" t="s">
        <v>6019</v>
      </c>
      <c r="B2607" s="31" t="s">
        <v>6020</v>
      </c>
      <c r="C2607" s="31"/>
      <c r="D2607" s="37" t="s">
        <v>14</v>
      </c>
      <c r="E2607" s="38">
        <v>1.0</v>
      </c>
      <c r="F2607" s="39">
        <v>0.2</v>
      </c>
      <c r="G2607" s="11">
        <v>1339.0</v>
      </c>
      <c r="H2607" s="34" t="str">
        <f>IFERROR(__xludf.DUMMYFUNCTION("LOWER(REGEXREPLACE(B2607&amp;"" ""&amp;C2607,""[^а-яa-z0-9 ]"","" ""))")," какалка j 584 ")</f>
        <v> какалка j 584 </v>
      </c>
    </row>
    <row r="2608">
      <c r="A2608" s="35" t="s">
        <v>6021</v>
      </c>
      <c r="B2608" s="31" t="s">
        <v>6022</v>
      </c>
      <c r="C2608" s="31"/>
      <c r="D2608" s="37" t="s">
        <v>14</v>
      </c>
      <c r="E2608" s="38">
        <v>1.0</v>
      </c>
      <c r="F2608" s="39">
        <v>0.2</v>
      </c>
      <c r="G2608" s="11">
        <v>1339.0</v>
      </c>
      <c r="H2608" s="34" t="str">
        <f>IFERROR(__xludf.DUMMYFUNCTION("LOWER(REGEXREPLACE(B2608&amp;"" ""&amp;C2608,""[^а-яa-z0-9 ]"","" ""))")," какалка j 607 ")</f>
        <v> какалка j 607 </v>
      </c>
    </row>
    <row r="2609">
      <c r="A2609" s="35" t="s">
        <v>6023</v>
      </c>
      <c r="B2609" s="31" t="s">
        <v>6024</v>
      </c>
      <c r="C2609" s="31" t="s">
        <v>6025</v>
      </c>
      <c r="D2609" s="37" t="s">
        <v>14</v>
      </c>
      <c r="E2609" s="38">
        <v>2.0</v>
      </c>
      <c r="F2609" s="39">
        <v>0.2</v>
      </c>
      <c r="G2609" s="11">
        <v>2978.0</v>
      </c>
      <c r="H2609" s="34" t="str">
        <f>IFERROR(__xludf.DUMMYFUNCTION("LOWER(REGEXREPLACE(B2609&amp;"" ""&amp;C2609,""[^а-яa-z0-9 ]"","" ""))"),"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f>
        <v>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v>
      </c>
    </row>
    <row r="2610">
      <c r="A2610" s="35" t="s">
        <v>6026</v>
      </c>
      <c r="B2610" s="31" t="s">
        <v>6027</v>
      </c>
      <c r="C2610" s="31" t="s">
        <v>6028</v>
      </c>
      <c r="D2610" s="37" t="s">
        <v>14</v>
      </c>
      <c r="E2610" s="38">
        <v>2.0</v>
      </c>
      <c r="F2610" s="39">
        <v>0.4</v>
      </c>
      <c r="G2610" s="11">
        <v>3422.0</v>
      </c>
      <c r="H2610" s="34" t="str">
        <f>IFERROR(__xludf.DUMMYFUNCTION("LOWER(REGEXREPLACE(B2610&amp;"" ""&amp;C2610,""[^а-яa-z0-9 ]"","" ""))"),"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f>
        <v>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v>
      </c>
    </row>
    <row r="2611">
      <c r="A2611" s="35" t="s">
        <v>6029</v>
      </c>
      <c r="B2611" s="31" t="s">
        <v>6030</v>
      </c>
      <c r="C2611" s="31" t="s">
        <v>6031</v>
      </c>
      <c r="D2611" s="37" t="s">
        <v>14</v>
      </c>
      <c r="E2611" s="38">
        <v>2.0</v>
      </c>
      <c r="F2611" s="39">
        <v>0.5</v>
      </c>
      <c r="G2611" s="11">
        <v>4118.0</v>
      </c>
      <c r="H2611" s="34" t="str">
        <f>IFERROR(__xludf.DUMMYFUNCTION("LOWER(REGEXREPLACE(B2611&amp;"" ""&amp;C2611,""[^а-яa-z0-9 ]"","" ""))"),"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двой"&amp;"ные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ыстровра"&amp;"щающийся трос ")</f>
        <v>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ыстровращающийся трос </v>
      </c>
    </row>
    <row r="2612">
      <c r="A2612" s="35" t="s">
        <v>6032</v>
      </c>
      <c r="B2612" s="31" t="s">
        <v>6033</v>
      </c>
      <c r="C2612" s="31" t="s">
        <v>6034</v>
      </c>
      <c r="D2612" s="37" t="s">
        <v>14</v>
      </c>
      <c r="E2612" s="38">
        <v>2.0</v>
      </c>
      <c r="F2612" s="39">
        <v>0.4</v>
      </c>
      <c r="G2612" s="11">
        <v>3111.0</v>
      </c>
      <c r="H2612" s="34" t="str">
        <f>IFERROR(__xludf.DUMMYFUNCTION("LOWER(REGEXREPLACE(B2612&amp;"" ""&amp;C2612,""[^а-яa-z0-9 ]"","" ""))"),"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f>
        <v>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v>
      </c>
    </row>
    <row r="2613">
      <c r="A2613" s="35" t="s">
        <v>6035</v>
      </c>
      <c r="B2613" s="9" t="s">
        <v>6036</v>
      </c>
      <c r="C2613" s="31" t="s">
        <v>6037</v>
      </c>
      <c r="D2613" s="37" t="s">
        <v>14</v>
      </c>
      <c r="E2613" s="38">
        <v>2.0</v>
      </c>
      <c r="F2613" s="39">
        <v>0.4</v>
      </c>
      <c r="G2613" s="11">
        <v>4217.0</v>
      </c>
      <c r="H2613" s="34" t="str">
        <f>IFERROR(__xludf.DUMMYFUNCTION("LOWER(REGEXREPLACE(B2613&amp;"" ""&amp;C2613,""[^а-яa-z0-9 ]"","" ""))"),"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f>
        <v>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v>
      </c>
    </row>
    <row r="2614">
      <c r="A2614" s="35" t="s">
        <v>6038</v>
      </c>
      <c r="B2614" s="31" t="s">
        <v>6039</v>
      </c>
      <c r="C2614" s="31" t="s">
        <v>6039</v>
      </c>
      <c r="D2614" s="37" t="s">
        <v>14</v>
      </c>
      <c r="E2614" s="38">
        <v>2.0</v>
      </c>
      <c r="F2614" s="40">
        <v>0.15</v>
      </c>
      <c r="G2614" s="11">
        <v>2418.0</v>
      </c>
      <c r="H2614" s="34" t="str">
        <f>IFERROR(__xludf.DUMMYFUNCTION("LOWER(REGEXREPLACE(B2614&amp;"" ""&amp;C2614,""[^а-яa-z0-9 ]"","" ""))")," какалка веревочная    1239   лина скакалки  2 4 м   олщина шнура  4 мм  какалка веревочная    1239   лина скакалки  2 4 м   олщина шнура  4 мм")</f>
        <v> какалка веревочная    1239   лина скакалки  2 4 м   олщина шнура  4 мм  какалка веревочная    1239   лина скакалки  2 4 м   олщина шнура  4 мм</v>
      </c>
    </row>
    <row r="2615">
      <c r="A2615" s="35" t="s">
        <v>6040</v>
      </c>
      <c r="B2615" s="31" t="s">
        <v>6041</v>
      </c>
      <c r="C2615" s="31" t="s">
        <v>6042</v>
      </c>
      <c r="D2615" s="37" t="s">
        <v>14</v>
      </c>
      <c r="E2615" s="38">
        <v>2.0</v>
      </c>
      <c r="F2615" s="42">
        <v>0.115</v>
      </c>
      <c r="G2615" s="11">
        <v>596.0</v>
      </c>
      <c r="H2615" s="34" t="str">
        <f>IFERROR(__xludf.DUMMYFUNCTION("LOWER(REGEXREPLACE(B2615&amp;"" ""&amp;C2615,""[^а-яa-z0-9 ]"","" ""))"),"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ле"&amp;"т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им"&amp;"еются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основно"&amp;"й части во избежание ее перекручивания ")</f>
        <v>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 </v>
      </c>
    </row>
    <row r="2616">
      <c r="A2616" s="35" t="s">
        <v>6043</v>
      </c>
      <c r="B2616" s="31" t="s">
        <v>6044</v>
      </c>
      <c r="C2616" s="31" t="s">
        <v>6045</v>
      </c>
      <c r="D2616" s="37" t="s">
        <v>14</v>
      </c>
      <c r="E2616" s="38">
        <v>2.0</v>
      </c>
      <c r="F2616" s="39">
        <v>0.4</v>
      </c>
      <c r="G2616" s="11">
        <v>2879.0</v>
      </c>
      <c r="H2616" s="34" t="str">
        <f>IFERROR(__xludf.DUMMYFUNCTION("LOWER(REGEXREPLACE(B2616&amp;"" ""&amp;C2616,""[^а-яa-z0-9 ]"","" ""))"),"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полипропи"&amp;"лена   зделие легкое  но достаточно крепкое  чтобы прослужить долго  выдерживая регулярные тренировки ")</f>
        <v>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полипропилена   зделие легкое  но достаточно крепкое  чтобы прослужить долго  выдерживая регулярные тренировки </v>
      </c>
    </row>
    <row r="2617">
      <c r="A2617" s="35" t="s">
        <v>6046</v>
      </c>
      <c r="B2617" s="31" t="s">
        <v>6047</v>
      </c>
      <c r="C2617" s="31" t="s">
        <v>6048</v>
      </c>
      <c r="D2617" s="37" t="s">
        <v>14</v>
      </c>
      <c r="E2617" s="38">
        <v>2.0</v>
      </c>
      <c r="F2617" s="39">
        <v>0.1</v>
      </c>
      <c r="G2617" s="11">
        <v>3212.0</v>
      </c>
      <c r="H2617" s="34" t="str">
        <f>IFERROR(__xludf.DUMMYFUNCTION("LOWER(REGEXREPLACE(B2617&amp;"" ""&amp;C2617,""[^а-яa-z0-9 ]"","" ""))"),"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f>
        <v>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v>
      </c>
    </row>
    <row r="2618">
      <c r="A2618" s="35" t="s">
        <v>6049</v>
      </c>
      <c r="B2618" s="31" t="s">
        <v>6050</v>
      </c>
      <c r="C2618" s="31"/>
      <c r="D2618" s="37" t="s">
        <v>14</v>
      </c>
      <c r="E2618" s="10"/>
      <c r="F2618" s="36"/>
      <c r="G2618" s="11"/>
      <c r="H2618" s="34" t="str">
        <f>IFERROR(__xludf.DUMMYFUNCTION("LOWER(REGEXREPLACE(B2618&amp;"" ""&amp;C2618,""[^а-яa-z0-9 ]"","" ""))")," лажок ")</f>
        <v> лажок </v>
      </c>
    </row>
    <row r="2619">
      <c r="A2619" s="35" t="s">
        <v>6051</v>
      </c>
      <c r="B2619" s="9" t="s">
        <v>6052</v>
      </c>
      <c r="C2619" s="31" t="s">
        <v>6053</v>
      </c>
      <c r="D2619" s="37" t="s">
        <v>14</v>
      </c>
      <c r="E2619" s="38">
        <v>1.0</v>
      </c>
      <c r="F2619" s="39">
        <v>0.5</v>
      </c>
      <c r="G2619" s="11">
        <v>7744.0</v>
      </c>
      <c r="H2619" s="34" t="str">
        <f>IFERROR(__xludf.DUMMYFUNCTION("LOWER(REGEXREPLACE(B2619&amp;"" ""&amp;C2619,""[^а-яa-z0-9 ]"","" ""))"),"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f>
        <v>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v>
      </c>
    </row>
    <row r="2620">
      <c r="A2620" s="35" t="s">
        <v>6054</v>
      </c>
      <c r="B2620" s="31" t="s">
        <v>6055</v>
      </c>
      <c r="C2620" s="31" t="s">
        <v>6056</v>
      </c>
      <c r="D2620" s="37" t="s">
        <v>14</v>
      </c>
      <c r="E2620" s="10"/>
      <c r="F2620" s="36"/>
      <c r="G2620" s="11">
        <v>1385.0</v>
      </c>
      <c r="H2620" s="34" t="str">
        <f>IFERROR(__xludf.DUMMYFUNCTION("LOWER(REGEXREPLACE(B2620&amp;"" ""&amp;C2620,""[^а-яa-z0-9 ]"","" ""))"),"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f>
        <v>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v>
      </c>
    </row>
    <row r="2621">
      <c r="A2621" s="35" t="s">
        <v>6057</v>
      </c>
      <c r="B2621" s="31" t="s">
        <v>6058</v>
      </c>
      <c r="C2621" s="31"/>
      <c r="D2621" s="37" t="s">
        <v>14</v>
      </c>
      <c r="E2621" s="38">
        <v>1.0</v>
      </c>
      <c r="F2621" s="39">
        <v>0.5</v>
      </c>
      <c r="G2621" s="11">
        <v>446.0</v>
      </c>
      <c r="H2621" s="34" t="str">
        <f>IFERROR(__xludf.DUMMYFUNCTION("LOWER(REGEXREPLACE(B2621&amp;"" ""&amp;C2621,""[^а-яa-z0-9 ]"","" ""))")," нур короткий ")</f>
        <v> нур короткий </v>
      </c>
    </row>
    <row r="2622">
      <c r="A2622" s="35" t="s">
        <v>6059</v>
      </c>
      <c r="B2622" s="31" t="s">
        <v>6060</v>
      </c>
      <c r="C2622" s="31"/>
      <c r="D2622" s="37" t="s">
        <v>14</v>
      </c>
      <c r="E2622" s="10"/>
      <c r="F2622" s="36"/>
      <c r="G2622" s="11"/>
      <c r="H2622" s="34" t="str">
        <f>IFERROR(__xludf.DUMMYFUNCTION("LOWER(REGEXREPLACE(B2622&amp;"" ""&amp;C2622,""[^а-яa-z0-9 ]"","" ""))")," яч баскетбольный ")</f>
        <v> яч баскетбольный </v>
      </c>
    </row>
    <row r="2623">
      <c r="A2623" s="35" t="s">
        <v>6061</v>
      </c>
      <c r="B2623" s="31" t="s">
        <v>6062</v>
      </c>
      <c r="C2623" s="31"/>
      <c r="D2623" s="37" t="s">
        <v>14</v>
      </c>
      <c r="E2623" s="38">
        <v>1.0</v>
      </c>
      <c r="F2623" s="42">
        <v>0.567</v>
      </c>
      <c r="G2623" s="11">
        <v>7143.0</v>
      </c>
      <c r="H2623" s="34" t="str">
        <f>IFERROR(__xludf.DUMMYFUNCTION("LOWER(REGEXREPLACE(B2623&amp;"" ""&amp;C2623,""[^а-яa-z0-9 ]"","" ""))")," яч баскетбольный  palding   1000 ")</f>
        <v> яч баскетбольный  palding   1000 </v>
      </c>
    </row>
    <row r="2624">
      <c r="A2624" s="35" t="s">
        <v>6063</v>
      </c>
      <c r="B2624" s="31" t="s">
        <v>6064</v>
      </c>
      <c r="C2624" s="31" t="s">
        <v>6065</v>
      </c>
      <c r="D2624" s="37" t="s">
        <v>14</v>
      </c>
      <c r="E2624" s="38">
        <v>2.0</v>
      </c>
      <c r="F2624" s="40">
        <v>0.65</v>
      </c>
      <c r="G2624" s="11">
        <v>13757.0</v>
      </c>
      <c r="H2624" s="34" t="str">
        <f>IFERROR(__xludf.DUMMYFUNCTION("LOWER(REGEXREPLACE(B2624&amp;"" ""&amp;C2624,""[^а-яa-z0-9 ]"","" ""))"),"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лее"&amp;"ный   оличество панелей  8   атериал покрышки   инт  кожа  полиуретан    атериал камеры   утил   атериал обмотки камеры   ейлон ")</f>
        <v>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лееный   оличество панелей  8   атериал покрышки   инт  кожа  полиуретан    атериал камеры   утил   атериал обмотки камеры   ейлон </v>
      </c>
    </row>
    <row r="2625">
      <c r="A2625" s="35" t="s">
        <v>6066</v>
      </c>
      <c r="B2625" s="31" t="s">
        <v>6067</v>
      </c>
      <c r="C2625" s="31" t="s">
        <v>6068</v>
      </c>
      <c r="D2625" s="37" t="s">
        <v>14</v>
      </c>
      <c r="E2625" s="38">
        <v>2.0</v>
      </c>
      <c r="F2625" s="40">
        <v>0.65</v>
      </c>
      <c r="G2625" s="11">
        <v>60302.0</v>
      </c>
      <c r="H2625" s="34" t="str">
        <f>IFERROR(__xludf.DUMMYFUNCTION("LOWER(REGEXREPLACE(B2625&amp;"" ""&amp;C2625,""[^а-яa-z0-9 ]"","" ""))"),"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ате"&amp;"риал покрышки   инт  кожа  полиуретан    атериал камеры   утил   атериал обмотки камеры    ейлон ")</f>
        <v>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атериал покрышки   инт  кожа  полиуретан    атериал камеры   утил   атериал обмотки камеры    ейлон </v>
      </c>
    </row>
    <row r="2626">
      <c r="A2626" s="35" t="s">
        <v>6069</v>
      </c>
      <c r="B2626" s="31" t="s">
        <v>6070</v>
      </c>
      <c r="C2626" s="31" t="s">
        <v>6071</v>
      </c>
      <c r="D2626" s="37" t="s">
        <v>14</v>
      </c>
      <c r="E2626" s="38">
        <v>2.0</v>
      </c>
      <c r="F2626" s="39">
        <v>0.7</v>
      </c>
      <c r="G2626" s="11">
        <v>18432.0</v>
      </c>
      <c r="H2626" s="34" t="str">
        <f>IFERROR(__xludf.DUMMYFUNCTION("LOWER(REGEXREPLACE(B2626&amp;"" ""&amp;C2626,""[^а-яa-z0-9 ]"","" ""))"),"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позв"&amp;"оляет обеспечить максимально уверенный захват и контроль мяча   бладает высокими техническими характеристиками  прочный и износостойкий ")</f>
        <v>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позволяет обеспечить максимально уверенный захват и контроль мяча   бладает высокими техническими характеристиками  прочный и износостойкий </v>
      </c>
    </row>
    <row r="2627">
      <c r="A2627" s="35" t="s">
        <v>6072</v>
      </c>
      <c r="B2627" s="31" t="s">
        <v>6073</v>
      </c>
      <c r="C2627" s="31"/>
      <c r="D2627" s="37" t="s">
        <v>14</v>
      </c>
      <c r="E2627" s="10"/>
      <c r="F2627" s="36"/>
      <c r="G2627" s="11"/>
      <c r="H2627" s="34" t="str">
        <f>IFERROR(__xludf.DUMMYFUNCTION("LOWER(REGEXREPLACE(B2627&amp;"" ""&amp;C2627,""[^а-яa-z0-9 ]"","" ""))")," яч волейбольный ")</f>
        <v> яч волейбольный </v>
      </c>
    </row>
    <row r="2628">
      <c r="A2628" s="35" t="s">
        <v>6074</v>
      </c>
      <c r="B2628" s="31" t="s">
        <v>6075</v>
      </c>
      <c r="C2628" s="31"/>
      <c r="D2628" s="37" t="s">
        <v>14</v>
      </c>
      <c r="E2628" s="38">
        <v>1.0</v>
      </c>
      <c r="F2628" s="39">
        <v>0.3</v>
      </c>
      <c r="G2628" s="11">
        <v>5357.0</v>
      </c>
      <c r="H2628" s="34" t="str">
        <f>IFERROR(__xludf.DUMMYFUNCTION("LOWER(REGEXREPLACE(B2628&amp;"" ""&amp;C2628,""[^а-яa-z0-9 ]"","" ""))")," олейбольный мяч  ikasa      320  ")</f>
        <v> олейбольный мяч  ikasa      320  </v>
      </c>
    </row>
    <row r="2629">
      <c r="A2629" s="35" t="s">
        <v>6076</v>
      </c>
      <c r="B2629" s="31" t="s">
        <v>6077</v>
      </c>
      <c r="C2629" s="31" t="s">
        <v>6078</v>
      </c>
      <c r="D2629" s="37" t="s">
        <v>14</v>
      </c>
      <c r="E2629" s="38">
        <v>2.0</v>
      </c>
      <c r="F2629" s="40">
        <v>0.28</v>
      </c>
      <c r="G2629" s="11">
        <v>10690.0</v>
      </c>
      <c r="H2629" s="34" t="str">
        <f>IFERROR(__xludf.DUMMYFUNCTION("LOWER(REGEXREPLACE(B2629&amp;"" ""&amp;C2629,""[^а-яa-z0-9 ]"","" ""))"),"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f>
        <v>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v>
      </c>
    </row>
    <row r="2630">
      <c r="A2630" s="35" t="s">
        <v>6079</v>
      </c>
      <c r="B2630" s="31" t="s">
        <v>6080</v>
      </c>
      <c r="C2630" s="31" t="s">
        <v>6081</v>
      </c>
      <c r="D2630" s="37" t="s">
        <v>14</v>
      </c>
      <c r="E2630" s="38">
        <v>2.0</v>
      </c>
      <c r="F2630" s="40">
        <v>0.28</v>
      </c>
      <c r="G2630" s="11">
        <v>62794.0</v>
      </c>
      <c r="H2630" s="34" t="str">
        <f>IFERROR(__xludf.DUMMYFUNCTION("LOWER(REGEXREPLACE(B2630&amp;"" ""&amp;C2630,""[^а-яa-z0-9 ]"","" ""))"),"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леены"&amp;"й   оличество панелей  18  атериал покрышки    инт  кожа  микрофибра    онструкция   аминированная   атериал камеры   утил ")</f>
        <v>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лееный   оличество панелей  18  атериал покрышки    инт  кожа  микрофибра    онструкция   аминированная   атериал камеры   утил </v>
      </c>
    </row>
    <row r="2631">
      <c r="A2631" s="35" t="s">
        <v>6082</v>
      </c>
      <c r="B2631" s="31" t="s">
        <v>6083</v>
      </c>
      <c r="C2631" s="31" t="s">
        <v>6084</v>
      </c>
      <c r="D2631" s="37" t="s">
        <v>14</v>
      </c>
      <c r="E2631" s="38">
        <v>2.0</v>
      </c>
      <c r="F2631" s="40">
        <v>0.26</v>
      </c>
      <c r="G2631" s="11">
        <v>28523.0</v>
      </c>
      <c r="H2631" s="34" t="str">
        <f>IFERROR(__xludf.DUMMYFUNCTION("LOWER(REGEXREPLACE(B2631&amp;"" ""&amp;C2631,""[^а-яa-z0-9 ]"","" ""))")," яч волейбольный  5  5    типа          клеенный  яч волейбольный  5  5    типа          азмер  5   ип соединения панелей   клеенный   пособ сшивки мяча   ермический   вет   елый  зеленый  красный ")</f>
        <v> яч волейбольный  5  5    типа          клеенный  яч волейбольный  5  5    типа          азмер  5   ип соединения панелей   клеенный   пособ сшивки мяча   ермический   вет   елый  зеленый  красный </v>
      </c>
    </row>
    <row r="2632">
      <c r="A2632" s="35" t="s">
        <v>6085</v>
      </c>
      <c r="B2632" s="31" t="s">
        <v>6086</v>
      </c>
      <c r="C2632" s="31" t="s">
        <v>6087</v>
      </c>
      <c r="D2632" s="37" t="s">
        <v>14</v>
      </c>
      <c r="E2632" s="38">
        <v>2.0</v>
      </c>
      <c r="F2632" s="40">
        <v>0.26</v>
      </c>
      <c r="G2632" s="11">
        <v>78778.0</v>
      </c>
      <c r="H2632" s="34" t="str">
        <f>IFERROR(__xludf.DUMMYFUNCTION("LOWER(REGEXREPLACE(B2632&amp;"" ""&amp;C2632,""[^а-яa-z0-9 ]"","" ""))"),"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па"&amp;"нелей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углублениями"&amp;" ")</f>
        <v>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 </v>
      </c>
    </row>
    <row r="2633">
      <c r="A2633" s="35" t="s">
        <v>6088</v>
      </c>
      <c r="B2633" s="31" t="s">
        <v>6089</v>
      </c>
      <c r="C2633" s="31" t="s">
        <v>6090</v>
      </c>
      <c r="D2633" s="37" t="s">
        <v>14</v>
      </c>
      <c r="E2633" s="38">
        <v>2.0</v>
      </c>
      <c r="F2633" s="40">
        <v>0.45</v>
      </c>
      <c r="G2633" s="11">
        <v>17461.0</v>
      </c>
      <c r="H2633" s="34" t="str">
        <f>IFERROR(__xludf.DUMMYFUNCTION("LOWER(REGEXREPLACE(B2633&amp;"" ""&amp;C2633,""[^а-яa-z0-9 ]"","" ""))"),"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во"&amp;"лейбольный  ikasa  320   желтый цвет  5 размер одобрен      и     ")</f>
        <v>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волейбольный  ikasa  320   желтый цвет  5 размер одобрен      и     </v>
      </c>
    </row>
    <row r="2634">
      <c r="A2634" s="35" t="s">
        <v>6091</v>
      </c>
      <c r="B2634" s="31" t="s">
        <v>6092</v>
      </c>
      <c r="C2634" s="31"/>
      <c r="D2634" s="37" t="s">
        <v>14</v>
      </c>
      <c r="E2634" s="10"/>
      <c r="F2634" s="36"/>
      <c r="G2634" s="11"/>
      <c r="H2634" s="34" t="str">
        <f>IFERROR(__xludf.DUMMYFUNCTION("LOWER(REGEXREPLACE(B2634&amp;"" ""&amp;C2634,""[^а-яa-z0-9 ]"","" ""))")," яч футбольный ")</f>
        <v> яч футбольный </v>
      </c>
    </row>
    <row r="2635">
      <c r="A2635" s="35" t="s">
        <v>6093</v>
      </c>
      <c r="B2635" s="31" t="s">
        <v>6094</v>
      </c>
      <c r="C2635" s="31"/>
      <c r="D2635" s="37" t="s">
        <v>14</v>
      </c>
      <c r="E2635" s="38">
        <v>1.0</v>
      </c>
      <c r="F2635" s="39">
        <v>0.4</v>
      </c>
      <c r="G2635" s="11">
        <v>6696.0</v>
      </c>
      <c r="H2635" s="34" t="str">
        <f>IFERROR(__xludf.DUMMYFUNCTION("LOWER(REGEXREPLACE(B2635&amp;"" ""&amp;C2635,""[^а-яa-z0-9 ]"","" ""))")," утбольный мяч  elect  5 ")</f>
        <v> утбольный мяч  elect  5 </v>
      </c>
    </row>
    <row r="2636">
      <c r="A2636" s="35" t="s">
        <v>6095</v>
      </c>
      <c r="B2636" s="31" t="s">
        <v>6096</v>
      </c>
      <c r="C2636" s="31" t="s">
        <v>6097</v>
      </c>
      <c r="D2636" s="37" t="s">
        <v>14</v>
      </c>
      <c r="E2636" s="38">
        <v>2.0</v>
      </c>
      <c r="F2636" s="40">
        <v>0.45</v>
      </c>
      <c r="G2636" s="11">
        <v>19905.0</v>
      </c>
      <c r="H2636" s="34" t="str">
        <f>IFERROR(__xludf.DUMMYFUNCTION("LOWER(REGEXREPLACE(B2636&amp;"" ""&amp;C2636,""[^а-яa-z0-9 ]"","" ""))"),"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"&amp;" со структурированной поверхностью    яч изготовлен по технологии термосшивки  термосклеивания  панелей ")</f>
        <v>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со структурированной поверхностью    яч изготовлен по технологии термосшивки  термосклеивания  панелей </v>
      </c>
    </row>
    <row r="2637">
      <c r="A2637" s="35" t="s">
        <v>6098</v>
      </c>
      <c r="B2637" s="31" t="s">
        <v>6099</v>
      </c>
      <c r="C2637" s="31" t="s">
        <v>6100</v>
      </c>
      <c r="D2637" s="37" t="s">
        <v>14</v>
      </c>
      <c r="E2637" s="38">
        <v>2.0</v>
      </c>
      <c r="F2637" s="40">
        <v>0.45</v>
      </c>
      <c r="G2637" s="11">
        <v>61909.0</v>
      </c>
      <c r="H2637" s="34" t="str">
        <f>IFERROR(__xludf.DUMMYFUNCTION("LOWER(REGEXREPLACE(B2637&amp;"" ""&amp;C2637,""[^а-яa-z0-9 ]"","" ""))"),"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толщ"&amp;"иной 1 5мм  3 подкладочных слоя по технологии 3 2  2 1    амера   атуральный латекс высшего качества ")</f>
        <v>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толщиной 1 5мм  3 подкладочных слоя по технологии 3 2  2 1    амера   атуральный латекс высшего качества </v>
      </c>
    </row>
    <row r="2638">
      <c r="A2638" s="35" t="s">
        <v>6101</v>
      </c>
      <c r="B2638" s="9" t="s">
        <v>6102</v>
      </c>
      <c r="C2638" s="31" t="s">
        <v>6103</v>
      </c>
      <c r="D2638" s="37" t="s">
        <v>14</v>
      </c>
      <c r="E2638" s="38">
        <v>2.0</v>
      </c>
      <c r="F2638" s="40">
        <v>0.45</v>
      </c>
      <c r="G2638" s="11">
        <v>15978.0</v>
      </c>
      <c r="H2638" s="34" t="str">
        <f>IFERROR(__xludf.DUMMYFUNCTION("LOWER(REGEXREPLACE(B2638&amp;"" ""&amp;C2638,""[^а-яa-z0-9 ]"","" ""))"),"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f>
        <v>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v>
      </c>
    </row>
    <row r="2639">
      <c r="A2639" s="35" t="s">
        <v>6104</v>
      </c>
      <c r="B2639" s="31" t="s">
        <v>6105</v>
      </c>
      <c r="C2639" s="31" t="s">
        <v>6106</v>
      </c>
      <c r="D2639" s="37" t="s">
        <v>14</v>
      </c>
      <c r="E2639" s="38">
        <v>2.0</v>
      </c>
      <c r="F2639" s="40">
        <v>0.44</v>
      </c>
      <c r="G2639" s="11">
        <v>18404.0</v>
      </c>
      <c r="H2639" s="34" t="str">
        <f>IFERROR(__xludf.DUMMYFUNCTION("LOWER(REGEXREPLACE(B2639&amp;"" ""&amp;C2639,""[^а-яa-z0-9 ]"","" ""))"),"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п"&amp;"одкладочных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f>
        <v>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v>
      </c>
    </row>
    <row r="2640">
      <c r="A2640" s="35" t="s">
        <v>6107</v>
      </c>
      <c r="B2640" s="31" t="s">
        <v>6108</v>
      </c>
      <c r="C2640" s="31" t="s">
        <v>6109</v>
      </c>
      <c r="D2640" s="37" t="s">
        <v>14</v>
      </c>
      <c r="E2640" s="38">
        <v>2.0</v>
      </c>
      <c r="F2640" s="40">
        <v>0.42</v>
      </c>
      <c r="G2640" s="11">
        <v>62357.0</v>
      </c>
      <c r="H2640" s="34" t="str">
        <f>IFERROR(__xludf.DUMMYFUNCTION("LOWER(REGEXREPLACE(B2640&amp;"" ""&amp;C2640,""[^а-яa-z0-9 ]"","" ""))"),"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улу"&amp;"чшает форму мяча  угол отскока  а также устойчивость поверхности к повреждениям   азмеры  0 38х0 38х0 38 м")</f>
        <v>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улучшает форму мяча  угол отскока  а также устойчивость поверхности к повреждениям   азмеры  0 38х0 38х0 38 м</v>
      </c>
    </row>
    <row r="2641">
      <c r="A2641" s="35" t="s">
        <v>6110</v>
      </c>
      <c r="B2641" s="31" t="s">
        <v>6111</v>
      </c>
      <c r="C2641" s="31" t="s">
        <v>6112</v>
      </c>
      <c r="D2641" s="37" t="s">
        <v>14</v>
      </c>
      <c r="E2641" s="38">
        <v>2.0</v>
      </c>
      <c r="F2641" s="39">
        <v>0.5</v>
      </c>
      <c r="G2641" s="11">
        <v>18431.0</v>
      </c>
      <c r="H2641" s="34" t="str">
        <f>IFERROR(__xludf.DUMMYFUNCTION("LOWER(REGEXREPLACE(B2641&amp;"" ""&amp;C2641,""[^а-яa-z0-9 ]"","" ""))"),"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обеспеч"&amp;"ивает отличную игровую производительность и долговечность  что делает его идеальным выбором для футболистов ")</f>
        <v>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обеспечивает отличную игровую производительность и долговечность  что делает его идеальным выбором для футболистов </v>
      </c>
    </row>
    <row r="2642">
      <c r="A2642" s="35" t="s">
        <v>6113</v>
      </c>
      <c r="B2642" s="31" t="s">
        <v>6114</v>
      </c>
      <c r="C2642" s="31"/>
      <c r="D2642" s="37" t="s">
        <v>14</v>
      </c>
      <c r="E2642" s="38">
        <v>1.0</v>
      </c>
      <c r="F2642" s="36"/>
      <c r="G2642" s="11"/>
      <c r="H2642" s="34" t="str">
        <f>IFERROR(__xludf.DUMMYFUNCTION("LOWER(REGEXREPLACE(B2642&amp;"" ""&amp;C2642,""[^а-яa-z0-9 ]"","" ""))")," яч резиновый ")</f>
        <v> яч резиновый </v>
      </c>
    </row>
    <row r="2643">
      <c r="A2643" s="35" t="s">
        <v>6115</v>
      </c>
      <c r="B2643" s="31" t="s">
        <v>6116</v>
      </c>
      <c r="C2643" s="31"/>
      <c r="D2643" s="37" t="s">
        <v>14</v>
      </c>
      <c r="E2643" s="38">
        <v>1.0</v>
      </c>
      <c r="F2643" s="39">
        <v>0.9</v>
      </c>
      <c r="G2643" s="11">
        <v>2411.0</v>
      </c>
      <c r="H2643" s="34" t="str">
        <f>IFERROR(__xludf.DUMMYFUNCTION("LOWER(REGEXREPLACE(B2643&amp;"" ""&amp;C2643,""[^а-яa-z0-9 ]"","" ""))")," имнастический мяч   итбол  65 гладкий ")</f>
        <v> имнастический мяч   итбол  65 гладкий </v>
      </c>
    </row>
    <row r="2644">
      <c r="A2644" s="35" t="s">
        <v>6117</v>
      </c>
      <c r="B2644" s="31" t="s">
        <v>6118</v>
      </c>
      <c r="C2644" s="31"/>
      <c r="D2644" s="37" t="s">
        <v>14</v>
      </c>
      <c r="E2644" s="38">
        <v>1.0</v>
      </c>
      <c r="F2644" s="39">
        <v>1.2</v>
      </c>
      <c r="G2644" s="11">
        <v>2589.0</v>
      </c>
      <c r="H2644" s="34" t="str">
        <f>IFERROR(__xludf.DUMMYFUNCTION("LOWER(REGEXREPLACE(B2644&amp;"" ""&amp;C2644,""[^а-яa-z0-9 ]"","" ""))")," имнастический мяч   итбол  85 гладкий ")</f>
        <v> имнастический мяч   итбол  85 гладкий </v>
      </c>
    </row>
    <row r="2645">
      <c r="A2645" s="35" t="s">
        <v>6119</v>
      </c>
      <c r="B2645" s="31" t="s">
        <v>6120</v>
      </c>
      <c r="C2645" s="31"/>
      <c r="D2645" s="37" t="s">
        <v>14</v>
      </c>
      <c r="E2645" s="38">
        <v>1.0</v>
      </c>
      <c r="F2645" s="38">
        <v>1.0</v>
      </c>
      <c r="G2645" s="11">
        <v>4911.0</v>
      </c>
      <c r="H2645" s="34" t="str">
        <f>IFERROR(__xludf.DUMMYFUNCTION("LOWER(REGEXREPLACE(B2645&amp;"" ""&amp;C2645,""[^а-яa-z0-9 ]"","" ""))")," едбол  rofi 1кг ")</f>
        <v> едбол  rofi 1кг </v>
      </c>
    </row>
    <row r="2646">
      <c r="A2646" s="35" t="s">
        <v>6121</v>
      </c>
      <c r="B2646" s="31" t="s">
        <v>6122</v>
      </c>
      <c r="C2646" s="31"/>
      <c r="D2646" s="37" t="s">
        <v>14</v>
      </c>
      <c r="E2646" s="38">
        <v>1.0</v>
      </c>
      <c r="F2646" s="38">
        <v>2.0</v>
      </c>
      <c r="G2646" s="11">
        <v>6161.0</v>
      </c>
      <c r="H2646" s="34" t="str">
        <f>IFERROR(__xludf.DUMMYFUNCTION("LOWER(REGEXREPLACE(B2646&amp;"" ""&amp;C2646,""[^а-яa-z0-9 ]"","" ""))")," едбол  rofi 2кг ")</f>
        <v> едбол  rofi 2кг </v>
      </c>
    </row>
    <row r="2647">
      <c r="A2647" s="35" t="s">
        <v>6123</v>
      </c>
      <c r="B2647" s="31" t="s">
        <v>6124</v>
      </c>
      <c r="C2647" s="31"/>
      <c r="D2647" s="37" t="s">
        <v>14</v>
      </c>
      <c r="E2647" s="38">
        <v>1.0</v>
      </c>
      <c r="F2647" s="38">
        <v>3.0</v>
      </c>
      <c r="G2647" s="11">
        <v>7857.0</v>
      </c>
      <c r="H2647" s="34" t="str">
        <f>IFERROR(__xludf.DUMMYFUNCTION("LOWER(REGEXREPLACE(B2647&amp;"" ""&amp;C2647,""[^а-яa-z0-9 ]"","" ""))")," едбол  rofi 3кг ")</f>
        <v> едбол  rofi 3кг </v>
      </c>
    </row>
    <row r="2648">
      <c r="A2648" s="35" t="s">
        <v>6125</v>
      </c>
      <c r="B2648" s="31" t="s">
        <v>6126</v>
      </c>
      <c r="C2648" s="31"/>
      <c r="D2648" s="37" t="s">
        <v>14</v>
      </c>
      <c r="E2648" s="38">
        <v>1.0</v>
      </c>
      <c r="F2648" s="38">
        <v>4.0</v>
      </c>
      <c r="G2648" s="11">
        <v>8750.0</v>
      </c>
      <c r="H2648" s="34" t="str">
        <f>IFERROR(__xludf.DUMMYFUNCTION("LOWER(REGEXREPLACE(B2648&amp;"" ""&amp;C2648,""[^а-яa-z0-9 ]"","" ""))")," едбол  rofi 4кг ")</f>
        <v> едбол  rofi 4кг </v>
      </c>
    </row>
    <row r="2649">
      <c r="A2649" s="35" t="s">
        <v>6127</v>
      </c>
      <c r="B2649" s="31" t="s">
        <v>6128</v>
      </c>
      <c r="C2649" s="31"/>
      <c r="D2649" s="37" t="s">
        <v>14</v>
      </c>
      <c r="E2649" s="38">
        <v>1.0</v>
      </c>
      <c r="F2649" s="38">
        <v>5.0</v>
      </c>
      <c r="G2649" s="11">
        <v>9643.0</v>
      </c>
      <c r="H2649" s="34" t="str">
        <f>IFERROR(__xludf.DUMMYFUNCTION("LOWER(REGEXREPLACE(B2649&amp;"" ""&amp;C2649,""[^а-яa-z0-9 ]"","" ""))")," едбол  rofi 5кг ")</f>
        <v> едбол  rofi 5кг </v>
      </c>
    </row>
    <row r="2650">
      <c r="A2650" s="35" t="s">
        <v>6129</v>
      </c>
      <c r="B2650" s="31" t="s">
        <v>6130</v>
      </c>
      <c r="C2650" s="31"/>
      <c r="D2650" s="37" t="s">
        <v>14</v>
      </c>
      <c r="E2650" s="38">
        <v>1.0</v>
      </c>
      <c r="F2650" s="38">
        <v>6.0</v>
      </c>
      <c r="G2650" s="11">
        <v>8929.0</v>
      </c>
      <c r="H2650" s="34" t="str">
        <f>IFERROR(__xludf.DUMMYFUNCTION("LOWER(REGEXREPLACE(B2650&amp;"" ""&amp;C2650,""[^а-яa-z0-9 ]"","" ""))")," едбол  rofi 6кг ")</f>
        <v> едбол  rofi 6кг </v>
      </c>
    </row>
    <row r="2651">
      <c r="A2651" s="35" t="s">
        <v>6131</v>
      </c>
      <c r="B2651" s="31" t="s">
        <v>6132</v>
      </c>
      <c r="C2651" s="31"/>
      <c r="D2651" s="37" t="s">
        <v>14</v>
      </c>
      <c r="E2651" s="38">
        <v>1.0</v>
      </c>
      <c r="F2651" s="38">
        <v>7.0</v>
      </c>
      <c r="G2651" s="11">
        <v>9821.0</v>
      </c>
      <c r="H2651" s="34" t="str">
        <f>IFERROR(__xludf.DUMMYFUNCTION("LOWER(REGEXREPLACE(B2651&amp;"" ""&amp;C2651,""[^а-яa-z0-9 ]"","" ""))")," едбол  rofi 7кг ")</f>
        <v> едбол  rofi 7кг </v>
      </c>
    </row>
    <row r="2652">
      <c r="A2652" s="35" t="s">
        <v>6133</v>
      </c>
      <c r="B2652" s="31" t="s">
        <v>6134</v>
      </c>
      <c r="C2652" s="31"/>
      <c r="D2652" s="37" t="s">
        <v>14</v>
      </c>
      <c r="E2652" s="38">
        <v>1.0</v>
      </c>
      <c r="F2652" s="38">
        <v>8.0</v>
      </c>
      <c r="G2652" s="11">
        <v>12946.0</v>
      </c>
      <c r="H2652" s="34" t="str">
        <f>IFERROR(__xludf.DUMMYFUNCTION("LOWER(REGEXREPLACE(B2652&amp;"" ""&amp;C2652,""[^а-яa-z0-9 ]"","" ""))")," едбол  rofi 8кг ")</f>
        <v> едбол  rofi 8кг </v>
      </c>
    </row>
    <row r="2653">
      <c r="A2653" s="35" t="s">
        <v>6135</v>
      </c>
      <c r="B2653" s="31" t="s">
        <v>6136</v>
      </c>
      <c r="C2653" s="31"/>
      <c r="D2653" s="37" t="s">
        <v>14</v>
      </c>
      <c r="E2653" s="38">
        <v>1.0</v>
      </c>
      <c r="F2653" s="38">
        <v>9.0</v>
      </c>
      <c r="G2653" s="11">
        <v>11607.0</v>
      </c>
      <c r="H2653" s="34" t="str">
        <f>IFERROR(__xludf.DUMMYFUNCTION("LOWER(REGEXREPLACE(B2653&amp;"" ""&amp;C2653,""[^а-яa-z0-9 ]"","" ""))")," едбол  rofi 9кг ")</f>
        <v> едбол  rofi 9кг </v>
      </c>
    </row>
    <row r="2654">
      <c r="A2654" s="35" t="s">
        <v>6137</v>
      </c>
      <c r="B2654" s="31" t="s">
        <v>6138</v>
      </c>
      <c r="C2654" s="31"/>
      <c r="D2654" s="37" t="s">
        <v>14</v>
      </c>
      <c r="E2654" s="38">
        <v>1.0</v>
      </c>
      <c r="F2654" s="38">
        <v>10.0</v>
      </c>
      <c r="G2654" s="11">
        <v>14911.0</v>
      </c>
      <c r="H2654" s="34" t="str">
        <f>IFERROR(__xludf.DUMMYFUNCTION("LOWER(REGEXREPLACE(B2654&amp;"" ""&amp;C2654,""[^а-яa-z0-9 ]"","" ""))")," едбол  rofi 10кг ")</f>
        <v> едбол  rofi 10кг </v>
      </c>
    </row>
    <row r="2655">
      <c r="A2655" s="35" t="s">
        <v>6139</v>
      </c>
      <c r="B2655" s="31" t="s">
        <v>6140</v>
      </c>
      <c r="C2655" s="31" t="s">
        <v>6141</v>
      </c>
      <c r="D2655" s="37" t="s">
        <v>14</v>
      </c>
      <c r="E2655" s="38">
        <v>2.0</v>
      </c>
      <c r="F2655" s="38">
        <v>1.0</v>
      </c>
      <c r="G2655" s="11">
        <v>7907.0</v>
      </c>
      <c r="H2655" s="34" t="str">
        <f>IFERROR(__xludf.DUMMYFUNCTION("LOWER(REGEXREPLACE(B2655&amp;"" ""&amp;C2655,""[^а-яa-z0-9 ]"","" ""))"),"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6">
      <c r="A2656" s="35" t="s">
        <v>6142</v>
      </c>
      <c r="B2656" s="31" t="s">
        <v>6143</v>
      </c>
      <c r="C2656" s="31" t="s">
        <v>6144</v>
      </c>
      <c r="D2656" s="37" t="s">
        <v>14</v>
      </c>
      <c r="E2656" s="38">
        <v>2.0</v>
      </c>
      <c r="F2656" s="38">
        <v>2.0</v>
      </c>
      <c r="G2656" s="11">
        <v>9609.0</v>
      </c>
      <c r="H2656" s="34" t="str">
        <f>IFERROR(__xludf.DUMMYFUNCTION("LOWER(REGEXREPLACE(B2656&amp;"" ""&amp;C2656,""[^а-яa-z0-9 ]"","" ""))"),"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7">
      <c r="A2657" s="35" t="s">
        <v>6145</v>
      </c>
      <c r="B2657" s="31" t="s">
        <v>6146</v>
      </c>
      <c r="C2657" s="31" t="s">
        <v>6147</v>
      </c>
      <c r="D2657" s="37" t="s">
        <v>14</v>
      </c>
      <c r="E2657" s="38">
        <v>2.0</v>
      </c>
      <c r="F2657" s="38">
        <v>3.0</v>
      </c>
      <c r="G2657" s="11">
        <v>11373.0</v>
      </c>
      <c r="H2657" s="34" t="str">
        <f>IFERROR(__xludf.DUMMYFUNCTION("LOWER(REGEXREPLACE(B2657&amp;"" ""&amp;C2657,""[^а-яa-z0-9 ]"","" ""))"),"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8">
      <c r="A2658" s="35" t="s">
        <v>6148</v>
      </c>
      <c r="B2658" s="31" t="s">
        <v>6149</v>
      </c>
      <c r="C2658" s="31" t="s">
        <v>6150</v>
      </c>
      <c r="D2658" s="37" t="s">
        <v>14</v>
      </c>
      <c r="E2658" s="38">
        <v>2.0</v>
      </c>
      <c r="F2658" s="38">
        <v>4.0</v>
      </c>
      <c r="G2658" s="11">
        <v>13547.0</v>
      </c>
      <c r="H2658" s="34" t="str">
        <f>IFERROR(__xludf.DUMMYFUNCTION("LOWER(REGEXREPLACE(B2658&amp;"" ""&amp;C2658,""[^а-яa-z0-9 ]"","" ""))"),"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9">
      <c r="A2659" s="35" t="s">
        <v>6151</v>
      </c>
      <c r="B2659" s="31" t="s">
        <v>6152</v>
      </c>
      <c r="C2659" s="31" t="s">
        <v>6153</v>
      </c>
      <c r="D2659" s="37" t="s">
        <v>14</v>
      </c>
      <c r="E2659" s="38">
        <v>2.0</v>
      </c>
      <c r="F2659" s="38">
        <v>5.0</v>
      </c>
      <c r="G2659" s="11">
        <v>15960.0</v>
      </c>
      <c r="H2659" s="34" t="str">
        <f>IFERROR(__xludf.DUMMYFUNCTION("LOWER(REGEXREPLACE(B2659&amp;"" ""&amp;C2659,""[^а-яa-z0-9 ]"","" ""))"),"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0">
      <c r="A2660" s="35" t="s">
        <v>6154</v>
      </c>
      <c r="B2660" s="31" t="s">
        <v>6155</v>
      </c>
      <c r="C2660" s="31" t="s">
        <v>6156</v>
      </c>
      <c r="D2660" s="37" t="s">
        <v>14</v>
      </c>
      <c r="E2660" s="38">
        <v>2.0</v>
      </c>
      <c r="F2660" s="38">
        <v>6.0</v>
      </c>
      <c r="G2660" s="11">
        <v>17125.0</v>
      </c>
      <c r="H2660" s="34" t="str">
        <f>IFERROR(__xludf.DUMMYFUNCTION("LOWER(REGEXREPLACE(B2660&amp;"" ""&amp;C2660,""[^а-яa-z0-9 ]"","" ""))"),"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крошкой"&amp;"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1">
      <c r="A2661" s="35" t="s">
        <v>6157</v>
      </c>
      <c r="B2661" s="31" t="s">
        <v>6158</v>
      </c>
      <c r="C2661" s="31" t="s">
        <v>6159</v>
      </c>
      <c r="D2661" s="37" t="s">
        <v>14</v>
      </c>
      <c r="E2661" s="38">
        <v>2.0</v>
      </c>
      <c r="F2661" s="40">
        <v>0.15</v>
      </c>
      <c r="G2661" s="11">
        <v>9953.0</v>
      </c>
      <c r="H2661" s="34" t="str">
        <f>IFERROR(__xludf.DUMMYFUNCTION("LOWER(REGEXREPLACE(B2661&amp;"" ""&amp;C2661,""[^а-яa-z0-9 ]"","" ""))"),"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f>
        <v>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v>
      </c>
    </row>
    <row r="2662">
      <c r="A2662" s="35" t="s">
        <v>6160</v>
      </c>
      <c r="B2662" s="31" t="s">
        <v>6161</v>
      </c>
      <c r="C2662" s="31" t="s">
        <v>6162</v>
      </c>
      <c r="D2662" s="37" t="s">
        <v>14</v>
      </c>
      <c r="E2662" s="38">
        <v>2.0</v>
      </c>
      <c r="F2662" s="39">
        <v>0.2</v>
      </c>
      <c r="G2662" s="11">
        <v>14439.0</v>
      </c>
      <c r="H2662" s="34" t="str">
        <f>IFERROR(__xludf.DUMMYFUNCTION("LOWER(REGEXREPLACE(B2662&amp;"" ""&amp;C2662,""[^а-яa-z0-9 ]"","" ""))"),"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f>
        <v>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v>
      </c>
    </row>
    <row r="2663">
      <c r="A2663" s="35" t="s">
        <v>6163</v>
      </c>
      <c r="B2663" s="31" t="s">
        <v>6164</v>
      </c>
      <c r="C2663" s="31" t="s">
        <v>6165</v>
      </c>
      <c r="D2663" s="37" t="s">
        <v>14</v>
      </c>
      <c r="E2663" s="38">
        <v>2.0</v>
      </c>
      <c r="F2663" s="38">
        <v>1.0</v>
      </c>
      <c r="G2663" s="11">
        <v>8249.0</v>
      </c>
      <c r="H2663" s="34" t="str">
        <f>IFERROR(__xludf.DUMMYFUNCTION("LOWER(REGEXREPLACE(B2663&amp;"" ""&amp;C2663,""[^а-яa-z0-9 ]"","" ""))"),"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дизай"&amp;"н баскетбольного мяча    нутри снаряд заполнен песком ")</f>
        <v>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дизайн баскетбольного мяча    нутри снаряд заполнен песком </v>
      </c>
    </row>
    <row r="2664">
      <c r="A2664" s="35" t="s">
        <v>6166</v>
      </c>
      <c r="B2664" s="31" t="s">
        <v>6167</v>
      </c>
      <c r="C2664" s="31" t="s">
        <v>6168</v>
      </c>
      <c r="D2664" s="37" t="s">
        <v>14</v>
      </c>
      <c r="E2664" s="38">
        <v>2.0</v>
      </c>
      <c r="F2664" s="38">
        <v>2.0</v>
      </c>
      <c r="G2664" s="11">
        <v>13026.0</v>
      </c>
      <c r="H2664" s="34" t="str">
        <f>IFERROR(__xludf.DUMMYFUNCTION("LOWER(REGEXREPLACE(B2664&amp;"" ""&amp;C2664,""[^а-яa-z0-9 ]"","" ""))"),"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5">
      <c r="A2665" s="35" t="s">
        <v>6169</v>
      </c>
      <c r="B2665" s="31" t="s">
        <v>6170</v>
      </c>
      <c r="C2665" s="31" t="s">
        <v>6171</v>
      </c>
      <c r="D2665" s="37" t="s">
        <v>14</v>
      </c>
      <c r="E2665" s="38">
        <v>2.0</v>
      </c>
      <c r="F2665" s="38">
        <v>3.0</v>
      </c>
      <c r="G2665" s="11">
        <v>16637.0</v>
      </c>
      <c r="H2665" s="34" t="str">
        <f>IFERROR(__xludf.DUMMYFUNCTION("LOWER(REGEXREPLACE(B2665&amp;"" ""&amp;C2665,""[^а-яa-z0-9 ]"","" ""))"),"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6">
      <c r="A2666" s="35" t="s">
        <v>6172</v>
      </c>
      <c r="B2666" s="31" t="s">
        <v>6173</v>
      </c>
      <c r="C2666" s="31" t="s">
        <v>6174</v>
      </c>
      <c r="D2666" s="37" t="s">
        <v>14</v>
      </c>
      <c r="E2666" s="38">
        <v>2.0</v>
      </c>
      <c r="F2666" s="38">
        <v>4.0</v>
      </c>
      <c r="G2666" s="11">
        <v>21130.0</v>
      </c>
      <c r="H2666" s="34" t="str">
        <f>IFERROR(__xludf.DUMMYFUNCTION("LOWER(REGEXREPLACE(B2666&amp;"" ""&amp;C2666,""[^а-яa-z0-9 ]"","" ""))"),"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7">
      <c r="A2667" s="35" t="s">
        <v>6175</v>
      </c>
      <c r="B2667" s="31" t="s">
        <v>6176</v>
      </c>
      <c r="C2667" s="31" t="s">
        <v>6177</v>
      </c>
      <c r="D2667" s="37" t="s">
        <v>14</v>
      </c>
      <c r="E2667" s="38">
        <v>2.0</v>
      </c>
      <c r="F2667" s="38">
        <v>5.0</v>
      </c>
      <c r="G2667" s="11">
        <v>24872.0</v>
      </c>
      <c r="H2667" s="34" t="str">
        <f>IFERROR(__xludf.DUMMYFUNCTION("LOWER(REGEXREPLACE(B2667&amp;"" ""&amp;C2667,""[^а-яa-z0-9 ]"","" ""))"),"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f>
        <v>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8">
      <c r="A2668" s="35" t="s">
        <v>6178</v>
      </c>
      <c r="B2668" s="31" t="s">
        <v>6179</v>
      </c>
      <c r="C2668" s="31" t="s">
        <v>6180</v>
      </c>
      <c r="D2668" s="37" t="s">
        <v>14</v>
      </c>
      <c r="E2668" s="38">
        <v>2.0</v>
      </c>
      <c r="F2668" s="38">
        <v>6.0</v>
      </c>
      <c r="G2668" s="11">
        <v>27422.0</v>
      </c>
      <c r="H2668" s="34" t="str">
        <f>IFERROR(__xludf.DUMMYFUNCTION("LOWER(REGEXREPLACE(B2668&amp;"" ""&amp;C2668,""[^а-яa-z0-9 ]"","" ""))"),"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набиваетс"&amp;"я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9">
      <c r="A2669" s="35" t="s">
        <v>6181</v>
      </c>
      <c r="B2669" s="31" t="s">
        <v>6182</v>
      </c>
      <c r="C2669" s="31" t="s">
        <v>6183</v>
      </c>
      <c r="D2669" s="37" t="s">
        <v>14</v>
      </c>
      <c r="E2669" s="38">
        <v>2.0</v>
      </c>
      <c r="F2669" s="38">
        <v>7.0</v>
      </c>
      <c r="G2669" s="11">
        <v>29450.0</v>
      </c>
      <c r="H2669" s="34" t="str">
        <f>IFERROR(__xludf.DUMMYFUNCTION("LOWER(REGEXREPLACE(B2669&amp;"" ""&amp;C2669,""[^а-яa-z0-9 ]"","" ""))"),"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0">
      <c r="A2670" s="35" t="s">
        <v>6184</v>
      </c>
      <c r="B2670" s="31" t="s">
        <v>6185</v>
      </c>
      <c r="C2670" s="31" t="s">
        <v>6186</v>
      </c>
      <c r="D2670" s="37" t="s">
        <v>14</v>
      </c>
      <c r="E2670" s="38">
        <v>2.0</v>
      </c>
      <c r="F2670" s="38">
        <v>8.0</v>
      </c>
      <c r="G2670" s="11">
        <v>30997.0</v>
      </c>
      <c r="H2670" s="34" t="str">
        <f>IFERROR(__xludf.DUMMYFUNCTION("LOWER(REGEXREPLACE(B2670&amp;"" ""&amp;C2670,""[^а-яa-z0-9 ]"","" ""))"),"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1">
      <c r="A2671" s="35" t="s">
        <v>6187</v>
      </c>
      <c r="B2671" s="31" t="s">
        <v>6188</v>
      </c>
      <c r="C2671" s="31" t="s">
        <v>6189</v>
      </c>
      <c r="D2671" s="37" t="s">
        <v>14</v>
      </c>
      <c r="E2671" s="38">
        <v>2.0</v>
      </c>
      <c r="F2671" s="38">
        <v>9.0</v>
      </c>
      <c r="G2671" s="11">
        <v>33941.0</v>
      </c>
      <c r="H2671" s="34" t="str">
        <f>IFERROR(__xludf.DUMMYFUNCTION("LOWER(REGEXREPLACE(B2671&amp;"" ""&amp;C2671,""[^а-яa-z0-9 ]"","" ""))"),"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2">
      <c r="A2672" s="35" t="s">
        <v>6190</v>
      </c>
      <c r="B2672" s="31" t="s">
        <v>6191</v>
      </c>
      <c r="C2672" s="31" t="s">
        <v>6192</v>
      </c>
      <c r="D2672" s="37" t="s">
        <v>14</v>
      </c>
      <c r="E2672" s="38">
        <v>2.0</v>
      </c>
      <c r="F2672" s="38">
        <v>10.0</v>
      </c>
      <c r="G2672" s="11">
        <v>35509.0</v>
      </c>
      <c r="H2672" s="34" t="str">
        <f>IFERROR(__xludf.DUMMYFUNCTION("LOWER(REGEXREPLACE(B2672&amp;"" ""&amp;C2672,""[^а-яa-z0-9 ]"","" ""))"),"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набивает"&amp;"ся резиновой крошкой  песком  ")</f>
        <v>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набивается резиновой крошкой  песком  </v>
      </c>
    </row>
    <row r="2673">
      <c r="A2673" s="35" t="s">
        <v>6193</v>
      </c>
      <c r="B2673" s="31" t="s">
        <v>6194</v>
      </c>
      <c r="C2673" s="31" t="s">
        <v>6195</v>
      </c>
      <c r="D2673" s="37" t="s">
        <v>14</v>
      </c>
      <c r="E2673" s="38">
        <v>2.0</v>
      </c>
      <c r="F2673" s="39">
        <v>0.4</v>
      </c>
      <c r="G2673" s="11">
        <v>7964.0</v>
      </c>
      <c r="H2673" s="34" t="str">
        <f>IFERROR(__xludf.DUMMYFUNCTION("LOWER(REGEXREPLACE(B2673&amp;"" ""&amp;C2673,""[^а-яa-z0-9 ]"","" ""))"),"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f>
        <v>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v>
      </c>
    </row>
    <row r="2674">
      <c r="A2674" s="35" t="s">
        <v>6196</v>
      </c>
      <c r="B2674" s="31" t="s">
        <v>6197</v>
      </c>
      <c r="C2674" s="31" t="s">
        <v>6198</v>
      </c>
      <c r="D2674" s="37" t="s">
        <v>14</v>
      </c>
      <c r="E2674" s="38">
        <v>2.0</v>
      </c>
      <c r="F2674" s="39">
        <v>0.4</v>
      </c>
      <c r="G2674" s="11">
        <v>7144.0</v>
      </c>
      <c r="H2674" s="34" t="str">
        <f>IFERROR(__xludf.DUMMYFUNCTION("LOWER(REGEXREPLACE(B2674&amp;"" ""&amp;C2674,""[^а-яa-z0-9 ]"","" ""))")," яч для художественной гимнастики   19400  зготовлен из поливинилхлорида  диаметр 19см ")</f>
        <v> яч для художественной гимнастики   19400  зготовлен из поливинилхлорида  диаметр 19см </v>
      </c>
    </row>
    <row r="2675">
      <c r="A2675" s="35" t="s">
        <v>6199</v>
      </c>
      <c r="B2675" s="31" t="s">
        <v>6200</v>
      </c>
      <c r="C2675" s="31"/>
      <c r="D2675" s="37" t="s">
        <v>14</v>
      </c>
      <c r="E2675" s="10"/>
      <c r="F2675" s="36"/>
      <c r="G2675" s="11"/>
      <c r="H2675" s="34" t="str">
        <f>IFERROR(__xludf.DUMMYFUNCTION("LOWER(REGEXREPLACE(B2675&amp;"" ""&amp;C2675,""[^а-яa-z0-9 ]"","" ""))")," яч для метания ")</f>
        <v> яч для метания </v>
      </c>
    </row>
    <row r="2676">
      <c r="A2676" s="35" t="s">
        <v>6201</v>
      </c>
      <c r="B2676" s="31" t="s">
        <v>6202</v>
      </c>
      <c r="C2676" s="31" t="s">
        <v>6203</v>
      </c>
      <c r="D2676" s="37" t="s">
        <v>14</v>
      </c>
      <c r="E2676" s="38">
        <v>1.0</v>
      </c>
      <c r="F2676" s="40">
        <v>0.15</v>
      </c>
      <c r="G2676" s="11">
        <v>1420.0</v>
      </c>
      <c r="H2676" s="34" t="str">
        <f>IFERROR(__xludf.DUMMYFUNCTION("LOWER(REGEXREPLACE(B2676&amp;"" ""&amp;C2676,""[^а-яa-z0-9 ]"","" ""))")," яч для метания резиновый диаметром 60мм     150  яч для метания резиновый     150  150 гр    арактеристики  материал  резина   иаметр   60мм")</f>
        <v> яч для метания резиновый диаметром 60мм     150  яч для метания резиновый     150  150 гр    арактеристики  материал  резина   иаметр   60мм</v>
      </c>
    </row>
    <row r="2677">
      <c r="A2677" s="35" t="s">
        <v>6204</v>
      </c>
      <c r="B2677" s="31" t="s">
        <v>6205</v>
      </c>
      <c r="C2677" s="31"/>
      <c r="D2677" s="37" t="s">
        <v>14</v>
      </c>
      <c r="E2677" s="38">
        <v>1.0</v>
      </c>
      <c r="F2677" s="36"/>
      <c r="G2677" s="11"/>
      <c r="H2677" s="34" t="str">
        <f>IFERROR(__xludf.DUMMYFUNCTION("LOWER(REGEXREPLACE(B2677&amp;"" ""&amp;C2677,""[^а-яa-z0-9 ]"","" ""))")," ишень для метания ")</f>
        <v> ишень для метания </v>
      </c>
    </row>
    <row r="2678">
      <c r="A2678" s="35" t="s">
        <v>6206</v>
      </c>
      <c r="B2678" s="31" t="s">
        <v>6205</v>
      </c>
      <c r="C2678" s="31"/>
      <c r="D2678" s="37" t="s">
        <v>14</v>
      </c>
      <c r="E2678" s="38">
        <v>2.0</v>
      </c>
      <c r="F2678" s="40">
        <v>7.26</v>
      </c>
      <c r="G2678" s="11">
        <v>9920.0</v>
      </c>
      <c r="H2678" s="34" t="str">
        <f>IFERROR(__xludf.DUMMYFUNCTION("LOWER(REGEXREPLACE(B2678&amp;"" ""&amp;C2678,""[^а-яa-z0-9 ]"","" ""))")," ишень для метания ")</f>
        <v> ишень для метания </v>
      </c>
    </row>
    <row r="2679">
      <c r="A2679" s="35" t="s">
        <v>6207</v>
      </c>
      <c r="B2679" s="9" t="s">
        <v>6208</v>
      </c>
      <c r="C2679" s="31" t="s">
        <v>6209</v>
      </c>
      <c r="D2679" s="37" t="s">
        <v>14</v>
      </c>
      <c r="E2679" s="38">
        <v>2.0</v>
      </c>
      <c r="F2679" s="39">
        <v>5.4</v>
      </c>
      <c r="G2679" s="11">
        <v>6599.0</v>
      </c>
      <c r="H2679" s="34" t="str">
        <f>IFERROR(__xludf.DUMMYFUNCTION("LOWER(REGEXREPLACE(B2679&amp;"" ""&amp;C2679,""[^а-яa-z0-9 ]"","" ""))"),"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f>
        <v>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v>
      </c>
    </row>
    <row r="2680">
      <c r="A2680" s="35" t="s">
        <v>6210</v>
      </c>
      <c r="B2680" s="9" t="s">
        <v>6211</v>
      </c>
      <c r="C2680" s="31" t="s">
        <v>6212</v>
      </c>
      <c r="D2680" s="37" t="s">
        <v>14</v>
      </c>
      <c r="E2680" s="38">
        <v>2.0</v>
      </c>
      <c r="F2680" s="38">
        <v>8.0</v>
      </c>
      <c r="G2680" s="11">
        <v>8603.0</v>
      </c>
      <c r="H2680" s="34" t="str">
        <f>IFERROR(__xludf.DUMMYFUNCTION("LOWER(REGEXREPLACE(B2680&amp;"" ""&amp;C2680,""[^а-яa-z0-9 ]"","" ""))"),"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за"&amp;"усениц   ерхняя поверхность имеет изображение мишени с несколькими кольцами ")</f>
        <v>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заусениц   ерхняя поверхность имеет изображение мишени с несколькими кольцами </v>
      </c>
    </row>
    <row r="2681">
      <c r="A2681" s="35" t="s">
        <v>6213</v>
      </c>
      <c r="B2681" s="31" t="s">
        <v>6214</v>
      </c>
      <c r="C2681" s="31" t="s">
        <v>6215</v>
      </c>
      <c r="D2681" s="37" t="s">
        <v>14</v>
      </c>
      <c r="E2681" s="10"/>
      <c r="F2681" s="39">
        <v>0.3</v>
      </c>
      <c r="G2681" s="11">
        <v>2429.0</v>
      </c>
      <c r="H2681" s="34" t="str">
        <f>IFERROR(__xludf.DUMMYFUNCTION("LOWER(REGEXREPLACE(B2681&amp;"" ""&amp;C2681,""[^а-яa-z0-9 ]"","" ""))"),"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f>
        <v>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v>
      </c>
    </row>
    <row r="2682">
      <c r="A2682" s="35" t="s">
        <v>6216</v>
      </c>
      <c r="B2682" s="31" t="s">
        <v>6217</v>
      </c>
      <c r="C2682" s="31"/>
      <c r="D2682" s="37" t="s">
        <v>68</v>
      </c>
      <c r="E2682" s="10"/>
      <c r="F2682" s="36"/>
      <c r="G2682" s="11"/>
      <c r="H2682" s="34" t="str">
        <f>IFERROR(__xludf.DUMMYFUNCTION("LOWER(REGEXREPLACE(B2682&amp;"" ""&amp;C2682,""[^а-яa-z0-9 ]"","" ""))")," абор для игры в бадминтон ")</f>
        <v> абор для игры в бадминтон </v>
      </c>
    </row>
    <row r="2683">
      <c r="A2683" s="35" t="s">
        <v>6218</v>
      </c>
      <c r="B2683" s="31" t="s">
        <v>6219</v>
      </c>
      <c r="C2683" s="31"/>
      <c r="D2683" s="37" t="s">
        <v>68</v>
      </c>
      <c r="E2683" s="38">
        <v>1.0</v>
      </c>
      <c r="F2683" s="39">
        <v>0.2</v>
      </c>
      <c r="G2683" s="11">
        <v>3304.0</v>
      </c>
      <c r="H2683" s="34" t="str">
        <f>IFERROR(__xludf.DUMMYFUNCTION("LOWER(REGEXREPLACE(B2683&amp;"" ""&amp;C2683,""[^а-яa-z0-9 ]"","" ""))")," акетки для бадминтона  eka ")</f>
        <v> акетки для бадминтона  eka </v>
      </c>
    </row>
    <row r="2684">
      <c r="A2684" s="35" t="s">
        <v>6220</v>
      </c>
      <c r="B2684" s="31" t="s">
        <v>6221</v>
      </c>
      <c r="C2684" s="31"/>
      <c r="D2684" s="37" t="s">
        <v>14</v>
      </c>
      <c r="E2684" s="38">
        <v>1.0</v>
      </c>
      <c r="F2684" s="40">
        <v>0.01</v>
      </c>
      <c r="G2684" s="11">
        <v>223.0</v>
      </c>
      <c r="H2684" s="34" t="str">
        <f>IFERROR(__xludf.DUMMYFUNCTION("LOWER(REGEXREPLACE(B2684&amp;"" ""&amp;C2684,""[^а-яa-z0-9 ]"","" ""))")," оланы для бадминтона ")</f>
        <v> оланы для бадминтона </v>
      </c>
    </row>
    <row r="2685">
      <c r="A2685" s="35" t="s">
        <v>6222</v>
      </c>
      <c r="B2685" s="31" t="s">
        <v>6223</v>
      </c>
      <c r="C2685" s="31" t="s">
        <v>6224</v>
      </c>
      <c r="D2685" s="37" t="s">
        <v>14</v>
      </c>
      <c r="E2685" s="38">
        <v>2.0</v>
      </c>
      <c r="F2685" s="39">
        <v>0.1</v>
      </c>
      <c r="G2685" s="11">
        <v>7126.0</v>
      </c>
      <c r="H2685" s="34" t="str">
        <f>IFERROR(__xludf.DUMMYFUNCTION("LOWER(REGEXREPLACE(B2685&amp;"" ""&amp;C2685,""[^а-яa-z0-9 ]"","" ""))"),"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в"&amp;" длину и 220 мм в ширину   бщая длина струнной 330 мм ")</f>
        <v>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 длину и 220 мм в ширину   бщая длина струнной 330 мм </v>
      </c>
    </row>
    <row r="2686">
      <c r="A2686" s="35" t="s">
        <v>6225</v>
      </c>
      <c r="B2686" s="31" t="s">
        <v>6226</v>
      </c>
      <c r="C2686" s="31" t="s">
        <v>6227</v>
      </c>
      <c r="D2686" s="37" t="s">
        <v>14</v>
      </c>
      <c r="E2686" s="38">
        <v>2.0</v>
      </c>
      <c r="F2686" s="42">
        <v>0.015</v>
      </c>
      <c r="G2686" s="11">
        <v>1800.0</v>
      </c>
      <c r="H2686" s="34" t="str">
        <f>IFERROR(__xludf.DUMMYFUNCTION("LOWER(REGEXREPLACE(B2686&amp;"" ""&amp;C2686,""[^а-яa-z0-9 ]"","" ""))"),"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диамет"&amp;"р юбки 7 см   пакованы в тубу по 3 шт ")</f>
        <v>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диаметр юбки 7 см   пакованы в тубу по 3 шт </v>
      </c>
    </row>
    <row r="2687">
      <c r="A2687" s="35" t="s">
        <v>6228</v>
      </c>
      <c r="B2687" s="31" t="s">
        <v>6229</v>
      </c>
      <c r="C2687" s="31" t="s">
        <v>6230</v>
      </c>
      <c r="D2687" s="37" t="s">
        <v>14</v>
      </c>
      <c r="E2687" s="38">
        <v>2.0</v>
      </c>
      <c r="F2687" s="42">
        <v>0.005</v>
      </c>
      <c r="G2687" s="11">
        <v>594.0</v>
      </c>
      <c r="H2687" s="34" t="str">
        <f>IFERROR(__xludf.DUMMYFUNCTION("LOWER(REGEXREPLACE(B2687&amp;"" ""&amp;C2687,""[^а-яa-z0-9 ]"","" ""))"),"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f>
        <v>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v>
      </c>
    </row>
    <row r="2688">
      <c r="A2688" s="35" t="s">
        <v>6231</v>
      </c>
      <c r="B2688" s="31" t="s">
        <v>6232</v>
      </c>
      <c r="C2688" s="31" t="s">
        <v>6233</v>
      </c>
      <c r="D2688" s="37" t="s">
        <v>1507</v>
      </c>
      <c r="E2688" s="38">
        <v>2.0</v>
      </c>
      <c r="F2688" s="40">
        <v>0.25</v>
      </c>
      <c r="G2688" s="11">
        <v>6112.0</v>
      </c>
      <c r="H2688" s="34" t="str">
        <f>IFERROR(__xludf.DUMMYFUNCTION("LOWER(REGEXREPLACE(B2688&amp;"" ""&amp;C2688,""[^а-яa-z0-9 ]"","" ""))")," абор для игры   сык ату   абор для игры   сык ату     наборе 12шт   ехол из экокожи   атериал изготовления  пластик")</f>
        <v> абор для игры   сык ату   абор для игры   сык ату     наборе 12шт   ехол из экокожи   атериал изготовления  пластик</v>
      </c>
    </row>
    <row r="2689">
      <c r="A2689" s="35" t="s">
        <v>6234</v>
      </c>
      <c r="B2689" s="31" t="s">
        <v>6235</v>
      </c>
      <c r="C2689" s="31" t="s">
        <v>6236</v>
      </c>
      <c r="D2689" s="37" t="s">
        <v>1507</v>
      </c>
      <c r="E2689" s="38">
        <v>2.0</v>
      </c>
      <c r="F2689" s="40">
        <v>0.15</v>
      </c>
      <c r="G2689" s="11">
        <v>1262.0</v>
      </c>
      <c r="H2689" s="34" t="str">
        <f>IFERROR(__xludf.DUMMYFUNCTION("LOWER(REGEXREPLACE(B2689&amp;"" ""&amp;C2689,""[^а-яa-z0-9 ]"","" ""))")," абор для игры   ес тас   абор для игры   ес тас     наборе 5 шт  камней   ехол из кожзама   атериал изготовления  эпоксидное соединение")</f>
        <v> абор для игры   ес тас   абор для игры   ес тас     наборе 5 шт  камней   ехол из кожзама   атериал изготовления  эпоксидное соединение</v>
      </c>
    </row>
    <row r="2690">
      <c r="A2690" s="35" t="s">
        <v>6237</v>
      </c>
      <c r="B2690" s="31" t="s">
        <v>6238</v>
      </c>
      <c r="C2690" s="31"/>
      <c r="D2690" s="36"/>
      <c r="E2690" s="10"/>
      <c r="F2690" s="36"/>
      <c r="G2690" s="11"/>
      <c r="H2690" s="34" t="str">
        <f>IFERROR(__xludf.DUMMYFUNCTION("LOWER(REGEXREPLACE(B2690&amp;"" ""&amp;C2690,""[^а-яa-z0-9 ]"","" ""))")," абор для игры в настольный теннис ")</f>
        <v> абор для игры в настольный теннис </v>
      </c>
    </row>
    <row r="2691">
      <c r="A2691" s="35" t="s">
        <v>6239</v>
      </c>
      <c r="B2691" s="31" t="s">
        <v>6240</v>
      </c>
      <c r="C2691" s="31"/>
      <c r="D2691" s="37" t="s">
        <v>14</v>
      </c>
      <c r="E2691" s="38">
        <v>1.0</v>
      </c>
      <c r="F2691" s="39">
        <v>0.2</v>
      </c>
      <c r="G2691" s="11">
        <v>1696.0</v>
      </c>
      <c r="H2691" s="34" t="str">
        <f>IFERROR(__xludf.DUMMYFUNCTION("LOWER(REGEXREPLACE(B2691&amp;"" ""&amp;C2691,""[^а-яa-z0-9 ]"","" ""))")," акетка для настольного тенниса  evel 100 ")</f>
        <v> акетка для настольного тенниса  evel 100 </v>
      </c>
    </row>
    <row r="2692">
      <c r="A2692" s="35" t="s">
        <v>6241</v>
      </c>
      <c r="B2692" s="31" t="s">
        <v>6242</v>
      </c>
      <c r="C2692" s="31"/>
      <c r="D2692" s="37" t="s">
        <v>14</v>
      </c>
      <c r="E2692" s="38">
        <v>1.0</v>
      </c>
      <c r="F2692" s="39">
        <v>0.2</v>
      </c>
      <c r="G2692" s="11">
        <v>3750.0</v>
      </c>
      <c r="H2692" s="34" t="str">
        <f>IFERROR(__xludf.DUMMYFUNCTION("LOWER(REGEXREPLACE(B2692&amp;"" ""&amp;C2692,""[^а-яa-z0-9 ]"","" ""))")," акетка набор для настольного  tart ine evel 100 ")</f>
        <v> акетка набор для настольного  tart ine evel 100 </v>
      </c>
    </row>
    <row r="2693">
      <c r="A2693" s="35" t="s">
        <v>6243</v>
      </c>
      <c r="B2693" s="31" t="s">
        <v>6244</v>
      </c>
      <c r="C2693" s="31"/>
      <c r="D2693" s="37" t="s">
        <v>14</v>
      </c>
      <c r="E2693" s="38">
        <v>1.0</v>
      </c>
      <c r="F2693" s="39">
        <v>0.2</v>
      </c>
      <c r="G2693" s="11">
        <v>4911.0</v>
      </c>
      <c r="H2693" s="34" t="str">
        <f>IFERROR(__xludf.DUMMYFUNCTION("LOWER(REGEXREPLACE(B2693&amp;"" ""&amp;C2693,""[^а-яa-z0-9 ]"","" ""))")," акетка набор для настольного  tart ine evel 200 ")</f>
        <v> акетка набор для настольного  tart ine evel 200 </v>
      </c>
    </row>
    <row r="2694">
      <c r="A2694" s="35" t="s">
        <v>6245</v>
      </c>
      <c r="B2694" s="31" t="s">
        <v>6246</v>
      </c>
      <c r="C2694" s="31"/>
      <c r="D2694" s="37" t="s">
        <v>14</v>
      </c>
      <c r="E2694" s="38">
        <v>1.0</v>
      </c>
      <c r="F2694" s="39">
        <v>0.2</v>
      </c>
      <c r="G2694" s="11">
        <v>3839.0</v>
      </c>
      <c r="H2694" s="34" t="str">
        <f>IFERROR(__xludf.DUMMYFUNCTION("LOWER(REGEXREPLACE(B2694&amp;"" ""&amp;C2694,""[^а-яa-z0-9 ]"","" ""))")," акетка для настольного тенниса  tiga       ")</f>
        <v> акетка для настольного тенниса  tiga       </v>
      </c>
    </row>
    <row r="2695">
      <c r="A2695" s="35" t="s">
        <v>6247</v>
      </c>
      <c r="B2695" s="31" t="s">
        <v>6248</v>
      </c>
      <c r="C2695" s="31"/>
      <c r="D2695" s="37" t="s">
        <v>14</v>
      </c>
      <c r="E2695" s="38">
        <v>1.0</v>
      </c>
      <c r="F2695" s="39">
        <v>0.2</v>
      </c>
      <c r="G2695" s="11">
        <v>4911.0</v>
      </c>
      <c r="H2695" s="34" t="str">
        <f>IFERROR(__xludf.DUMMYFUNCTION("LOWER(REGEXREPLACE(B2695&amp;"" ""&amp;C2695,""[^а-яa-z0-9 ]"","" ""))")," акетка для настольного тенниса  tiga         ")</f>
        <v> акетка для настольного тенниса  tiga         </v>
      </c>
    </row>
    <row r="2696">
      <c r="A2696" s="35" t="s">
        <v>6249</v>
      </c>
      <c r="B2696" s="31" t="s">
        <v>6250</v>
      </c>
      <c r="C2696" s="31"/>
      <c r="D2696" s="37" t="s">
        <v>14</v>
      </c>
      <c r="E2696" s="38">
        <v>1.0</v>
      </c>
      <c r="F2696" s="39">
        <v>0.2</v>
      </c>
      <c r="G2696" s="11">
        <v>5357.0</v>
      </c>
      <c r="H2696" s="34" t="str">
        <f>IFERROR(__xludf.DUMMYFUNCTION("LOWER(REGEXREPLACE(B2696&amp;"" ""&amp;C2696,""[^а-яa-z0-9 ]"","" ""))")," акетка для настольного тенниса  tiga  remier     ")</f>
        <v> акетка для настольного тенниса  tiga  remier     </v>
      </c>
    </row>
    <row r="2697">
      <c r="A2697" s="35" t="s">
        <v>6251</v>
      </c>
      <c r="B2697" s="31" t="s">
        <v>6252</v>
      </c>
      <c r="C2697" s="31"/>
      <c r="D2697" s="37" t="s">
        <v>14</v>
      </c>
      <c r="E2697" s="38">
        <v>1.0</v>
      </c>
      <c r="F2697" s="40">
        <v>0.01</v>
      </c>
      <c r="G2697" s="11">
        <v>89.0</v>
      </c>
      <c r="H2697" s="34" t="str">
        <f>IFERROR(__xludf.DUMMYFUNCTION("LOWER(REGEXREPLACE(B2697&amp;"" ""&amp;C2697,""[^а-яa-z0-9 ]"","" ""))")," арики для настольного тенниса ")</f>
        <v> арики для настольного тенниса </v>
      </c>
    </row>
    <row r="2698">
      <c r="A2698" s="35" t="s">
        <v>6253</v>
      </c>
      <c r="B2698" s="31" t="s">
        <v>6254</v>
      </c>
      <c r="C2698" s="31"/>
      <c r="D2698" s="37" t="s">
        <v>68</v>
      </c>
      <c r="E2698" s="38">
        <v>1.0</v>
      </c>
      <c r="F2698" s="40">
        <v>0.06</v>
      </c>
      <c r="G2698" s="11">
        <v>1071.0</v>
      </c>
      <c r="H2698" s="34" t="str">
        <f>IFERROR(__xludf.DUMMYFUNCTION("LOWER(REGEXREPLACE(B2698&amp;"" ""&amp;C2698,""[^а-яa-z0-9 ]"","" ""))")," арики для настольного тенниса             1   6 мячей в упаковке  белые ")</f>
        <v> арики для настольного тенниса             1   6 мячей в упаковке  белые </v>
      </c>
    </row>
    <row r="2699">
      <c r="A2699" s="35" t="s">
        <v>6255</v>
      </c>
      <c r="B2699" s="31" t="s">
        <v>6256</v>
      </c>
      <c r="C2699" s="31"/>
      <c r="D2699" s="37" t="s">
        <v>68</v>
      </c>
      <c r="E2699" s="38">
        <v>1.0</v>
      </c>
      <c r="F2699" s="40">
        <v>0.06</v>
      </c>
      <c r="G2699" s="11">
        <v>1339.0</v>
      </c>
      <c r="H2699" s="34" t="str">
        <f>IFERROR(__xludf.DUMMYFUNCTION("LOWER(REGEXREPLACE(B2699&amp;"" ""&amp;C2699,""[^а-яa-z0-9 ]"","" ""))")," арики для настольного тенниса          2   6 мячей в упаковке  белые ")</f>
        <v> арики для настольного тенниса          2   6 мячей в упаковке  белые </v>
      </c>
    </row>
    <row r="2700">
      <c r="A2700" s="35" t="s">
        <v>6257</v>
      </c>
      <c r="B2700" s="31" t="s">
        <v>6258</v>
      </c>
      <c r="C2700" s="31"/>
      <c r="D2700" s="37" t="s">
        <v>68</v>
      </c>
      <c r="E2700" s="38">
        <v>1.0</v>
      </c>
      <c r="F2700" s="40">
        <v>0.06</v>
      </c>
      <c r="G2700" s="11">
        <v>1696.0</v>
      </c>
      <c r="H2700" s="34" t="str">
        <f>IFERROR(__xludf.DUMMYFUNCTION("LOWER(REGEXREPLACE(B2700&amp;"" ""&amp;C2700,""[^а-яa-z0-9 ]"","" ""))")," арики для настольного тенниса          3   6 мячей в упаковке  белые ")</f>
        <v> арики для настольного тенниса          3   6 мячей в упаковке  белые </v>
      </c>
    </row>
    <row r="2701">
      <c r="A2701" s="35" t="s">
        <v>6259</v>
      </c>
      <c r="B2701" s="9" t="s">
        <v>6260</v>
      </c>
      <c r="C2701" s="31" t="s">
        <v>6261</v>
      </c>
      <c r="D2701" s="37" t="s">
        <v>14</v>
      </c>
      <c r="E2701" s="38">
        <v>2.0</v>
      </c>
      <c r="F2701" s="39">
        <v>0.4</v>
      </c>
      <c r="G2701" s="11">
        <v>5030.0</v>
      </c>
      <c r="H2701" s="34" t="str">
        <f>IFERROR(__xludf.DUMMYFUNCTION("LOWER(REGEXREPLACE(B2701&amp;"" ""&amp;C2701,""[^а-яa-z0-9 ]"","" ""))"),"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ак"&amp;"ладки состоят из губчатого слоя   ес ракетки 400  гр    ысота ракетки 235 мм   ирина ракетки 140 мм ")</f>
        <v>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акладки состоят из губчатого слоя   ес ракетки 400  гр    ысота ракетки 235 мм   ирина ракетки 140 мм </v>
      </c>
    </row>
    <row r="2702">
      <c r="A2702" s="35" t="s">
        <v>6262</v>
      </c>
      <c r="B2702" s="31" t="s">
        <v>6263</v>
      </c>
      <c r="C2702" s="31" t="s">
        <v>6264</v>
      </c>
      <c r="D2702" s="37" t="s">
        <v>68</v>
      </c>
      <c r="E2702" s="38">
        <v>2.0</v>
      </c>
      <c r="F2702" s="43">
        <v>0.0162</v>
      </c>
      <c r="G2702" s="11">
        <v>2946.0</v>
      </c>
      <c r="H2702" s="34" t="str">
        <f>IFERROR(__xludf.DUMMYFUNCTION("LOWER(REGEXREPLACE(B2702&amp;"" ""&amp;C2702,""[^а-яa-z0-9 ]"","" ""))"),"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f>
        <v>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v>
      </c>
    </row>
    <row r="2703">
      <c r="A2703" s="35" t="s">
        <v>6265</v>
      </c>
      <c r="B2703" s="9" t="s">
        <v>6266</v>
      </c>
      <c r="C2703" s="31" t="s">
        <v>6267</v>
      </c>
      <c r="D2703" s="37" t="s">
        <v>68</v>
      </c>
      <c r="E2703" s="38">
        <v>2.0</v>
      </c>
      <c r="F2703" s="43">
        <v>0.0054</v>
      </c>
      <c r="G2703" s="11">
        <v>2392.0</v>
      </c>
      <c r="H2703" s="34" t="str">
        <f>IFERROR(__xludf.DUMMYFUNCTION("LOWER(REGEXREPLACE(B2703&amp;"" ""&amp;C2703,""[^а-яa-z0-9 ]"","" ""))"),"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f>
        <v>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v>
      </c>
    </row>
    <row r="2704">
      <c r="A2704" s="35" t="s">
        <v>6268</v>
      </c>
      <c r="B2704" s="31" t="s">
        <v>6269</v>
      </c>
      <c r="C2704" s="31" t="s">
        <v>6270</v>
      </c>
      <c r="D2704" s="37" t="s">
        <v>14</v>
      </c>
      <c r="E2704" s="38">
        <v>2.0</v>
      </c>
      <c r="F2704" s="43">
        <v>0.0027</v>
      </c>
      <c r="G2704" s="11">
        <v>179.0</v>
      </c>
      <c r="H2704" s="34" t="str">
        <f>IFERROR(__xludf.DUMMYFUNCTION("LOWER(REGEXREPLACE(B2704&amp;"" ""&amp;C2704,""[^а-яa-z0-9 ]"","" ""))")," арик для настольного тенниса      диаметр 40мм   зготовлен из пластика  арик для настольного тенниса      диаметр 40мм    зготовлен из пластика ")</f>
        <v> арик для настольного тенниса      диаметр 40мм   зготовлен из пластика  арик для настольного тенниса      диаметр 40мм    зготовлен из пластика </v>
      </c>
    </row>
    <row r="2705">
      <c r="A2705" s="35" t="s">
        <v>6271</v>
      </c>
      <c r="B2705" s="31" t="s">
        <v>6272</v>
      </c>
      <c r="C2705" s="31" t="s">
        <v>6273</v>
      </c>
      <c r="D2705" s="37" t="s">
        <v>14</v>
      </c>
      <c r="E2705" s="38">
        <v>2.0</v>
      </c>
      <c r="F2705" s="39">
        <v>0.2</v>
      </c>
      <c r="G2705" s="11">
        <v>11871.0</v>
      </c>
      <c r="H2705" s="34" t="str">
        <f>IFERROR(__xludf.DUMMYFUNCTION("LOWER(REGEXREPLACE(B2705&amp;"" ""&amp;C2705,""[^а-яa-z0-9 ]"","" ""))"),"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f>
        <v>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v>
      </c>
    </row>
    <row r="2706">
      <c r="A2706" s="35" t="s">
        <v>6274</v>
      </c>
      <c r="B2706" s="31" t="s">
        <v>6275</v>
      </c>
      <c r="C2706" s="31" t="s">
        <v>6276</v>
      </c>
      <c r="D2706" s="37" t="s">
        <v>14</v>
      </c>
      <c r="E2706" s="38">
        <v>2.0</v>
      </c>
      <c r="F2706" s="39">
        <v>0.3</v>
      </c>
      <c r="G2706" s="11">
        <v>29748.0</v>
      </c>
      <c r="H2706" s="34" t="str">
        <f>IFERROR(__xludf.DUMMYFUNCTION("LOWER(REGEXREPLACE(B2706&amp;"" ""&amp;C2706,""[^а-яa-z0-9 ]"","" ""))"),"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f>
        <v>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v>
      </c>
    </row>
    <row r="2707">
      <c r="A2707" s="35" t="s">
        <v>6277</v>
      </c>
      <c r="B2707" s="31" t="s">
        <v>6278</v>
      </c>
      <c r="C2707" s="31" t="s">
        <v>6279</v>
      </c>
      <c r="D2707" s="37" t="s">
        <v>14</v>
      </c>
      <c r="E2707" s="38">
        <v>2.0</v>
      </c>
      <c r="F2707" s="40">
        <v>0.02</v>
      </c>
      <c r="G2707" s="11">
        <v>930.0</v>
      </c>
      <c r="H2707" s="34" t="str">
        <f>IFERROR(__xludf.DUMMYFUNCTION("LOWER(REGEXREPLACE(B2707&amp;"" ""&amp;C2707,""[^а-яa-z0-9 ]"","" ""))"),"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служ"&amp;"бы и стабильные игровые характеристики ")</f>
        <v>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службы и стабильные игровые характеристики </v>
      </c>
    </row>
    <row r="2708">
      <c r="A2708" s="35" t="s">
        <v>6280</v>
      </c>
      <c r="B2708" s="31" t="s">
        <v>6281</v>
      </c>
      <c r="C2708" s="31" t="s">
        <v>6282</v>
      </c>
      <c r="D2708" s="37" t="s">
        <v>14</v>
      </c>
      <c r="E2708" s="38">
        <v>2.0</v>
      </c>
      <c r="F2708" s="40">
        <v>0.25</v>
      </c>
      <c r="G2708" s="11">
        <v>5324.0</v>
      </c>
      <c r="H2708" s="34" t="str">
        <f>IFERROR(__xludf.DUMMYFUNCTION("LOWER(REGEXREPLACE(B2708&amp;"" ""&amp;C2708,""[^а-яa-z0-9 ]"","" ""))"),"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и"&amp;"з фанеры  покрытое резиновыми накладками с губкой ")</f>
        <v>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из фанеры  покрытое резиновыми накладками с губкой </v>
      </c>
    </row>
    <row r="2709">
      <c r="A2709" s="35" t="s">
        <v>6283</v>
      </c>
      <c r="B2709" s="31" t="s">
        <v>6284</v>
      </c>
      <c r="C2709" s="31"/>
      <c r="D2709" s="37" t="s">
        <v>14</v>
      </c>
      <c r="E2709" s="10"/>
      <c r="F2709" s="36"/>
      <c r="G2709" s="11"/>
      <c r="H2709" s="34" t="str">
        <f>IFERROR(__xludf.DUMMYFUNCTION("LOWER(REGEXREPLACE(B2709&amp;"" ""&amp;C2709,""[^а-яa-z0-9 ]"","" ""))")," тол для настольного тенниса ")</f>
        <v> тол для настольного тенниса </v>
      </c>
    </row>
    <row r="2710">
      <c r="A2710" s="35" t="s">
        <v>6285</v>
      </c>
      <c r="B2710" s="31" t="s">
        <v>6286</v>
      </c>
      <c r="C2710" s="31" t="s">
        <v>6287</v>
      </c>
      <c r="D2710" s="37" t="s">
        <v>14</v>
      </c>
      <c r="E2710" s="38">
        <v>1.0</v>
      </c>
      <c r="F2710" s="38">
        <v>65.0</v>
      </c>
      <c r="G2710" s="11">
        <v>92878.0</v>
      </c>
      <c r="H2710" s="34" t="str">
        <f>IFERROR(__xludf.DUMMYFUNCTION("LOWER(REGEXREPLACE(B2710&amp;"" ""&amp;C2710,""[^а-яa-z0-9 ]"","" ""))")," тол теннисный в комплекте  кладная конструкция  транспортировочные ролики  сетка в комплекте   атериал столешницы     ")</f>
        <v> тол теннисный в комплекте  кладная конструкция  транспортировочные ролики  сетка в комплекте   атериал столешницы     </v>
      </c>
    </row>
    <row r="2711">
      <c r="A2711" s="35" t="s">
        <v>6288</v>
      </c>
      <c r="B2711" s="31" t="s">
        <v>6289</v>
      </c>
      <c r="C2711" s="31"/>
      <c r="D2711" s="37" t="s">
        <v>14</v>
      </c>
      <c r="E2711" s="38">
        <v>1.0</v>
      </c>
      <c r="F2711" s="38">
        <v>65.0</v>
      </c>
      <c r="G2711" s="11">
        <v>126786.0</v>
      </c>
      <c r="H2711" s="34" t="str">
        <f>IFERROR(__xludf.DUMMYFUNCTION("LOWER(REGEXREPLACE(B2711&amp;"" ""&amp;C2711,""[^а-яa-z0-9 ]"","" ""))")," еннисный стол уличный ")</f>
        <v> еннисный стол уличный </v>
      </c>
    </row>
    <row r="2712">
      <c r="A2712" s="35" t="s">
        <v>6290</v>
      </c>
      <c r="B2712" s="9" t="s">
        <v>6291</v>
      </c>
      <c r="C2712" s="31" t="s">
        <v>6292</v>
      </c>
      <c r="D2712" s="37" t="s">
        <v>14</v>
      </c>
      <c r="E2712" s="38">
        <v>2.0</v>
      </c>
      <c r="F2712" s="38">
        <v>67.0</v>
      </c>
      <c r="G2712" s="11">
        <v>300396.0</v>
      </c>
      <c r="H2712" s="34" t="str">
        <f>IFERROR(__xludf.DUMMYFUNCTION("LOWER(REGEXREPLACE(B2712&amp;"" ""&amp;C2712,""[^а-яa-z0-9 ]"","" ""))"),"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мелам"&amp;"иновым покрытием   ант  кромка     0 45 мм ")</f>
        <v>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меламиновым покрытием   ант  кромка     0 45 мм </v>
      </c>
    </row>
    <row r="2713">
      <c r="A2713" s="35" t="s">
        <v>6293</v>
      </c>
      <c r="B2713" s="31" t="s">
        <v>6294</v>
      </c>
      <c r="C2713" s="31" t="s">
        <v>6295</v>
      </c>
      <c r="D2713" s="37" t="s">
        <v>14</v>
      </c>
      <c r="E2713" s="38">
        <v>2.0</v>
      </c>
      <c r="F2713" s="38">
        <v>70.0</v>
      </c>
      <c r="G2713" s="11">
        <v>405550.0</v>
      </c>
      <c r="H2713" s="34" t="str">
        <f>IFERROR(__xludf.DUMMYFUNCTION("LOWER(REGEXREPLACE(B2713&amp;"" ""&amp;C2713,""[^а-яa-z0-9 ]"","" ""))"),"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вы"&amp;"сота 76 см  лист цельный ")</f>
        <v>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высота 76 см  лист цельный </v>
      </c>
    </row>
    <row r="2714">
      <c r="A2714" s="35" t="s">
        <v>6296</v>
      </c>
      <c r="B2714" s="31" t="s">
        <v>6297</v>
      </c>
      <c r="C2714" s="31" t="s">
        <v>6298</v>
      </c>
      <c r="D2714" s="37" t="s">
        <v>14</v>
      </c>
      <c r="E2714" s="38">
        <v>2.0</v>
      </c>
      <c r="F2714" s="38">
        <v>56.0</v>
      </c>
      <c r="G2714" s="11">
        <v>414429.0</v>
      </c>
      <c r="H2714" s="34" t="str">
        <f>IFERROR(__xludf.DUMMYFUNCTION("LOWER(REGEXREPLACE(B2714&amp;"" ""&amp;C2714,""[^а-яa-z0-9 ]"","" ""))"),"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f>
        <v>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v>
      </c>
    </row>
    <row r="2715">
      <c r="A2715" s="35" t="s">
        <v>6299</v>
      </c>
      <c r="B2715" s="31" t="s">
        <v>6300</v>
      </c>
      <c r="C2715" s="31" t="s">
        <v>6301</v>
      </c>
      <c r="D2715" s="37" t="s">
        <v>14</v>
      </c>
      <c r="E2715" s="38">
        <v>2.0</v>
      </c>
      <c r="F2715" s="39">
        <v>10.5</v>
      </c>
      <c r="G2715" s="11">
        <v>991584.0</v>
      </c>
      <c r="H2715" s="34" t="str">
        <f>IFERROR(__xludf.DUMMYFUNCTION("LOWER(REGEXREPLACE(B2715&amp;"" ""&amp;C2715,""[^а-яa-z0-9 ]"","" ""))"),"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запрог"&amp;"раммирован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ста"&amp;"ндарты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сто"&amp;"йка и крепления  металл сталь алюминий  ")</f>
        <v>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стойка и крепления  металл сталь алюминий  </v>
      </c>
    </row>
    <row r="2716">
      <c r="A2716" s="35" t="s">
        <v>6302</v>
      </c>
      <c r="B2716" s="31" t="s">
        <v>6303</v>
      </c>
      <c r="C2716" s="31" t="s">
        <v>6304</v>
      </c>
      <c r="D2716" s="37" t="s">
        <v>14</v>
      </c>
      <c r="E2716" s="38">
        <v>2.0</v>
      </c>
      <c r="F2716" s="38">
        <v>140.0</v>
      </c>
      <c r="G2716" s="11">
        <v>946256.0</v>
      </c>
      <c r="H2716" s="34" t="str">
        <f>IFERROR(__xludf.DUMMYFUNCTION("LOWER(REGEXREPLACE(B2716&amp;"" ""&amp;C2716,""[^а-яa-z0-9 ]"","" ""))"),"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о"&amp;"тскок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регулир"&amp;"овкой высоты  юстировкой    тол оснащен колесами диаметром 125 мм с тормозами   диночное сложение стола настольного тенниса ")</f>
        <v>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регулировкой высоты  юстировкой    тол оснащен колесами диаметром 125 мм с тормозами   диночное сложение стола настольного тенниса </v>
      </c>
    </row>
    <row r="2717">
      <c r="A2717" s="35" t="s">
        <v>6305</v>
      </c>
      <c r="B2717" s="31" t="s">
        <v>6306</v>
      </c>
      <c r="C2717" s="31"/>
      <c r="D2717" s="37" t="s">
        <v>68</v>
      </c>
      <c r="E2717" s="38">
        <v>1.0</v>
      </c>
      <c r="F2717" s="39">
        <v>3.2</v>
      </c>
      <c r="G2717" s="11"/>
      <c r="H2717" s="34" t="str">
        <f>IFERROR(__xludf.DUMMYFUNCTION("LOWER(REGEXREPLACE(B2717&amp;"" ""&amp;C2717,""[^а-яa-z0-9 ]"","" ""))")," уга для подлезания ")</f>
        <v> уга для подлезания </v>
      </c>
    </row>
    <row r="2718">
      <c r="A2718" s="35" t="s">
        <v>6307</v>
      </c>
      <c r="B2718" s="31" t="s">
        <v>6308</v>
      </c>
      <c r="C2718" s="31" t="s">
        <v>6309</v>
      </c>
      <c r="D2718" s="37" t="s">
        <v>14</v>
      </c>
      <c r="E2718" s="38">
        <v>1.0</v>
      </c>
      <c r="F2718" s="39">
        <v>1.4</v>
      </c>
      <c r="G2718" s="11">
        <v>9573.0</v>
      </c>
      <c r="H2718" s="34" t="str">
        <f>IFERROR(__xludf.DUMMYFUNCTION("LOWER(REGEXREPLACE(B2718&amp;"" ""&amp;C2718,""[^а-яa-z0-9 ]"","" ""))"),"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дерев"&amp;"о")</f>
        <v>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дерево</v>
      </c>
    </row>
    <row r="2719">
      <c r="A2719" s="35" t="s">
        <v>6310</v>
      </c>
      <c r="B2719" s="31" t="s">
        <v>6311</v>
      </c>
      <c r="C2719" s="31" t="s">
        <v>6312</v>
      </c>
      <c r="D2719" s="37" t="s">
        <v>14</v>
      </c>
      <c r="E2719" s="38">
        <v>1.0</v>
      </c>
      <c r="F2719" s="39">
        <v>1.5</v>
      </c>
      <c r="G2719" s="11">
        <v>11840.0</v>
      </c>
      <c r="H2719" s="34" t="str">
        <f>IFERROR(__xludf.DUMMYFUNCTION("LOWER(REGEXREPLACE(B2719&amp;"" ""&amp;C2719,""[^а-яa-z0-9 ]"","" ""))"),"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дерев"&amp;"о")</f>
        <v>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дерево</v>
      </c>
    </row>
    <row r="2720">
      <c r="A2720" s="35" t="s">
        <v>6313</v>
      </c>
      <c r="B2720" s="31" t="s">
        <v>6314</v>
      </c>
      <c r="C2720" s="31" t="s">
        <v>6315</v>
      </c>
      <c r="D2720" s="37" t="s">
        <v>14</v>
      </c>
      <c r="E2720" s="38">
        <v>1.0</v>
      </c>
      <c r="F2720" s="39">
        <v>1.6</v>
      </c>
      <c r="G2720" s="11">
        <v>14252.0</v>
      </c>
      <c r="H2720" s="34" t="str">
        <f>IFERROR(__xludf.DUMMYFUNCTION("LOWER(REGEXREPLACE(B2720&amp;"" ""&amp;C2720,""[^а-яa-z0-9 ]"","" ""))"),"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дер"&amp;"ево")</f>
        <v>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дерево</v>
      </c>
    </row>
    <row r="2721">
      <c r="A2721" s="35" t="s">
        <v>6316</v>
      </c>
      <c r="B2721" s="31" t="s">
        <v>6317</v>
      </c>
      <c r="C2721" s="31"/>
      <c r="D2721" s="37" t="s">
        <v>14</v>
      </c>
      <c r="E2721" s="38">
        <v>1.0</v>
      </c>
      <c r="F2721" s="36"/>
      <c r="G2721" s="11"/>
      <c r="H2721" s="34" t="str">
        <f>IFERROR(__xludf.DUMMYFUNCTION("LOWER(REGEXREPLACE(B2721&amp;"" ""&amp;C2721,""[^а-яa-z0-9 ]"","" ""))")," бруч ")</f>
        <v> бруч </v>
      </c>
    </row>
    <row r="2722">
      <c r="A2722" s="35" t="s">
        <v>6318</v>
      </c>
      <c r="B2722" s="31" t="s">
        <v>6319</v>
      </c>
      <c r="C2722" s="31"/>
      <c r="D2722" s="37" t="s">
        <v>14</v>
      </c>
      <c r="E2722" s="38">
        <v>1.0</v>
      </c>
      <c r="F2722" s="39">
        <v>0.2</v>
      </c>
      <c r="G2722" s="11">
        <v>2857.0</v>
      </c>
      <c r="H2722" s="34" t="str">
        <f>IFERROR(__xludf.DUMMYFUNCTION("LOWER(REGEXREPLACE(B2722&amp;"" ""&amp;C2722,""[^а-яa-z0-9 ]"","" ""))")," бруч алюминевый ")</f>
        <v> бруч алюминевый </v>
      </c>
    </row>
    <row r="2723">
      <c r="A2723" s="35" t="s">
        <v>6320</v>
      </c>
      <c r="B2723" s="31" t="s">
        <v>6321</v>
      </c>
      <c r="C2723" s="31"/>
      <c r="D2723" s="37" t="s">
        <v>14</v>
      </c>
      <c r="E2723" s="38">
        <v>1.0</v>
      </c>
      <c r="F2723" s="39">
        <v>0.2</v>
      </c>
      <c r="G2723" s="11">
        <v>1518.0</v>
      </c>
      <c r="H2723" s="34" t="str">
        <f>IFERROR(__xludf.DUMMYFUNCTION("LOWER(REGEXREPLACE(B2723&amp;"" ""&amp;C2723,""[^а-яa-z0-9 ]"","" ""))")," бруч пластмассовый  40 ")</f>
        <v> бруч пластмассовый  40 </v>
      </c>
    </row>
    <row r="2724">
      <c r="A2724" s="35" t="s">
        <v>6322</v>
      </c>
      <c r="B2724" s="31" t="s">
        <v>6323</v>
      </c>
      <c r="C2724" s="31"/>
      <c r="D2724" s="37" t="s">
        <v>14</v>
      </c>
      <c r="E2724" s="38">
        <v>1.0</v>
      </c>
      <c r="F2724" s="39">
        <v>0.2</v>
      </c>
      <c r="G2724" s="11">
        <v>1696.0</v>
      </c>
      <c r="H2724" s="34" t="str">
        <f>IFERROR(__xludf.DUMMYFUNCTION("LOWER(REGEXREPLACE(B2724&amp;"" ""&amp;C2724,""[^а-яa-z0-9 ]"","" ""))")," бруч пластмассовый  50 ")</f>
        <v> бруч пластмассовый  50 </v>
      </c>
    </row>
    <row r="2725">
      <c r="A2725" s="35" t="s">
        <v>6324</v>
      </c>
      <c r="B2725" s="31" t="s">
        <v>6325</v>
      </c>
      <c r="C2725" s="31"/>
      <c r="D2725" s="37" t="s">
        <v>14</v>
      </c>
      <c r="E2725" s="38">
        <v>1.0</v>
      </c>
      <c r="F2725" s="40">
        <v>0.25</v>
      </c>
      <c r="G2725" s="11">
        <v>1696.0</v>
      </c>
      <c r="H2725" s="34" t="str">
        <f>IFERROR(__xludf.DUMMYFUNCTION("LOWER(REGEXREPLACE(B2725&amp;"" ""&amp;C2725,""[^а-яa-z0-9 ]"","" ""))")," бруч пластмассовый  60 ")</f>
        <v> бруч пластмассовый  60 </v>
      </c>
    </row>
    <row r="2726">
      <c r="A2726" s="35" t="s">
        <v>6326</v>
      </c>
      <c r="B2726" s="31" t="s">
        <v>6327</v>
      </c>
      <c r="C2726" s="31"/>
      <c r="D2726" s="37" t="s">
        <v>14</v>
      </c>
      <c r="E2726" s="38">
        <v>1.0</v>
      </c>
      <c r="F2726" s="40">
        <v>0.25</v>
      </c>
      <c r="G2726" s="11">
        <v>1786.0</v>
      </c>
      <c r="H2726" s="34" t="str">
        <f>IFERROR(__xludf.DUMMYFUNCTION("LOWER(REGEXREPLACE(B2726&amp;"" ""&amp;C2726,""[^а-яa-z0-9 ]"","" ""))")," бруч пластмассовый  70 ")</f>
        <v> бруч пластмассовый  70 </v>
      </c>
    </row>
    <row r="2727">
      <c r="A2727" s="35" t="s">
        <v>6328</v>
      </c>
      <c r="B2727" s="31" t="s">
        <v>6329</v>
      </c>
      <c r="C2727" s="31"/>
      <c r="D2727" s="37" t="s">
        <v>14</v>
      </c>
      <c r="E2727" s="38">
        <v>1.0</v>
      </c>
      <c r="F2727" s="40">
        <v>0.25</v>
      </c>
      <c r="G2727" s="11">
        <v>1875.0</v>
      </c>
      <c r="H2727" s="34" t="str">
        <f>IFERROR(__xludf.DUMMYFUNCTION("LOWER(REGEXREPLACE(B2727&amp;"" ""&amp;C2727,""[^а-яa-z0-9 ]"","" ""))")," бруч пластмассовый  80 ")</f>
        <v> бруч пластмассовый  80 </v>
      </c>
    </row>
    <row r="2728">
      <c r="A2728" s="35" t="s">
        <v>6330</v>
      </c>
      <c r="B2728" s="31" t="s">
        <v>6331</v>
      </c>
      <c r="C2728" s="31" t="s">
        <v>6331</v>
      </c>
      <c r="D2728" s="37" t="s">
        <v>14</v>
      </c>
      <c r="E2728" s="38">
        <v>2.0</v>
      </c>
      <c r="F2728" s="40">
        <v>0.16</v>
      </c>
      <c r="G2728" s="11">
        <v>4918.0</v>
      </c>
      <c r="H2728" s="34" t="str">
        <f>IFERROR(__xludf.DUMMYFUNCTION("LOWER(REGEXREPLACE(B2728&amp;"" ""&amp;C2728,""[^а-яa-z0-9 ]"","" ""))"),"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f>
        <v>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v>
      </c>
    </row>
    <row r="2729">
      <c r="A2729" s="35" t="s">
        <v>6332</v>
      </c>
      <c r="B2729" s="31" t="s">
        <v>6333</v>
      </c>
      <c r="C2729" s="31" t="s">
        <v>6334</v>
      </c>
      <c r="D2729" s="37" t="s">
        <v>14</v>
      </c>
      <c r="E2729" s="38">
        <v>2.0</v>
      </c>
      <c r="F2729" s="40">
        <v>0.14</v>
      </c>
      <c r="G2729" s="11">
        <v>3982.0</v>
      </c>
      <c r="H2729" s="34" t="str">
        <f>IFERROR(__xludf.DUMMYFUNCTION("LOWER(REGEXREPLACE(B2729&amp;"" ""&amp;C2729,""[^а-яa-z0-9 ]"","" ""))"),"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f>
        <v>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v>
      </c>
    </row>
    <row r="2730">
      <c r="A2730" s="35" t="s">
        <v>6335</v>
      </c>
      <c r="B2730" s="31" t="s">
        <v>6336</v>
      </c>
      <c r="C2730" s="31" t="s">
        <v>6337</v>
      </c>
      <c r="D2730" s="37" t="s">
        <v>14</v>
      </c>
      <c r="E2730" s="38">
        <v>2.0</v>
      </c>
      <c r="F2730" s="40">
        <v>0.12</v>
      </c>
      <c r="G2730" s="11">
        <v>3045.0</v>
      </c>
      <c r="H2730" s="34" t="str">
        <f>IFERROR(__xludf.DUMMYFUNCTION("LOWER(REGEXREPLACE(B2730&amp;"" ""&amp;C2730,""[^а-яa-z0-9 ]"","" ""))"),"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f>
        <v>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v>
      </c>
    </row>
    <row r="2731">
      <c r="A2731" s="35" t="s">
        <v>6338</v>
      </c>
      <c r="B2731" s="31" t="s">
        <v>6339</v>
      </c>
      <c r="C2731" s="31" t="s">
        <v>6340</v>
      </c>
      <c r="D2731" s="37" t="s">
        <v>14</v>
      </c>
      <c r="E2731" s="38">
        <v>2.0</v>
      </c>
      <c r="F2731" s="39">
        <v>0.3</v>
      </c>
      <c r="G2731" s="11">
        <v>4766.0</v>
      </c>
      <c r="H2731" s="34" t="str">
        <f>IFERROR(__xludf.DUMMYFUNCTION("LOWER(REGEXREPLACE(B2731&amp;"" ""&amp;C2731,""[^а-яa-z0-9 ]"","" ""))"),"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f>
        <v>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v>
      </c>
    </row>
    <row r="2732">
      <c r="A2732" s="35" t="s">
        <v>6341</v>
      </c>
      <c r="B2732" s="31" t="s">
        <v>6342</v>
      </c>
      <c r="C2732" s="31" t="s">
        <v>6343</v>
      </c>
      <c r="D2732" s="37" t="s">
        <v>14</v>
      </c>
      <c r="E2732" s="38">
        <v>2.0</v>
      </c>
      <c r="F2732" s="39">
        <v>0.6</v>
      </c>
      <c r="G2732" s="11">
        <v>5751.0</v>
      </c>
      <c r="H2732" s="34" t="str">
        <f>IFERROR(__xludf.DUMMYFUNCTION("LOWER(REGEXREPLACE(B2732&amp;"" ""&amp;C2732,""[^а-яa-z0-9 ]"","" ""))"),"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f>
        <v>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v>
      </c>
    </row>
    <row r="2733">
      <c r="A2733" s="35" t="s">
        <v>6344</v>
      </c>
      <c r="B2733" s="31" t="s">
        <v>6345</v>
      </c>
      <c r="C2733" s="31"/>
      <c r="D2733" s="37" t="s">
        <v>14</v>
      </c>
      <c r="E2733" s="10"/>
      <c r="F2733" s="36"/>
      <c r="G2733" s="11"/>
      <c r="H2733" s="34" t="str">
        <f>IFERROR(__xludf.DUMMYFUNCTION("LOWER(REGEXREPLACE(B2733&amp;"" ""&amp;C2733,""[^а-яa-z0-9 ]"","" ""))")," инамометр ручной ")</f>
        <v> инамометр ручной </v>
      </c>
    </row>
    <row r="2734">
      <c r="A2734" s="35" t="s">
        <v>6346</v>
      </c>
      <c r="B2734" s="9" t="s">
        <v>6347</v>
      </c>
      <c r="C2734" s="31"/>
      <c r="D2734" s="37" t="s">
        <v>14</v>
      </c>
      <c r="E2734" s="10"/>
      <c r="F2734" s="36"/>
      <c r="G2734" s="11">
        <v>44643.0</v>
      </c>
      <c r="H2734" s="34" t="str">
        <f>IFERROR(__xludf.DUMMYFUNCTION("LOWER(REGEXREPLACE(B2734&amp;"" ""&amp;C2734,""[^а-яa-z0-9 ]"","" ""))")," инамометр медицинский электронный ручной      120 0 5     ")</f>
        <v> инамометр медицинский электронный ручной      120 0 5     </v>
      </c>
    </row>
    <row r="2735">
      <c r="A2735" s="35" t="s">
        <v>6348</v>
      </c>
      <c r="B2735" s="9" t="s">
        <v>6349</v>
      </c>
      <c r="C2735" s="31"/>
      <c r="D2735" s="37" t="s">
        <v>14</v>
      </c>
      <c r="E2735" s="10"/>
      <c r="F2735" s="36"/>
      <c r="G2735" s="11">
        <v>40179.0</v>
      </c>
      <c r="H2735" s="34" t="str">
        <f>IFERROR(__xludf.DUMMYFUNCTION("LOWER(REGEXREPLACE(B2735&amp;"" ""&amp;C2735,""[^а-яa-z0-9 ]"","" ""))")," инамометр медицинский электронный ручной      120 0 5   ")</f>
        <v> инамометр медицинский электронный ручной      120 0 5   </v>
      </c>
    </row>
    <row r="2736">
      <c r="A2736" s="35" t="s">
        <v>6350</v>
      </c>
      <c r="B2736" s="9" t="s">
        <v>6351</v>
      </c>
      <c r="C2736" s="31"/>
      <c r="D2736" s="37" t="s">
        <v>14</v>
      </c>
      <c r="E2736" s="10"/>
      <c r="F2736" s="36"/>
      <c r="G2736" s="11">
        <v>32143.0</v>
      </c>
      <c r="H2736" s="34" t="str">
        <f>IFERROR(__xludf.DUMMYFUNCTION("LOWER(REGEXREPLACE(B2736&amp;"" ""&amp;C2736,""[^а-яa-z0-9 ]"","" ""))")," инамометр медицинский электронный ручной      120 0 5 ")</f>
        <v> инамометр медицинский электронный ручной      120 0 5 </v>
      </c>
    </row>
    <row r="2737">
      <c r="A2737" s="35" t="s">
        <v>6352</v>
      </c>
      <c r="B2737" s="9" t="s">
        <v>6353</v>
      </c>
      <c r="C2737" s="31"/>
      <c r="D2737" s="37" t="s">
        <v>14</v>
      </c>
      <c r="E2737" s="10"/>
      <c r="F2737" s="36"/>
      <c r="G2737" s="11">
        <v>32143.0</v>
      </c>
      <c r="H2737" s="34" t="str">
        <f>IFERROR(__xludf.DUMMYFUNCTION("LOWER(REGEXREPLACE(B2737&amp;"" ""&amp;C2737,""[^а-яa-z0-9 ]"","" ""))")," инамометр медицинский электронный ручной      30 0 5 ")</f>
        <v> инамометр медицинский электронный ручной      30 0 5 </v>
      </c>
    </row>
    <row r="2738">
      <c r="A2738" s="35" t="s">
        <v>6354</v>
      </c>
      <c r="B2738" s="31" t="s">
        <v>6355</v>
      </c>
      <c r="C2738" s="31" t="s">
        <v>6356</v>
      </c>
      <c r="D2738" s="37" t="s">
        <v>14</v>
      </c>
      <c r="E2738" s="38">
        <v>1.0</v>
      </c>
      <c r="F2738" s="42">
        <v>0.355</v>
      </c>
      <c r="G2738" s="11">
        <v>46494.0</v>
      </c>
      <c r="H2738" s="34" t="str">
        <f>IFERROR(__xludf.DUMMYFUNCTION("LOWER(REGEXREPLACE(B2738&amp;"" ""&amp;C2738,""[^а-яa-z0-9 ]"","" ""))"),"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бат"&amp;"ареями")</f>
        <v>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батареями</v>
      </c>
    </row>
    <row r="2739">
      <c r="A2739" s="35" t="s">
        <v>6357</v>
      </c>
      <c r="B2739" s="31" t="s">
        <v>6358</v>
      </c>
      <c r="C2739" s="31"/>
      <c r="D2739" s="37" t="s">
        <v>14</v>
      </c>
      <c r="E2739" s="10"/>
      <c r="F2739" s="36"/>
      <c r="G2739" s="11"/>
      <c r="H2739" s="34" t="str">
        <f>IFERROR(__xludf.DUMMYFUNCTION("LOWER(REGEXREPLACE(B2739&amp;"" ""&amp;C2739,""[^а-яa-z0-9 ]"","" ""))")," лектромегафон ")</f>
        <v> лектромегафон </v>
      </c>
    </row>
    <row r="2740">
      <c r="A2740" s="35" t="s">
        <v>6359</v>
      </c>
      <c r="B2740" s="31" t="s">
        <v>6360</v>
      </c>
      <c r="C2740" s="31"/>
      <c r="D2740" s="37" t="s">
        <v>14</v>
      </c>
      <c r="E2740" s="38">
        <v>1.0</v>
      </c>
      <c r="F2740" s="39">
        <v>1.5</v>
      </c>
      <c r="G2740" s="11">
        <v>30236.0</v>
      </c>
      <c r="H2740" s="34" t="str">
        <f>IFERROR(__xludf.DUMMYFUNCTION("LOWER(REGEXREPLACE(B2740&amp;"" ""&amp;C2740,""[^а-яa-z0-9 ]"","" ""))")," лектромегафон с регулируемой громкостью ")</f>
        <v> лектромегафон с регулируемой громкостью </v>
      </c>
    </row>
    <row r="2741">
      <c r="A2741" s="35" t="s">
        <v>6361</v>
      </c>
      <c r="B2741" s="31" t="s">
        <v>6362</v>
      </c>
      <c r="C2741" s="31"/>
      <c r="D2741" s="37" t="s">
        <v>14</v>
      </c>
      <c r="E2741" s="10"/>
      <c r="F2741" s="36"/>
      <c r="G2741" s="11"/>
      <c r="H2741" s="34" t="str">
        <f>IFERROR(__xludf.DUMMYFUNCTION("LOWER(REGEXREPLACE(B2741&amp;"" ""&amp;C2741,""[^а-яa-z0-9 ]"","" ""))")," абло простое пластиковое ")</f>
        <v> абло простое пластиковое </v>
      </c>
    </row>
    <row r="2742">
      <c r="A2742" s="35" t="s">
        <v>6363</v>
      </c>
      <c r="B2742" s="31" t="s">
        <v>6364</v>
      </c>
      <c r="C2742" s="31" t="s">
        <v>6365</v>
      </c>
      <c r="D2742" s="37" t="s">
        <v>14</v>
      </c>
      <c r="E2742" s="38">
        <v>1.0</v>
      </c>
      <c r="F2742" s="38">
        <v>20.0</v>
      </c>
      <c r="G2742" s="11">
        <v>13679.0</v>
      </c>
      <c r="H2742" s="34" t="str">
        <f>IFERROR(__xludf.DUMMYFUNCTION("LOWER(REGEXREPLACE(B2742&amp;"" ""&amp;C2742,""[^а-яa-z0-9 ]"","" ""))")," абло пластиковое перекидное  абло перекидное на металлической подставке с пластиковыми номерами ")</f>
        <v> абло пластиковое перекидное  абло перекидное на металлической подставке с пластиковыми номерами </v>
      </c>
    </row>
    <row r="2743">
      <c r="A2743" s="35" t="s">
        <v>6366</v>
      </c>
      <c r="B2743" s="31" t="s">
        <v>6367</v>
      </c>
      <c r="C2743" s="31" t="s">
        <v>6368</v>
      </c>
      <c r="D2743" s="37" t="s">
        <v>14</v>
      </c>
      <c r="E2743" s="38">
        <v>2.0</v>
      </c>
      <c r="F2743" s="40">
        <v>0.95</v>
      </c>
      <c r="G2743" s="11">
        <v>30680.0</v>
      </c>
      <c r="H2743" s="34" t="str">
        <f>IFERROR(__xludf.DUMMYFUNCTION("LOWER(REGEXREPLACE(B2743&amp;"" ""&amp;C2743,""[^а-яa-z0-9 ]"","" ""))"),"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"&amp;"добрен      ")</f>
        <v>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добрен      </v>
      </c>
    </row>
    <row r="2744">
      <c r="A2744" s="35" t="s">
        <v>6369</v>
      </c>
      <c r="B2744" s="31" t="s">
        <v>6370</v>
      </c>
      <c r="C2744" s="31"/>
      <c r="D2744" s="37" t="s">
        <v>14</v>
      </c>
      <c r="E2744" s="10"/>
      <c r="F2744" s="36"/>
      <c r="G2744" s="11"/>
      <c r="H2744" s="34" t="str">
        <f>IFERROR(__xludf.DUMMYFUNCTION("LOWER(REGEXREPLACE(B2744&amp;"" ""&amp;C2744,""[^а-яa-z0-9 ]"","" ""))")," абло электронное ")</f>
        <v> абло электронное </v>
      </c>
    </row>
    <row r="2745">
      <c r="A2745" s="35" t="s">
        <v>6371</v>
      </c>
      <c r="B2745" s="31" t="s">
        <v>6372</v>
      </c>
      <c r="C2745" s="31" t="s">
        <v>6373</v>
      </c>
      <c r="D2745" s="37" t="s">
        <v>14</v>
      </c>
      <c r="E2745" s="38">
        <v>1.0</v>
      </c>
      <c r="F2745" s="39">
        <v>1.1</v>
      </c>
      <c r="G2745" s="11">
        <v>980819.0</v>
      </c>
      <c r="H2745" s="34" t="str">
        <f>IFERROR(__xludf.DUMMYFUNCTION("LOWER(REGEXREPLACE(B2745&amp;"" ""&amp;C2745,""[^а-яa-z0-9 ]"","" ""))"),"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f>
        <v>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v>
      </c>
    </row>
    <row r="2746">
      <c r="A2746" s="35" t="s">
        <v>6374</v>
      </c>
      <c r="B2746" s="31" t="s">
        <v>6375</v>
      </c>
      <c r="C2746" s="31"/>
      <c r="D2746" s="37" t="s">
        <v>14</v>
      </c>
      <c r="E2746" s="10"/>
      <c r="F2746" s="36"/>
      <c r="G2746" s="11"/>
      <c r="H2746" s="34" t="str">
        <f>IFERROR(__xludf.DUMMYFUNCTION("LOWER(REGEXREPLACE(B2746&amp;"" ""&amp;C2746,""[^а-яa-z0-9 ]"","" ""))")," улетка измерительная ")</f>
        <v> улетка измерительная </v>
      </c>
    </row>
    <row r="2747">
      <c r="A2747" s="35" t="s">
        <v>6376</v>
      </c>
      <c r="B2747" s="31" t="s">
        <v>6377</v>
      </c>
      <c r="C2747" s="31" t="s">
        <v>6378</v>
      </c>
      <c r="D2747" s="37" t="s">
        <v>14</v>
      </c>
      <c r="E2747" s="10"/>
      <c r="F2747" s="36"/>
      <c r="G2747" s="11">
        <v>16614.0</v>
      </c>
      <c r="H2747" s="34" t="str">
        <f>IFERROR(__xludf.DUMMYFUNCTION("LOWER(REGEXREPLACE(B2747&amp;"" ""&amp;C2747,""[^а-яa-z0-9 ]"","" ""))"),"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пласти"&amp;"ка   ргономичная рукоятка для сматывания складывается в корпус для удобства переноски и хранения ")</f>
        <v>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8">
      <c r="A2748" s="35" t="s">
        <v>6379</v>
      </c>
      <c r="B2748" s="31" t="s">
        <v>6380</v>
      </c>
      <c r="C2748" s="31" t="s">
        <v>6381</v>
      </c>
      <c r="D2748" s="37" t="s">
        <v>14</v>
      </c>
      <c r="E2748" s="10"/>
      <c r="F2748" s="36"/>
      <c r="G2748" s="11">
        <v>7194.0</v>
      </c>
      <c r="H2748" s="34" t="str">
        <f>IFERROR(__xludf.DUMMYFUNCTION("LOWER(REGEXREPLACE(B2748&amp;"" ""&amp;C2748,""[^а-яa-z0-9 ]"","" ""))"),"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пл"&amp;"астика   ргономичная рукоятка для сматывания складывается в корпус для удобства переноски и хранения ")</f>
        <v>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9">
      <c r="A2749" s="35" t="s">
        <v>6382</v>
      </c>
      <c r="B2749" s="31" t="s">
        <v>6383</v>
      </c>
      <c r="C2749" s="31" t="s">
        <v>6384</v>
      </c>
      <c r="D2749" s="37" t="s">
        <v>14</v>
      </c>
      <c r="E2749" s="10"/>
      <c r="F2749" s="40">
        <v>0.03</v>
      </c>
      <c r="G2749" s="11">
        <v>2583.0</v>
      </c>
      <c r="H2749" s="34" t="str">
        <f>IFERROR(__xludf.DUMMYFUNCTION("LOWER(REGEXREPLACE(B2749&amp;"" ""&amp;C2749,""[^а-яa-z0-9 ]"","" ""))")," улетка измерительная 2 м  лина 2 метра  ширина 13см  материал корпуса пластик  материал ленты металл")</f>
        <v> улетка измерительная 2 м  лина 2 метра  ширина 13см  материал корпуса пластик  материал ленты металл</v>
      </c>
    </row>
    <row r="2750">
      <c r="A2750" s="35" t="s">
        <v>6385</v>
      </c>
      <c r="B2750" s="31" t="s">
        <v>6386</v>
      </c>
      <c r="C2750" s="31"/>
      <c r="D2750" s="37" t="s">
        <v>14</v>
      </c>
      <c r="E2750" s="10"/>
      <c r="F2750" s="36"/>
      <c r="G2750" s="11"/>
      <c r="H2750" s="34" t="str">
        <f>IFERROR(__xludf.DUMMYFUNCTION("LOWER(REGEXREPLACE(B2750&amp;"" ""&amp;C2750,""[^а-яa-z0-9 ]"","" ""))")," теллаж для хранения спортивного инвентаря ")</f>
        <v> теллаж для хранения спортивного инвентаря </v>
      </c>
    </row>
    <row r="2751">
      <c r="A2751" s="35" t="s">
        <v>6387</v>
      </c>
      <c r="B2751" s="31" t="s">
        <v>6388</v>
      </c>
      <c r="C2751" s="31" t="s">
        <v>6389</v>
      </c>
      <c r="D2751" s="37" t="s">
        <v>14</v>
      </c>
      <c r="E2751" s="38">
        <v>1.0</v>
      </c>
      <c r="F2751" s="38">
        <v>28.0</v>
      </c>
      <c r="G2751" s="11">
        <v>204980.0</v>
      </c>
      <c r="H2751" s="34" t="str">
        <f>IFERROR(__xludf.DUMMYFUNCTION("LOWER(REGEXREPLACE(B2751&amp;"" ""&amp;C2751,""[^а-яa-z0-9 ]"","" ""))"),"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f>
        <v>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v>
      </c>
    </row>
    <row r="2752">
      <c r="A2752" s="35" t="s">
        <v>6390</v>
      </c>
      <c r="B2752" s="31" t="s">
        <v>6391</v>
      </c>
      <c r="C2752" s="31"/>
      <c r="D2752" s="37" t="s">
        <v>14</v>
      </c>
      <c r="E2752" s="10"/>
      <c r="F2752" s="36"/>
      <c r="G2752" s="11"/>
      <c r="H2752" s="34" t="str">
        <f>IFERROR(__xludf.DUMMYFUNCTION("LOWER(REGEXREPLACE(B2752&amp;"" ""&amp;C2752,""[^а-яa-z0-9 ]"","" ""))")," теллаж для хранения мячей ")</f>
        <v> теллаж для хранения мячей </v>
      </c>
    </row>
    <row r="2753">
      <c r="A2753" s="35" t="s">
        <v>6392</v>
      </c>
      <c r="B2753" s="9" t="s">
        <v>6393</v>
      </c>
      <c r="C2753" s="31" t="s">
        <v>6394</v>
      </c>
      <c r="D2753" s="37" t="s">
        <v>14</v>
      </c>
      <c r="E2753" s="38">
        <v>1.0</v>
      </c>
      <c r="F2753" s="38">
        <v>45.0</v>
      </c>
      <c r="G2753" s="11">
        <v>108121.0</v>
      </c>
      <c r="H2753" s="34" t="str">
        <f>IFERROR(__xludf.DUMMYFUNCTION("LOWER(REGEXREPLACE(B2753&amp;"" ""&amp;C2753,""[^а-яa-z0-9 ]"","" ""))"),"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f>
        <v>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v>
      </c>
    </row>
    <row r="2754">
      <c r="A2754" s="35" t="s">
        <v>6395</v>
      </c>
      <c r="B2754" s="31" t="s">
        <v>6396</v>
      </c>
      <c r="C2754" s="31" t="s">
        <v>6397</v>
      </c>
      <c r="D2754" s="37" t="s">
        <v>14</v>
      </c>
      <c r="E2754" s="38">
        <v>1.0</v>
      </c>
      <c r="F2754" s="39">
        <v>0.5</v>
      </c>
      <c r="G2754" s="11">
        <v>39044.0</v>
      </c>
      <c r="H2754" s="34" t="str">
        <f>IFERROR(__xludf.DUMMYFUNCTION("LOWER(REGEXREPLACE(B2754&amp;"" ""&amp;C2754,""[^а-яa-z0-9 ]"","" ""))")," одставка под мячи полотенца  атериал изготовления  плотный многослойный картон с ламинированным износостойким покрытием   азмеры  780х350х20мм   вет  синий ")</f>
        <v> одставка под мячи полотенца  атериал изготовления  плотный многослойный картон с ламинированным износостойким покрытием   азмеры  780х350х20мм   вет  синий </v>
      </c>
    </row>
    <row r="2755">
      <c r="A2755" s="35" t="s">
        <v>6398</v>
      </c>
      <c r="B2755" s="31" t="s">
        <v>6399</v>
      </c>
      <c r="C2755" s="31"/>
      <c r="D2755" s="37" t="s">
        <v>14</v>
      </c>
      <c r="E2755" s="38">
        <v>1.0</v>
      </c>
      <c r="F2755" s="36"/>
      <c r="G2755" s="11"/>
      <c r="H2755" s="34" t="str">
        <f>IFERROR(__xludf.DUMMYFUNCTION("LOWER(REGEXREPLACE(B2755&amp;"" ""&amp;C2755,""[^а-яa-z0-9 ]"","" ""))")," орзина для мячей ")</f>
        <v> орзина для мячей </v>
      </c>
    </row>
    <row r="2756">
      <c r="A2756" s="35" t="s">
        <v>6400</v>
      </c>
      <c r="B2756" s="31" t="s">
        <v>6401</v>
      </c>
      <c r="C2756" s="31" t="s">
        <v>6402</v>
      </c>
      <c r="D2756" s="37" t="s">
        <v>14</v>
      </c>
      <c r="E2756" s="38">
        <v>2.0</v>
      </c>
      <c r="F2756" s="38">
        <v>7.0</v>
      </c>
      <c r="G2756" s="11">
        <v>41323.0</v>
      </c>
      <c r="H2756" s="34" t="str">
        <f>IFERROR(__xludf.DUMMYFUNCTION("LOWER(REGEXREPLACE(B2756&amp;"" ""&amp;C2756,""[^а-яa-z0-9 ]"","" ""))")," орзина для мячей переносная   азмеры  не менее 900х800х600мм  орзина для мячей металлическая сетчатая   азмеры  не менее 900х800х600мм")</f>
        <v> орзина для мячей переносная   азмеры  не менее 900х800х600мм  орзина для мячей металлическая сетчатая   азмеры  не менее 900х800х600мм</v>
      </c>
    </row>
    <row r="2757">
      <c r="A2757" s="35" t="s">
        <v>6403</v>
      </c>
      <c r="B2757" s="31" t="s">
        <v>6404</v>
      </c>
      <c r="C2757" s="31" t="s">
        <v>6405</v>
      </c>
      <c r="D2757" s="37" t="s">
        <v>14</v>
      </c>
      <c r="E2757" s="38">
        <v>2.0</v>
      </c>
      <c r="F2757" s="38">
        <v>7.0</v>
      </c>
      <c r="G2757" s="11">
        <v>76970.0</v>
      </c>
      <c r="H2757" s="34" t="str">
        <f>IFERROR(__xludf.DUMMYFUNCTION("LOWER(REGEXREPLACE(B2757&amp;"" ""&amp;C2757,""[^а-яa-z0-9 ]"","" ""))"),"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"&amp;"нейлона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f>
        <v>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v>
      </c>
    </row>
    <row r="2758">
      <c r="A2758" s="35" t="s">
        <v>6406</v>
      </c>
      <c r="B2758" s="31" t="s">
        <v>6407</v>
      </c>
      <c r="C2758" s="31"/>
      <c r="D2758" s="37" t="s">
        <v>14</v>
      </c>
      <c r="E2758" s="10"/>
      <c r="F2758" s="36"/>
      <c r="G2758" s="11"/>
      <c r="H2758" s="34" t="str">
        <f>IFERROR(__xludf.DUMMYFUNCTION("LOWER(REGEXREPLACE(B2758&amp;"" ""&amp;C2758,""[^а-яa-z0-9 ]"","" ""))")," асос для накачивания мячей ")</f>
        <v> асос для накачивания мячей </v>
      </c>
    </row>
    <row r="2759">
      <c r="A2759" s="35" t="s">
        <v>6408</v>
      </c>
      <c r="B2759" s="31" t="s">
        <v>6409</v>
      </c>
      <c r="C2759" s="31"/>
      <c r="D2759" s="37" t="s">
        <v>14</v>
      </c>
      <c r="E2759" s="38">
        <v>1.0</v>
      </c>
      <c r="F2759" s="39">
        <v>1.2</v>
      </c>
      <c r="G2759" s="11">
        <v>2232.0</v>
      </c>
      <c r="H2759" s="34" t="str">
        <f>IFERROR(__xludf.DUMMYFUNCTION("LOWER(REGEXREPLACE(B2759&amp;"" ""&amp;C2759,""[^а-яa-z0-9 ]"","" ""))")," асос малый ")</f>
        <v> асос малый </v>
      </c>
    </row>
    <row r="2760">
      <c r="A2760" s="35" t="s">
        <v>6410</v>
      </c>
      <c r="B2760" s="31" t="s">
        <v>6411</v>
      </c>
      <c r="C2760" s="31"/>
      <c r="D2760" s="37" t="s">
        <v>14</v>
      </c>
      <c r="E2760" s="38">
        <v>1.0</v>
      </c>
      <c r="F2760" s="40">
        <v>1.43</v>
      </c>
      <c r="G2760" s="11">
        <v>2500.0</v>
      </c>
      <c r="H2760" s="34" t="str">
        <f>IFERROR(__xludf.DUMMYFUNCTION("LOWER(REGEXREPLACE(B2760&amp;"" ""&amp;C2760,""[^а-яa-z0-9 ]"","" ""))")," асос большой ")</f>
        <v> асос большой </v>
      </c>
    </row>
    <row r="2761">
      <c r="A2761" s="35" t="s">
        <v>6412</v>
      </c>
      <c r="B2761" s="31" t="s">
        <v>6413</v>
      </c>
      <c r="C2761" s="31" t="s">
        <v>6414</v>
      </c>
      <c r="D2761" s="37" t="s">
        <v>14</v>
      </c>
      <c r="E2761" s="38">
        <v>2.0</v>
      </c>
      <c r="F2761" s="39">
        <v>0.6</v>
      </c>
      <c r="G2761" s="11">
        <v>6657.0</v>
      </c>
      <c r="H2761" s="34" t="str">
        <f>IFERROR(__xludf.DUMMYFUNCTION("LOWER(REGEXREPLACE(B2761&amp;"" ""&amp;C2761,""[^а-яa-z0-9 ]"","" ""))"),"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авт"&amp;"омобиля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насадо"&amp;"к ")</f>
        <v>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насадок </v>
      </c>
    </row>
    <row r="2762">
      <c r="A2762" s="35" t="s">
        <v>6415</v>
      </c>
      <c r="B2762" s="31" t="s">
        <v>6416</v>
      </c>
      <c r="C2762" s="31"/>
      <c r="D2762" s="37" t="s">
        <v>14</v>
      </c>
      <c r="E2762" s="10"/>
      <c r="F2762" s="36"/>
      <c r="G2762" s="11"/>
      <c r="H2762" s="34" t="str">
        <f>IFERROR(__xludf.DUMMYFUNCTION("LOWER(REGEXREPLACE(B2762&amp;"" ""&amp;C2762,""[^а-яa-z0-9 ]"","" ""))")," озел гимнастический ")</f>
        <v> озел гимнастический </v>
      </c>
    </row>
    <row r="2763">
      <c r="A2763" s="35" t="s">
        <v>6417</v>
      </c>
      <c r="B2763" s="31" t="s">
        <v>6418</v>
      </c>
      <c r="C2763" s="31"/>
      <c r="D2763" s="37" t="s">
        <v>14</v>
      </c>
      <c r="E2763" s="38">
        <v>1.0</v>
      </c>
      <c r="F2763" s="38">
        <v>25.0</v>
      </c>
      <c r="G2763" s="11">
        <v>25893.0</v>
      </c>
      <c r="H2763" s="34" t="str">
        <f>IFERROR(__xludf.DUMMYFUNCTION("LOWER(REGEXREPLACE(B2763&amp;"" ""&amp;C2763,""[^а-яa-z0-9 ]"","" ""))")," озел гимнастический детский ")</f>
        <v> озел гимнастический детский </v>
      </c>
    </row>
    <row r="2764">
      <c r="A2764" s="35" t="s">
        <v>6419</v>
      </c>
      <c r="B2764" s="31" t="s">
        <v>6416</v>
      </c>
      <c r="C2764" s="31"/>
      <c r="D2764" s="37" t="s">
        <v>14</v>
      </c>
      <c r="E2764" s="38">
        <v>1.0</v>
      </c>
      <c r="F2764" s="38">
        <v>25.0</v>
      </c>
      <c r="G2764" s="11">
        <v>26786.0</v>
      </c>
      <c r="H2764" s="34" t="str">
        <f>IFERROR(__xludf.DUMMYFUNCTION("LOWER(REGEXREPLACE(B2764&amp;"" ""&amp;C2764,""[^а-яa-z0-9 ]"","" ""))")," озел гимнастический ")</f>
        <v> озел гимнастический </v>
      </c>
    </row>
    <row r="2765">
      <c r="A2765" s="35" t="s">
        <v>6420</v>
      </c>
      <c r="B2765" s="31" t="s">
        <v>6421</v>
      </c>
      <c r="C2765" s="31" t="s">
        <v>6422</v>
      </c>
      <c r="D2765" s="37" t="s">
        <v>14</v>
      </c>
      <c r="E2765" s="38">
        <v>2.0</v>
      </c>
      <c r="F2765" s="38">
        <v>36.0</v>
      </c>
      <c r="G2765" s="11">
        <v>117588.0</v>
      </c>
      <c r="H2765" s="34" t="str">
        <f>IFERROR(__xludf.DUMMYFUNCTION("LOWER(REGEXREPLACE(B2765&amp;"" ""&amp;C2765,""[^а-яa-z0-9 ]"","" ""))"),"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телеск"&amp;"опическая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5"&amp;"5мм   ысота верхней поверхности корпуса от пола  900   1350мм ")</f>
        <v>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55мм   ысота верхней поверхности корпуса от пола  900   1350мм </v>
      </c>
    </row>
    <row r="2766">
      <c r="A2766" s="35" t="s">
        <v>6423</v>
      </c>
      <c r="B2766" s="31" t="s">
        <v>6424</v>
      </c>
      <c r="C2766" s="31"/>
      <c r="D2766" s="37" t="s">
        <v>14</v>
      </c>
      <c r="E2766" s="10"/>
      <c r="F2766" s="36"/>
      <c r="G2766" s="11"/>
      <c r="H2766" s="34" t="str">
        <f>IFERROR(__xludf.DUMMYFUNCTION("LOWER(REGEXREPLACE(B2766&amp;"" ""&amp;C2766,""[^а-яa-z0-9 ]"","" ""))")," остик гимнастический ")</f>
        <v> остик гимнастический </v>
      </c>
    </row>
    <row r="2767">
      <c r="A2767" s="35" t="s">
        <v>6425</v>
      </c>
      <c r="B2767" s="31" t="s">
        <v>6426</v>
      </c>
      <c r="C2767" s="31" t="s">
        <v>6427</v>
      </c>
      <c r="D2767" s="37" t="s">
        <v>14</v>
      </c>
      <c r="E2767" s="38">
        <v>1.0</v>
      </c>
      <c r="F2767" s="38">
        <v>25.0</v>
      </c>
      <c r="G2767" s="11">
        <v>41378.0</v>
      </c>
      <c r="H2767" s="34" t="str">
        <f>IFERROR(__xludf.DUMMYFUNCTION("LOWER(REGEXREPLACE(B2767&amp;"" ""&amp;C2767,""[^а-яa-z0-9 ]"","" ""))"),"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f>
        <v>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v>
      </c>
    </row>
    <row r="2768">
      <c r="A2768" s="35" t="s">
        <v>6428</v>
      </c>
      <c r="B2768" s="31" t="s">
        <v>6429</v>
      </c>
      <c r="C2768" s="31" t="s">
        <v>6430</v>
      </c>
      <c r="D2768" s="37" t="s">
        <v>14</v>
      </c>
      <c r="E2768" s="38">
        <v>1.0</v>
      </c>
      <c r="F2768" s="38">
        <v>25.0</v>
      </c>
      <c r="G2768" s="11">
        <v>23349.0</v>
      </c>
      <c r="H2768" s="34" t="str">
        <f>IFERROR(__xludf.DUMMYFUNCTION("LOWER(REGEXREPLACE(B2768&amp;"" ""&amp;C2768,""[^а-яa-z0-9 ]"","" ""))"),"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600"&amp;"мм ")</f>
        <v>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600мм </v>
      </c>
    </row>
    <row r="2769">
      <c r="A2769" s="35" t="s">
        <v>6431</v>
      </c>
      <c r="B2769" s="31" t="s">
        <v>6432</v>
      </c>
      <c r="C2769" s="31" t="s">
        <v>6433</v>
      </c>
      <c r="D2769" s="37" t="s">
        <v>14</v>
      </c>
      <c r="E2769" s="38">
        <v>2.0</v>
      </c>
      <c r="F2769" s="38">
        <v>20.0</v>
      </c>
      <c r="G2769" s="11">
        <v>73956.0</v>
      </c>
      <c r="H2769" s="34" t="str">
        <f>IFERROR(__xludf.DUMMYFUNCTION("LOWER(REGEXREPLACE(B2769&amp;"" ""&amp;C2769,""[^а-яa-z0-9 ]"","" ""))"),"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сборну"&amp;"ю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препятс"&amp;"твующего скольжению ног во время выполнения прыжков   лина   1200мм    ирина   600мм   ысота   230мм ")</f>
        <v>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препятствующего скольжению ног во время выполнения прыжков   лина   1200мм    ирина   600мм   ысота   230мм </v>
      </c>
    </row>
    <row r="2770">
      <c r="A2770" s="35" t="s">
        <v>6434</v>
      </c>
      <c r="B2770" s="9" t="s">
        <v>6435</v>
      </c>
      <c r="C2770" s="31" t="s">
        <v>6436</v>
      </c>
      <c r="D2770" s="37" t="s">
        <v>14</v>
      </c>
      <c r="E2770" s="38">
        <v>2.0</v>
      </c>
      <c r="F2770" s="38">
        <v>15.0</v>
      </c>
      <c r="G2770" s="11">
        <v>41920.0</v>
      </c>
      <c r="H2770" s="34" t="str">
        <f>IFERROR(__xludf.DUMMYFUNCTION("LOWER(REGEXREPLACE(B2770&amp;"" ""&amp;C2770,""[^а-яa-z0-9 ]"","" ""))"),"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конструк"&amp;"цию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f>
        <v>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v>
      </c>
    </row>
    <row r="2771">
      <c r="A2771" s="35" t="s">
        <v>6437</v>
      </c>
      <c r="B2771" s="31" t="s">
        <v>6438</v>
      </c>
      <c r="C2771" s="31"/>
      <c r="D2771" s="37" t="s">
        <v>14</v>
      </c>
      <c r="E2771" s="10"/>
      <c r="F2771" s="36"/>
      <c r="G2771" s="11"/>
      <c r="H2771" s="34" t="str">
        <f>IFERROR(__xludf.DUMMYFUNCTION("LOWER(REGEXREPLACE(B2771&amp;"" ""&amp;C2771,""[^а-яa-z0-9 ]"","" ""))")," ланка для прыжков в высоту ")</f>
        <v> ланка для прыжков в высоту </v>
      </c>
    </row>
    <row r="2772">
      <c r="A2772" s="35" t="s">
        <v>6439</v>
      </c>
      <c r="B2772" s="31" t="s">
        <v>6438</v>
      </c>
      <c r="C2772" s="31" t="s">
        <v>6440</v>
      </c>
      <c r="D2772" s="37" t="s">
        <v>14</v>
      </c>
      <c r="E2772" s="38">
        <v>2.0</v>
      </c>
      <c r="F2772" s="39">
        <v>1.7</v>
      </c>
      <c r="G2772" s="11">
        <v>42102.0</v>
      </c>
      <c r="H2772" s="34" t="str">
        <f>IFERROR(__xludf.DUMMYFUNCTION("LOWER(REGEXREPLACE(B2772&amp;"" ""&amp;C2772,""[^а-яa-z0-9 ]"","" ""))"),"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f>
        <v>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v>
      </c>
    </row>
    <row r="2773">
      <c r="A2773" s="35" t="s">
        <v>6441</v>
      </c>
      <c r="B2773" s="31" t="s">
        <v>6442</v>
      </c>
      <c r="C2773" s="31"/>
      <c r="D2773" s="37" t="s">
        <v>14</v>
      </c>
      <c r="E2773" s="10"/>
      <c r="F2773" s="36"/>
      <c r="G2773" s="11"/>
      <c r="H2773" s="34" t="str">
        <f>IFERROR(__xludf.DUMMYFUNCTION("LOWER(REGEXREPLACE(B2773&amp;"" ""&amp;C2773,""[^а-яa-z0-9 ]"","" ""))")," тойка для прыжков в высоту ")</f>
        <v> тойка для прыжков в высоту </v>
      </c>
    </row>
    <row r="2774">
      <c r="A2774" s="35" t="s">
        <v>6443</v>
      </c>
      <c r="B2774" s="31" t="s">
        <v>6442</v>
      </c>
      <c r="C2774" s="31" t="s">
        <v>6444</v>
      </c>
      <c r="D2774" s="37" t="s">
        <v>68</v>
      </c>
      <c r="E2774" s="38">
        <v>2.0</v>
      </c>
      <c r="F2774" s="38">
        <v>12.0</v>
      </c>
      <c r="G2774" s="11">
        <v>163035.0</v>
      </c>
      <c r="H2774" s="34" t="str">
        <f>IFERROR(__xludf.DUMMYFUNCTION("LOWER(REGEXREPLACE(B2774&amp;"" ""&amp;C2774,""[^а-яa-z0-9 ]"","" ""))"),"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егули"&amp;"ровка высоты  от 150мм до 2500мм ")</f>
        <v>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егулировка высоты  от 150мм до 2500мм </v>
      </c>
    </row>
    <row r="2775">
      <c r="A2775" s="35" t="s">
        <v>6445</v>
      </c>
      <c r="B2775" s="31" t="s">
        <v>6446</v>
      </c>
      <c r="C2775" s="31" t="s">
        <v>6447</v>
      </c>
      <c r="D2775" s="37" t="s">
        <v>14</v>
      </c>
      <c r="E2775" s="38">
        <v>2.0</v>
      </c>
      <c r="F2775" s="38">
        <v>1.0</v>
      </c>
      <c r="G2775" s="11">
        <v>54460.0</v>
      </c>
      <c r="H2775" s="34" t="str">
        <f>IFERROR(__xludf.DUMMYFUNCTION("LOWER(REGEXREPLACE(B2775&amp;"" ""&amp;C2775,""[^а-яa-z0-9 ]"","" ""))"),"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f>
        <v>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v>
      </c>
    </row>
    <row r="2776">
      <c r="A2776" s="35" t="s">
        <v>6448</v>
      </c>
      <c r="B2776" s="31" t="s">
        <v>6449</v>
      </c>
      <c r="C2776" s="31"/>
      <c r="D2776" s="36"/>
      <c r="E2776" s="10"/>
      <c r="F2776" s="36"/>
      <c r="G2776" s="11"/>
      <c r="H2776" s="34" t="str">
        <f>IFERROR(__xludf.DUMMYFUNCTION("LOWER(REGEXREPLACE(B2776&amp;"" ""&amp;C2776,""[^а-яa-z0-9 ]"","" ""))")," оньки ")</f>
        <v> оньки </v>
      </c>
    </row>
    <row r="2777">
      <c r="A2777" s="35" t="s">
        <v>6450</v>
      </c>
      <c r="B2777" s="31" t="s">
        <v>6451</v>
      </c>
      <c r="C2777" s="31"/>
      <c r="D2777" s="37" t="s">
        <v>68</v>
      </c>
      <c r="E2777" s="38">
        <v>1.0</v>
      </c>
      <c r="F2777" s="40">
        <v>0.63</v>
      </c>
      <c r="G2777" s="11">
        <v>11786.0</v>
      </c>
      <c r="H2777" s="34" t="str">
        <f>IFERROR(__xludf.DUMMYFUNCTION("LOWER(REGEXREPLACE(B2777&amp;"" ""&amp;C2777,""[^а-яa-z0-9 ]"","" ""))")," аздвижные ледовые коньки  anwei 31 34    ")</f>
        <v> аздвижные ледовые коньки  anwei 31 34    </v>
      </c>
    </row>
    <row r="2778">
      <c r="A2778" s="35" t="s">
        <v>6452</v>
      </c>
      <c r="B2778" s="31" t="s">
        <v>6453</v>
      </c>
      <c r="C2778" s="31" t="s">
        <v>6454</v>
      </c>
      <c r="D2778" s="37" t="s">
        <v>14</v>
      </c>
      <c r="E2778" s="38">
        <v>1.0</v>
      </c>
      <c r="F2778" s="39">
        <v>2.5</v>
      </c>
      <c r="G2778" s="11">
        <v>46142.0</v>
      </c>
      <c r="H2778" s="34" t="str">
        <f>IFERROR(__xludf.DUMMYFUNCTION("LOWER(REGEXREPLACE(B2778&amp;"" ""&amp;C2778,""[^а-яa-z0-9 ]"","" ""))"),"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f>
        <v>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v>
      </c>
    </row>
    <row r="2779">
      <c r="A2779" s="35" t="s">
        <v>6455</v>
      </c>
      <c r="B2779" s="31" t="s">
        <v>6456</v>
      </c>
      <c r="C2779" s="31"/>
      <c r="D2779" s="37" t="s">
        <v>14</v>
      </c>
      <c r="E2779" s="10"/>
      <c r="F2779" s="36"/>
      <c r="G2779" s="11"/>
      <c r="H2779" s="34" t="str">
        <f>IFERROR(__xludf.DUMMYFUNCTION("LOWER(REGEXREPLACE(B2779&amp;"" ""&amp;C2779,""[^а-яa-z0-9 ]"","" ""))")," орота для мини футбола ")</f>
        <v> орота для мини футбола </v>
      </c>
    </row>
    <row r="2780">
      <c r="A2780" s="35" t="s">
        <v>6457</v>
      </c>
      <c r="B2780" s="31" t="s">
        <v>6458</v>
      </c>
      <c r="C2780" s="31"/>
      <c r="D2780" s="37" t="s">
        <v>14</v>
      </c>
      <c r="E2780" s="38">
        <v>1.0</v>
      </c>
      <c r="F2780" s="39">
        <v>62.2</v>
      </c>
      <c r="G2780" s="11">
        <v>37500.0</v>
      </c>
      <c r="H2780" s="34" t="str">
        <f>IFERROR(__xludf.DUMMYFUNCTION("LOWER(REGEXREPLACE(B2780&amp;"" ""&amp;C2780,""[^а-яa-z0-9 ]"","" ""))")," орота для минифутбола  2х3м  ")</f>
        <v> орота для минифутбола  2х3м  </v>
      </c>
    </row>
    <row r="2781">
      <c r="A2781" s="35" t="s">
        <v>6459</v>
      </c>
      <c r="B2781" s="31" t="s">
        <v>6456</v>
      </c>
      <c r="C2781" s="31" t="s">
        <v>6460</v>
      </c>
      <c r="D2781" s="37" t="s">
        <v>14</v>
      </c>
      <c r="E2781" s="38">
        <v>1.0</v>
      </c>
      <c r="F2781" s="38">
        <v>55.0</v>
      </c>
      <c r="G2781" s="11">
        <v>74212.0</v>
      </c>
      <c r="H2781" s="34" t="str">
        <f>IFERROR(__xludf.DUMMYFUNCTION("LOWER(REGEXREPLACE(B2781&amp;"" ""&amp;C2781,""[^а-яa-z0-9 ]"","" ""))"),"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f>
        <v>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v>
      </c>
    </row>
    <row r="2782">
      <c r="A2782" s="35" t="s">
        <v>6461</v>
      </c>
      <c r="B2782" s="31" t="s">
        <v>6462</v>
      </c>
      <c r="C2782" s="31"/>
      <c r="D2782" s="37" t="s">
        <v>14</v>
      </c>
      <c r="E2782" s="10"/>
      <c r="F2782" s="36"/>
      <c r="G2782" s="11"/>
      <c r="H2782" s="34" t="str">
        <f>IFERROR(__xludf.DUMMYFUNCTION("LOWER(REGEXREPLACE(B2782&amp;"" ""&amp;C2782,""[^а-яa-z0-9 ]"","" ""))")," яч гандбольный ")</f>
        <v> яч гандбольный </v>
      </c>
    </row>
    <row r="2783">
      <c r="A2783" s="35" t="s">
        <v>6463</v>
      </c>
      <c r="B2783" s="31" t="s">
        <v>6464</v>
      </c>
      <c r="C2783" s="31" t="s">
        <v>6465</v>
      </c>
      <c r="D2783" s="37" t="s">
        <v>14</v>
      </c>
      <c r="E2783" s="38">
        <v>2.0</v>
      </c>
      <c r="F2783" s="42">
        <v>0.445</v>
      </c>
      <c r="G2783" s="11">
        <v>7691.0</v>
      </c>
      <c r="H2783" s="34" t="str">
        <f>IFERROR(__xludf.DUMMYFUNCTION("LOWER(REGEXREPLACE(B2783&amp;"" ""&amp;C2783,""[^а-яa-z0-9 ]"","" ""))")," яч гандбольный    9525  оличество панелей   32   пособ соединения панелей    учная сшивка   атериал покрышки   синтетическая кожа ")</f>
        <v> яч гандбольный    9525  оличество панелей   32   пособ соединения панелей    учная сшивка   атериал покрышки   синтетическая кожа </v>
      </c>
    </row>
    <row r="2784">
      <c r="A2784" s="35" t="s">
        <v>6466</v>
      </c>
      <c r="B2784" s="31" t="s">
        <v>6467</v>
      </c>
      <c r="C2784" s="31"/>
      <c r="D2784" s="37" t="s">
        <v>14</v>
      </c>
      <c r="E2784" s="10"/>
      <c r="F2784" s="36"/>
      <c r="G2784" s="11"/>
      <c r="H2784" s="34" t="str">
        <f>IFERROR(__xludf.DUMMYFUNCTION("LOWER(REGEXREPLACE(B2784&amp;"" ""&amp;C2784,""[^а-яa-z0-9 ]"","" ""))")," етка волейбольная ")</f>
        <v> етка волейбольная </v>
      </c>
    </row>
    <row r="2785">
      <c r="A2785" s="35" t="s">
        <v>6468</v>
      </c>
      <c r="B2785" s="31" t="s">
        <v>6469</v>
      </c>
      <c r="C2785" s="31"/>
      <c r="D2785" s="37" t="s">
        <v>14</v>
      </c>
      <c r="E2785" s="38">
        <v>1.0</v>
      </c>
      <c r="F2785" s="39">
        <v>0.9</v>
      </c>
      <c r="G2785" s="11">
        <v>3393.0</v>
      </c>
      <c r="H2785" s="34" t="str">
        <f>IFERROR(__xludf.DUMMYFUNCTION("LOWER(REGEXREPLACE(B2785&amp;"" ""&amp;C2785,""[^а-яa-z0-9 ]"","" ""))")," етка волейбольная  нить   2 мм  стальной трос   3 мм ")</f>
        <v> етка волейбольная  нить   2 мм  стальной трос   3 мм </v>
      </c>
    </row>
    <row r="2786">
      <c r="A2786" s="35" t="s">
        <v>6470</v>
      </c>
      <c r="B2786" s="31" t="s">
        <v>6471</v>
      </c>
      <c r="C2786" s="31"/>
      <c r="D2786" s="37" t="s">
        <v>14</v>
      </c>
      <c r="E2786" s="38">
        <v>1.0</v>
      </c>
      <c r="F2786" s="39">
        <v>1.2</v>
      </c>
      <c r="G2786" s="11">
        <v>4018.0</v>
      </c>
      <c r="H2786" s="34" t="str">
        <f>IFERROR(__xludf.DUMMYFUNCTION("LOWER(REGEXREPLACE(B2786&amp;"" ""&amp;C2786,""[^а-яa-z0-9 ]"","" ""))")," етка волейбольная  нить   2 5 мм  стальной трос   3 мм ")</f>
        <v> етка волейбольная  нить   2 5 мм  стальной трос   3 мм </v>
      </c>
    </row>
    <row r="2787">
      <c r="A2787" s="35" t="s">
        <v>6472</v>
      </c>
      <c r="B2787" s="31" t="s">
        <v>6473</v>
      </c>
      <c r="C2787" s="31" t="s">
        <v>6474</v>
      </c>
      <c r="D2787" s="37" t="s">
        <v>14</v>
      </c>
      <c r="E2787" s="38">
        <v>1.0</v>
      </c>
      <c r="F2787" s="38">
        <v>3.0</v>
      </c>
      <c r="G2787" s="11">
        <v>45134.0</v>
      </c>
      <c r="H2787" s="34" t="str">
        <f>IFERROR(__xludf.DUMMYFUNCTION("LOWER(REGEXREPLACE(B2787&amp;"" ""&amp;C2787,""[^а-яa-z0-9 ]"","" ""))"),"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f>
        <v>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v>
      </c>
    </row>
    <row r="2788">
      <c r="A2788" s="35" t="s">
        <v>6475</v>
      </c>
      <c r="B2788" s="31" t="s">
        <v>6476</v>
      </c>
      <c r="C2788" s="31" t="s">
        <v>6477</v>
      </c>
      <c r="D2788" s="37" t="s">
        <v>14</v>
      </c>
      <c r="E2788" s="38">
        <v>2.0</v>
      </c>
      <c r="F2788" s="38">
        <v>3.0</v>
      </c>
      <c r="G2788" s="11">
        <v>7206.0</v>
      </c>
      <c r="H2788" s="34" t="str">
        <f>IFERROR(__xludf.DUMMYFUNCTION("LOWER(REGEXREPLACE(B2788&amp;"" ""&amp;C2788,""[^а-яa-z0-9 ]"","" ""))")," рос для волейбольной сетки  сталь  длина 15 м  рос для волейбольной сетки   атериал  сталь  длина 15 м   иаметр троса   4 мм")</f>
        <v> рос для волейбольной сетки  сталь  длина 15 м  рос для волейбольной сетки   атериал  сталь  длина 15 м   иаметр троса   4 мм</v>
      </c>
    </row>
    <row r="2789">
      <c r="A2789" s="35" t="s">
        <v>6478</v>
      </c>
      <c r="B2789" s="31" t="s">
        <v>6479</v>
      </c>
      <c r="C2789" s="31" t="s">
        <v>6480</v>
      </c>
      <c r="D2789" s="37" t="s">
        <v>14</v>
      </c>
      <c r="E2789" s="38">
        <v>2.0</v>
      </c>
      <c r="F2789" s="38">
        <v>4.0</v>
      </c>
      <c r="G2789" s="11">
        <v>86347.0</v>
      </c>
      <c r="H2789" s="34" t="str">
        <f>IFERROR(__xludf.DUMMYFUNCTION("LOWER(REGEXREPLACE(B2789&amp;"" ""&amp;C2789,""[^а-яa-z0-9 ]"","" ""))"),"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се"&amp;"тки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f>
        <v>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v>
      </c>
    </row>
    <row r="2790">
      <c r="A2790" s="35" t="s">
        <v>6481</v>
      </c>
      <c r="B2790" s="31" t="s">
        <v>6482</v>
      </c>
      <c r="C2790" s="31"/>
      <c r="D2790" s="37" t="s">
        <v>14</v>
      </c>
      <c r="E2790" s="10"/>
      <c r="F2790" s="36"/>
      <c r="G2790" s="11"/>
      <c r="H2790" s="34" t="str">
        <f>IFERROR(__xludf.DUMMYFUNCTION("LOWER(REGEXREPLACE(B2790&amp;"" ""&amp;C2790,""[^а-яa-z0-9 ]"","" ""))")," етка для футбольных ворот ")</f>
        <v> етка для футбольных ворот </v>
      </c>
    </row>
    <row r="2791">
      <c r="A2791" s="35" t="s">
        <v>6483</v>
      </c>
      <c r="B2791" s="31" t="s">
        <v>6484</v>
      </c>
      <c r="C2791" s="31"/>
      <c r="D2791" s="37" t="s">
        <v>14</v>
      </c>
      <c r="E2791" s="38">
        <v>1.0</v>
      </c>
      <c r="F2791" s="39">
        <v>1.5</v>
      </c>
      <c r="G2791" s="11">
        <v>7768.0</v>
      </c>
      <c r="H2791" s="34" t="str">
        <f>IFERROR(__xludf.DUMMYFUNCTION("LOWER(REGEXREPLACE(B2791&amp;"" ""&amp;C2791,""[^а-яa-z0-9 ]"","" ""))")," етка для футбольных ворот  нить   3 мм  5х2 м  ")</f>
        <v> етка для футбольных ворот  нить   3 мм  5х2 м  </v>
      </c>
    </row>
    <row r="2792">
      <c r="A2792" s="35" t="s">
        <v>6485</v>
      </c>
      <c r="B2792" s="31" t="s">
        <v>6486</v>
      </c>
      <c r="C2792" s="31" t="s">
        <v>6487</v>
      </c>
      <c r="D2792" s="37" t="s">
        <v>14</v>
      </c>
      <c r="E2792" s="38">
        <v>1.0</v>
      </c>
      <c r="F2792" s="39">
        <v>2.5</v>
      </c>
      <c r="G2792" s="11">
        <v>64189.0</v>
      </c>
      <c r="H2792" s="34" t="str">
        <f>IFERROR(__xludf.DUMMYFUNCTION("LOWER(REGEXREPLACE(B2792&amp;"" ""&amp;C2792,""[^а-яa-z0-9 ]"","" ""))"),"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f>
        <v>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v>
      </c>
    </row>
    <row r="2793">
      <c r="A2793" s="35" t="s">
        <v>6488</v>
      </c>
      <c r="B2793" s="31" t="s">
        <v>6489</v>
      </c>
      <c r="C2793" s="31"/>
      <c r="D2793" s="37" t="s">
        <v>14</v>
      </c>
      <c r="E2793" s="10"/>
      <c r="F2793" s="36"/>
      <c r="G2793" s="11"/>
      <c r="H2793" s="34" t="str">
        <f>IFERROR(__xludf.DUMMYFUNCTION("LOWER(REGEXREPLACE(B2793&amp;"" ""&amp;C2793,""[^а-яa-z0-9 ]"","" ""))")," ишка разметочная ")</f>
        <v> ишка разметочная </v>
      </c>
    </row>
    <row r="2794">
      <c r="A2794" s="35" t="s">
        <v>6490</v>
      </c>
      <c r="B2794" s="31" t="s">
        <v>6491</v>
      </c>
      <c r="C2794" s="31"/>
      <c r="D2794" s="37" t="s">
        <v>14</v>
      </c>
      <c r="E2794" s="38">
        <v>1.0</v>
      </c>
      <c r="F2794" s="39">
        <v>0.1</v>
      </c>
      <c r="G2794" s="11">
        <v>179.0</v>
      </c>
      <c r="H2794" s="34" t="str">
        <f>IFERROR(__xludf.DUMMYFUNCTION("LOWER(REGEXREPLACE(B2794&amp;"" ""&amp;C2794,""[^а-яa-z0-9 ]"","" ""))")," ишки футбольные ")</f>
        <v> ишки футбольные </v>
      </c>
    </row>
    <row r="2795">
      <c r="A2795" s="35" t="s">
        <v>6492</v>
      </c>
      <c r="B2795" s="31" t="s">
        <v>6493</v>
      </c>
      <c r="C2795" s="31" t="s">
        <v>6494</v>
      </c>
      <c r="D2795" s="37" t="s">
        <v>14</v>
      </c>
      <c r="E2795" s="38">
        <v>1.0</v>
      </c>
      <c r="F2795" s="40">
        <v>0.08</v>
      </c>
      <c r="G2795" s="11">
        <v>300.0</v>
      </c>
      <c r="H2795" s="34" t="str">
        <f>IFERROR(__xludf.DUMMYFUNCTION("LOWER(REGEXREPLACE(B2795&amp;"" ""&amp;C2795,""[^а-яa-z0-9 ]"","" ""))")," ишка разметочная     2179  ишка разметочная     2179  фишка d 20см  h 5см")</f>
        <v> ишка разметочная     2179  ишка разметочная     2179  фишка d 20см  h 5см</v>
      </c>
    </row>
    <row r="2796">
      <c r="A2796" s="35" t="s">
        <v>6495</v>
      </c>
      <c r="B2796" s="31" t="s">
        <v>6496</v>
      </c>
      <c r="C2796" s="31" t="s">
        <v>6497</v>
      </c>
      <c r="D2796" s="37" t="s">
        <v>68</v>
      </c>
      <c r="E2796" s="38">
        <v>2.0</v>
      </c>
      <c r="F2796" s="39">
        <v>0.1</v>
      </c>
      <c r="G2796" s="11">
        <v>10951.0</v>
      </c>
      <c r="H2796" s="34" t="str">
        <f>IFERROR(__xludf.DUMMYFUNCTION("LOWER(REGEXREPLACE(B2796&amp;"" ""&amp;C2796,""[^а-яa-z0-9 ]"","" ""))"),"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ведения"&amp;" мяча и получает другие разнообразные навыки   азмеры  0 5х0 5х0 01 м ")</f>
        <v>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азмеры  0 5х0 5х0 01 м </v>
      </c>
    </row>
    <row r="2797">
      <c r="A2797" s="35" t="s">
        <v>6498</v>
      </c>
      <c r="B2797" s="31" t="s">
        <v>6499</v>
      </c>
      <c r="C2797" s="31" t="s">
        <v>6500</v>
      </c>
      <c r="D2797" s="37" t="s">
        <v>14</v>
      </c>
      <c r="E2797" s="38">
        <v>2.0</v>
      </c>
      <c r="F2797" s="38">
        <v>5.0</v>
      </c>
      <c r="G2797" s="11">
        <v>54771.0</v>
      </c>
      <c r="H2797" s="34" t="str">
        <f>IFERROR(__xludf.DUMMYFUNCTION("LOWER(REGEXREPLACE(B2797&amp;"" ""&amp;C2797,""[^а-яa-z0-9 ]"","" ""))"),"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ф"&amp;"утбольный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"&amp;"и надежный в эксплуатации  гибкий  безопасный и легкий ")</f>
        <v>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и надежный в эксплуатации  гибкий  безопасный и легкий </v>
      </c>
    </row>
    <row r="2798">
      <c r="A2798" s="35" t="s">
        <v>6501</v>
      </c>
      <c r="B2798" s="31" t="s">
        <v>6502</v>
      </c>
      <c r="C2798" s="31" t="s">
        <v>6503</v>
      </c>
      <c r="D2798" s="37" t="s">
        <v>14</v>
      </c>
      <c r="E2798" s="38">
        <v>2.0</v>
      </c>
      <c r="F2798" s="38">
        <v>22.0</v>
      </c>
      <c r="G2798" s="11">
        <v>197801.0</v>
      </c>
      <c r="H2798" s="34" t="str">
        <f>IFERROR(__xludf.DUMMYFUNCTION("LOWER(REGEXREPLACE(B2798&amp;"" ""&amp;C2798,""[^а-яa-z0-9 ]"","" ""))"),"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ак"&amp;"сессуар для манекенов  при использовании на искусственном покрытии    азмеры  1 8х0 6х0 3 м")</f>
        <v>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аксессуар для манекенов  при использовании на искусственном покрытии    азмеры  1 8х0 6х0 3 м</v>
      </c>
    </row>
    <row r="2799">
      <c r="A2799" s="35" t="s">
        <v>6504</v>
      </c>
      <c r="B2799" s="31" t="s">
        <v>6505</v>
      </c>
      <c r="C2799" s="31" t="s">
        <v>6506</v>
      </c>
      <c r="D2799" s="37" t="s">
        <v>14</v>
      </c>
      <c r="E2799" s="38">
        <v>2.0</v>
      </c>
      <c r="F2799" s="38">
        <v>18.0</v>
      </c>
      <c r="G2799" s="11">
        <v>167368.0</v>
      </c>
      <c r="H2799" s="34" t="str">
        <f>IFERROR(__xludf.DUMMYFUNCTION("LOWER(REGEXREPLACE(B2799&amp;"" ""&amp;C2799,""[^а-яa-z0-9 ]"","" ""))"),"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д"&amp;"ля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f>
        <v>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v>
      </c>
    </row>
    <row r="2800">
      <c r="A2800" s="35" t="s">
        <v>6507</v>
      </c>
      <c r="B2800" s="31" t="s">
        <v>6508</v>
      </c>
      <c r="C2800" s="31" t="s">
        <v>6509</v>
      </c>
      <c r="D2800" s="37" t="s">
        <v>68</v>
      </c>
      <c r="E2800" s="38">
        <v>2.0</v>
      </c>
      <c r="F2800" s="39">
        <v>0.3</v>
      </c>
      <c r="G2800" s="11">
        <v>14602.0</v>
      </c>
      <c r="H2800" s="34" t="str">
        <f>IFERROR(__xludf.DUMMYFUNCTION("LOWER(REGEXREPLACE(B2800&amp;"" ""&amp;C2800,""[^а-яa-z0-9 ]"","" ""))"),"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пр"&amp;"ыжка   одходит для командных видов спорта  а также легкоатлетических и фитнес тренировок ")</f>
        <v>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прыжка   одходит для командных видов спорта  а также легкоатлетических и фитнес тренировок </v>
      </c>
    </row>
    <row r="2801">
      <c r="A2801" s="35" t="s">
        <v>6510</v>
      </c>
      <c r="B2801" s="31" t="s">
        <v>6511</v>
      </c>
      <c r="C2801" s="31" t="s">
        <v>6512</v>
      </c>
      <c r="D2801" s="37" t="s">
        <v>68</v>
      </c>
      <c r="E2801" s="38">
        <v>2.0</v>
      </c>
      <c r="F2801" s="39">
        <v>0.5</v>
      </c>
      <c r="G2801" s="11">
        <v>19773.0</v>
      </c>
      <c r="H2801" s="34" t="str">
        <f>IFERROR(__xludf.DUMMYFUNCTION("LOWER(REGEXREPLACE(B2801&amp;"" ""&amp;C2801,""[^а-яa-z0-9 ]"","" ""))"),"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вк"&amp;"лючая приседания  упражнения на бицепс  расширение трицепса  упражнения на мышцы груди  живота и плеч ")</f>
        <v>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 </v>
      </c>
    </row>
    <row r="2802">
      <c r="A2802" s="35" t="s">
        <v>6513</v>
      </c>
      <c r="B2802" s="31" t="s">
        <v>6514</v>
      </c>
      <c r="C2802" s="31"/>
      <c r="D2802" s="36"/>
      <c r="E2802" s="10"/>
      <c r="F2802" s="36"/>
      <c r="G2802" s="11"/>
      <c r="H2802" s="34" t="str">
        <f>IFERROR(__xludf.DUMMYFUNCTION("LOWER(REGEXREPLACE(B2802&amp;"" ""&amp;C2802,""[^а-яa-z0-9 ]"","" ""))")," огыз кумалак ")</f>
        <v> огыз кумалак </v>
      </c>
    </row>
    <row r="2803">
      <c r="A2803" s="35" t="s">
        <v>6515</v>
      </c>
      <c r="B2803" s="31" t="s">
        <v>6516</v>
      </c>
      <c r="C2803" s="31" t="s">
        <v>6517</v>
      </c>
      <c r="D2803" s="37" t="s">
        <v>14</v>
      </c>
      <c r="E2803" s="38">
        <v>1.0</v>
      </c>
      <c r="F2803" s="39">
        <v>0.6</v>
      </c>
      <c r="G2803" s="11">
        <v>10018.0</v>
      </c>
      <c r="H2803" s="34" t="str">
        <f>IFERROR(__xludf.DUMMYFUNCTION("LOWER(REGEXREPLACE(B2803&amp;"" ""&amp;C2803,""[^а-яa-z0-9 ]"","" ""))"),"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f>
        <v>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v>
      </c>
    </row>
    <row r="2804">
      <c r="A2804" s="35" t="s">
        <v>6518</v>
      </c>
      <c r="B2804" s="31" t="s">
        <v>6519</v>
      </c>
      <c r="C2804" s="31"/>
      <c r="D2804" s="37" t="s">
        <v>14</v>
      </c>
      <c r="E2804" s="10"/>
      <c r="F2804" s="36"/>
      <c r="G2804" s="11"/>
      <c r="H2804" s="34" t="str">
        <f>IFERROR(__xludf.DUMMYFUNCTION("LOWER(REGEXREPLACE(B2804&amp;"" ""&amp;C2804,""[^а-яa-z0-9 ]"","" ""))")," орота футбольные ")</f>
        <v> орота футбольные </v>
      </c>
    </row>
    <row r="2805">
      <c r="A2805" s="35" t="s">
        <v>6520</v>
      </c>
      <c r="B2805" s="31" t="s">
        <v>6521</v>
      </c>
      <c r="C2805" s="31"/>
      <c r="D2805" s="37" t="s">
        <v>14</v>
      </c>
      <c r="E2805" s="38">
        <v>1.0</v>
      </c>
      <c r="F2805" s="38">
        <v>112.0</v>
      </c>
      <c r="G2805" s="11">
        <v>158125.0</v>
      </c>
      <c r="H2805" s="34" t="str">
        <f>IFERROR(__xludf.DUMMYFUNCTION("LOWER(REGEXREPLACE(B2805&amp;"" ""&amp;C2805,""[^а-яa-z0-9 ]"","" ""))")," орота для футбола стационарные  7 32х2 44 м  ")</f>
        <v> орота для футбола стационарные  7 32х2 44 м  </v>
      </c>
    </row>
    <row r="2806">
      <c r="A2806" s="35" t="s">
        <v>6522</v>
      </c>
      <c r="B2806" s="31" t="s">
        <v>6523</v>
      </c>
      <c r="C2806" s="31"/>
      <c r="D2806" s="37" t="s">
        <v>14</v>
      </c>
      <c r="E2806" s="38">
        <v>1.0</v>
      </c>
      <c r="F2806" s="38">
        <v>52.0</v>
      </c>
      <c r="G2806" s="11">
        <v>58929.0</v>
      </c>
      <c r="H2806" s="34" t="str">
        <f>IFERROR(__xludf.DUMMYFUNCTION("LOWER(REGEXREPLACE(B2806&amp;"" ""&amp;C2806,""[^а-яa-z0-9 ]"","" ""))")," орота для футбола гандбола  5х2м  ")</f>
        <v> орота для футбола гандбола  5х2м  </v>
      </c>
    </row>
    <row r="2807">
      <c r="A2807" s="35" t="s">
        <v>6524</v>
      </c>
      <c r="B2807" s="31" t="s">
        <v>6525</v>
      </c>
      <c r="C2807" s="31" t="s">
        <v>6526</v>
      </c>
      <c r="D2807" s="37" t="s">
        <v>14</v>
      </c>
      <c r="E2807" s="38">
        <v>2.0</v>
      </c>
      <c r="F2807" s="38">
        <v>95.0</v>
      </c>
      <c r="G2807" s="11">
        <v>231144.0</v>
      </c>
      <c r="H2807" s="34" t="str">
        <f>IFERROR(__xludf.DUMMYFUNCTION("LOWER(REGEXREPLACE(B2807&amp;"" ""&amp;C2807,""[^а-яa-z0-9 ]"","" ""))"),"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собр"&amp;"анном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выпол"&amp;"нены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эмаль"&amp;"ю    разметкой ")</f>
        <v>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эмалью    разметкой </v>
      </c>
    </row>
    <row r="2808">
      <c r="A2808" s="35" t="s">
        <v>6527</v>
      </c>
      <c r="B2808" s="31" t="s">
        <v>6528</v>
      </c>
      <c r="C2808" s="31" t="s">
        <v>6529</v>
      </c>
      <c r="D2808" s="37" t="s">
        <v>14</v>
      </c>
      <c r="E2808" s="38">
        <v>1.0</v>
      </c>
      <c r="F2808" s="38">
        <v>160.0</v>
      </c>
      <c r="G2808" s="11">
        <v>327049.0</v>
      </c>
      <c r="H2808" s="34" t="str">
        <f>IFERROR(__xludf.DUMMYFUNCTION("LOWER(REGEXREPLACE(B2808&amp;"" ""&amp;C2808,""[^а-яa-z0-9 ]"","" ""))")," орота футбольные размерами 5000 х 2000 мм    520  орота футбольные    520    азмер 5х2м    иаметр штанг и перекладины 89мм  задние дуги 42мм   ысота 2000мм  длина 5000мм  глубина  2000 мм ")</f>
        <v> орота футбольные размерами 5000 х 2000 мм    520  орота футбольные    520    азмер 5х2м    иаметр штанг и перекладины 89мм  задние дуги 42мм   ысота 2000мм  длина 5000мм  глубина  2000 мм </v>
      </c>
    </row>
    <row r="2809">
      <c r="A2809" s="35" t="s">
        <v>6530</v>
      </c>
      <c r="B2809" s="31" t="s">
        <v>6531</v>
      </c>
      <c r="C2809" s="31" t="s">
        <v>6532</v>
      </c>
      <c r="D2809" s="37" t="s">
        <v>14</v>
      </c>
      <c r="E2809" s="38">
        <v>1.0</v>
      </c>
      <c r="F2809" s="38">
        <v>160.0</v>
      </c>
      <c r="G2809" s="11">
        <v>470978.0</v>
      </c>
      <c r="H2809" s="34" t="str">
        <f>IFERROR(__xludf.DUMMYFUNCTION("LOWER(REGEXREPLACE(B2809&amp;"" ""&amp;C2809,""[^а-яa-z0-9 ]"","" ""))"),"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f>
        <v>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v>
      </c>
    </row>
    <row r="2810">
      <c r="A2810" s="35" t="s">
        <v>6533</v>
      </c>
      <c r="B2810" s="31" t="s">
        <v>6534</v>
      </c>
      <c r="C2810" s="31" t="s">
        <v>6535</v>
      </c>
      <c r="D2810" s="37" t="s">
        <v>14</v>
      </c>
      <c r="E2810" s="38">
        <v>2.0</v>
      </c>
      <c r="F2810" s="38">
        <v>57.0</v>
      </c>
      <c r="G2810" s="11">
        <v>728643.0</v>
      </c>
      <c r="H2810" s="34" t="str">
        <f>IFERROR(__xludf.DUMMYFUNCTION("LOWER(REGEXREPLACE(B2810&amp;"" ""&amp;C2810,""[^а-яa-z0-9 ]"","" ""))"),"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поло"&amp;"с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глу"&amp;"биной 350 мм и съемные крышки фланцы  для предварительного монтажа в покрытие игровой площадки")</f>
        <v>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глубиной 350 мм и съемные крышки фланцы  для предварительного монтажа в покрытие игровой площадки</v>
      </c>
    </row>
    <row r="2811">
      <c r="A2811" s="35" t="s">
        <v>6536</v>
      </c>
      <c r="B2811" s="31" t="s">
        <v>6537</v>
      </c>
      <c r="C2811" s="31"/>
      <c r="D2811" s="37" t="s">
        <v>14</v>
      </c>
      <c r="E2811" s="10"/>
      <c r="F2811" s="36"/>
      <c r="G2811" s="11"/>
      <c r="H2811" s="34" t="str">
        <f>IFERROR(__xludf.DUMMYFUNCTION("LOWER(REGEXREPLACE(B2811&amp;"" ""&amp;C2811,""[^а-яa-z0-9 ]"","" ""))")," тойка баскетбольная ")</f>
        <v> тойка баскетбольная </v>
      </c>
    </row>
    <row r="2812">
      <c r="A2812" s="35" t="s">
        <v>6538</v>
      </c>
      <c r="B2812" s="31" t="s">
        <v>6539</v>
      </c>
      <c r="C2812" s="31" t="s">
        <v>6540</v>
      </c>
      <c r="D2812" s="37" t="s">
        <v>14</v>
      </c>
      <c r="E2812" s="38">
        <v>1.0</v>
      </c>
      <c r="F2812" s="38">
        <v>350.0</v>
      </c>
      <c r="G2812" s="11">
        <v>410714.0</v>
      </c>
      <c r="H2812" s="34" t="str">
        <f>IFERROR(__xludf.DUMMYFUNCTION("LOWER(REGEXREPLACE(B2812&amp;"" ""&amp;C2812,""[^а-яa-z0-9 ]"","" ""))"),"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"&amp;"колесах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стр"&amp;"елы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f>
        <v>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v>
      </c>
    </row>
    <row r="2813">
      <c r="A2813" s="35" t="s">
        <v>6541</v>
      </c>
      <c r="B2813" s="31" t="s">
        <v>6542</v>
      </c>
      <c r="C2813" s="31" t="s">
        <v>6543</v>
      </c>
      <c r="D2813" s="37" t="s">
        <v>14</v>
      </c>
      <c r="E2813" s="38">
        <v>1.0</v>
      </c>
      <c r="F2813" s="38">
        <v>460.0</v>
      </c>
      <c r="G2813" s="11">
        <v>1709840.0</v>
      </c>
      <c r="H2813" s="34" t="str">
        <f>IFERROR(__xludf.DUMMYFUNCTION("LOWER(REGEXREPLACE(B2813&amp;"" ""&amp;C2813,""[^а-яa-z0-9 ]"","" ""))"),"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ба"&amp;"скетбольная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f>
        <v>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v>
      </c>
    </row>
    <row r="2814">
      <c r="A2814" s="35" t="s">
        <v>6544</v>
      </c>
      <c r="B2814" s="31" t="s">
        <v>6545</v>
      </c>
      <c r="C2814" s="31" t="s">
        <v>6546</v>
      </c>
      <c r="D2814" s="37" t="s">
        <v>14</v>
      </c>
      <c r="E2814" s="38">
        <v>1.0</v>
      </c>
      <c r="F2814" s="38">
        <v>120.0</v>
      </c>
      <c r="G2814" s="11">
        <v>735972.0</v>
      </c>
      <c r="H2814" s="34" t="str">
        <f>IFERROR(__xludf.DUMMYFUNCTION("LOWER(REGEXREPLACE(B2814&amp;"" ""&amp;C2814,""[^а-яa-z0-9 ]"","" ""))"),"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профиля"&amp;" 100 100мм с толщиной стенки 3 мм   оверхность рамы покрыта порошковой краской   а щите имеются посадочные отверстия под кольцо размерами 100 110 мм")</f>
        <v>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 100 100мм с толщиной стенки 3 мм   оверхность рамы покрыта порошковой краской   а щите имеются посадочные отверстия под кольцо размерами 100 110 мм</v>
      </c>
    </row>
    <row r="2815">
      <c r="A2815" s="35" t="s">
        <v>6547</v>
      </c>
      <c r="B2815" s="31" t="s">
        <v>6548</v>
      </c>
      <c r="C2815" s="31" t="s">
        <v>6549</v>
      </c>
      <c r="D2815" s="37" t="s">
        <v>14</v>
      </c>
      <c r="E2815" s="38">
        <v>2.0</v>
      </c>
      <c r="F2815" s="38">
        <v>460.0</v>
      </c>
      <c r="G2815" s="11">
        <v>1503595.0</v>
      </c>
      <c r="H2815" s="34" t="str">
        <f>IFERROR(__xludf.DUMMYFUNCTION("LOWER(REGEXREPLACE(B2815&amp;"" ""&amp;C2815,""[^а-яa-z0-9 ]"","" ""))"),"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стой"&amp;"ки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игро"&amp;"вой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состо"&amp;"янии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стопорны"&amp;"х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с"&amp;"тойки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f>
        <v>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v>
      </c>
    </row>
    <row r="2816">
      <c r="A2816" s="35" t="s">
        <v>6550</v>
      </c>
      <c r="B2816" s="31" t="s">
        <v>6551</v>
      </c>
      <c r="C2816" s="31" t="s">
        <v>6552</v>
      </c>
      <c r="D2816" s="37" t="s">
        <v>14</v>
      </c>
      <c r="E2816" s="38">
        <v>2.0</v>
      </c>
      <c r="F2816" s="38">
        <v>750.0</v>
      </c>
      <c r="G2816" s="11">
        <v>3196873.0</v>
      </c>
      <c r="H2816" s="34" t="str">
        <f>IFERROR(__xludf.DUMMYFUNCTION("LOWER(REGEXREPLACE(B2816&amp;"" ""&amp;C2816,""[^а-яa-z0-9 ]"","" ""))"),"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"&amp;"защитные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оргсте"&amp;"кла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осно"&amp;"вание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f>
        <v>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v>
      </c>
    </row>
    <row r="2817">
      <c r="A2817" s="35" t="s">
        <v>6553</v>
      </c>
      <c r="B2817" s="31" t="s">
        <v>6554</v>
      </c>
      <c r="C2817" s="31" t="s">
        <v>6555</v>
      </c>
      <c r="D2817" s="37" t="s">
        <v>14</v>
      </c>
      <c r="E2817" s="38">
        <v>2.0</v>
      </c>
      <c r="F2817" s="40">
        <v>0.75</v>
      </c>
      <c r="G2817" s="11">
        <v>11521.0</v>
      </c>
      <c r="H2817" s="34" t="str">
        <f>IFERROR(__xludf.DUMMYFUNCTION("LOWER(REGEXREPLACE(B2817&amp;"" ""&amp;C2817,""[^а-яa-z0-9 ]"","" ""))"),"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тренирово"&amp;"к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собирае"&amp;"тся ")</f>
        <v>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собирается </v>
      </c>
    </row>
    <row r="2818">
      <c r="A2818" s="35" t="s">
        <v>6556</v>
      </c>
      <c r="B2818" s="31" t="s">
        <v>6557</v>
      </c>
      <c r="C2818" s="31"/>
      <c r="D2818" s="37" t="s">
        <v>14</v>
      </c>
      <c r="E2818" s="10"/>
      <c r="F2818" s="36"/>
      <c r="G2818" s="11"/>
      <c r="H2818" s="34" t="str">
        <f>IFERROR(__xludf.DUMMYFUNCTION("LOWER(REGEXREPLACE(B2818&amp;"" ""&amp;C2818,""[^а-яa-z0-9 ]"","" ""))")," тойка волейбольная ")</f>
        <v> тойка волейбольная </v>
      </c>
    </row>
    <row r="2819">
      <c r="A2819" s="35" t="s">
        <v>6558</v>
      </c>
      <c r="B2819" s="31" t="s">
        <v>6559</v>
      </c>
      <c r="C2819" s="31"/>
      <c r="D2819" s="37" t="s">
        <v>14</v>
      </c>
      <c r="E2819" s="38">
        <v>1.0</v>
      </c>
      <c r="F2819" s="38">
        <v>45.0</v>
      </c>
      <c r="G2819" s="11">
        <v>33929.0</v>
      </c>
      <c r="H2819" s="34" t="str">
        <f>IFERROR(__xludf.DUMMYFUNCTION("LOWER(REGEXREPLACE(B2819&amp;"" ""&amp;C2819,""[^а-яa-z0-9 ]"","" ""))")," тойка волейбольная универсальная ")</f>
        <v> тойка волейбольная универсальная </v>
      </c>
    </row>
    <row r="2820">
      <c r="A2820" s="35" t="s">
        <v>6560</v>
      </c>
      <c r="B2820" s="31" t="s">
        <v>6561</v>
      </c>
      <c r="C2820" s="31"/>
      <c r="D2820" s="37" t="s">
        <v>14</v>
      </c>
      <c r="E2820" s="38">
        <v>1.0</v>
      </c>
      <c r="F2820" s="38">
        <v>36.0</v>
      </c>
      <c r="G2820" s="11">
        <v>33929.0</v>
      </c>
      <c r="H2820" s="34" t="str">
        <f>IFERROR(__xludf.DUMMYFUNCTION("LOWER(REGEXREPLACE(B2820&amp;"" ""&amp;C2820,""[^а-яa-z0-9 ]"","" ""))")," тойки волейбольные напольно пристенные ")</f>
        <v> тойки волейбольные напольно пристенные </v>
      </c>
    </row>
    <row r="2821">
      <c r="A2821" s="35" t="s">
        <v>6562</v>
      </c>
      <c r="B2821" s="31" t="s">
        <v>6563</v>
      </c>
      <c r="C2821" s="31"/>
      <c r="D2821" s="37" t="s">
        <v>14</v>
      </c>
      <c r="E2821" s="38">
        <v>1.0</v>
      </c>
      <c r="F2821" s="38">
        <v>45.0</v>
      </c>
      <c r="G2821" s="11">
        <v>41071.0</v>
      </c>
      <c r="H2821" s="34" t="str">
        <f>IFERROR(__xludf.DUMMYFUNCTION("LOWER(REGEXREPLACE(B2821&amp;"" ""&amp;C2821,""[^а-яa-z0-9 ]"","" ""))")," тойки волейбольные на растяжках ")</f>
        <v> тойки волейбольные на растяжках </v>
      </c>
    </row>
    <row r="2822">
      <c r="A2822" s="35" t="s">
        <v>6564</v>
      </c>
      <c r="B2822" s="31" t="s">
        <v>6565</v>
      </c>
      <c r="C2822" s="31" t="s">
        <v>6566</v>
      </c>
      <c r="D2822" s="37" t="s">
        <v>68</v>
      </c>
      <c r="E2822" s="38">
        <v>1.0</v>
      </c>
      <c r="F2822" s="38">
        <v>45.0</v>
      </c>
      <c r="G2822" s="11">
        <v>55546.0</v>
      </c>
      <c r="H2822" s="34" t="str">
        <f>IFERROR(__xludf.DUMMYFUNCTION("LOWER(REGEXREPLACE(B2822&amp;"" ""&amp;C2822,""[^а-яa-z0-9 ]"","" ""))"),"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специальным"&amp;"и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устанавливают"&amp;"ся стойки  ")</f>
        <v>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устанавливаются стойки  </v>
      </c>
    </row>
    <row r="2823">
      <c r="A2823" s="35" t="s">
        <v>6567</v>
      </c>
      <c r="B2823" s="31" t="s">
        <v>6568</v>
      </c>
      <c r="C2823" s="31" t="s">
        <v>6569</v>
      </c>
      <c r="D2823" s="37" t="s">
        <v>14</v>
      </c>
      <c r="E2823" s="38">
        <v>1.0</v>
      </c>
      <c r="F2823" s="38">
        <v>40.0</v>
      </c>
      <c r="G2823" s="11">
        <v>1756437.0</v>
      </c>
      <c r="H2823" s="34" t="str">
        <f>IFERROR(__xludf.DUMMYFUNCTION("LOWER(REGEXREPLACE(B2823&amp;"" ""&amp;C2823,""[^а-яa-z0-9 ]"","" ""))"),"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"&amp;"40 кг   ип защитного покрытия универсальных стоек  порошковая окраска")</f>
        <v>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40 кг   ип защитного покрытия универсальных стоек  порошковая окраска</v>
      </c>
    </row>
    <row r="2824">
      <c r="A2824" s="35" t="s">
        <v>6570</v>
      </c>
      <c r="B2824" s="31" t="s">
        <v>6571</v>
      </c>
      <c r="C2824" s="31" t="s">
        <v>6572</v>
      </c>
      <c r="D2824" s="37" t="s">
        <v>1478</v>
      </c>
      <c r="E2824" s="38">
        <v>2.0</v>
      </c>
      <c r="F2824" s="38">
        <v>67.0</v>
      </c>
      <c r="G2824" s="11">
        <v>490371.0</v>
      </c>
      <c r="H2824" s="34" t="str">
        <f>IFERROR(__xludf.DUMMYFUNCTION("LOWER(REGEXREPLACE(B2824&amp;"" ""&amp;C2824,""[^а-яa-z0-9 ]"","" ""))"),"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устанав"&amp;"ливаются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"&amp;"из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f>
        <v>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v>
      </c>
    </row>
    <row r="2825">
      <c r="A2825" s="35" t="s">
        <v>6573</v>
      </c>
      <c r="B2825" s="31" t="s">
        <v>6574</v>
      </c>
      <c r="C2825" s="31" t="s">
        <v>6575</v>
      </c>
      <c r="D2825" s="37" t="s">
        <v>14</v>
      </c>
      <c r="E2825" s="38">
        <v>2.0</v>
      </c>
      <c r="F2825" s="38">
        <v>26.0</v>
      </c>
      <c r="G2825" s="11">
        <v>380321.0</v>
      </c>
      <c r="H2825" s="34" t="str">
        <f>IFERROR(__xludf.DUMMYFUNCTION("LOWER(REGEXREPLACE(B2825&amp;"" ""&amp;C2825,""[^а-яa-z0-9 ]"","" ""))"),"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"&amp;"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транспортировоч"&amp;"ными колесиками для удобства перемещения   се детали тренажера для отработки блока окрашены порошковой краской ")</f>
        <v>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транспортировочными колесиками для удобства перемещения   се детали тренажера для отработки блока окрашены порошковой краской </v>
      </c>
    </row>
    <row r="2826">
      <c r="A2826" s="35" t="s">
        <v>6576</v>
      </c>
      <c r="B2826" s="9" t="s">
        <v>6577</v>
      </c>
      <c r="C2826" s="31" t="s">
        <v>6578</v>
      </c>
      <c r="D2826" s="37" t="s">
        <v>14</v>
      </c>
      <c r="E2826" s="38">
        <v>2.0</v>
      </c>
      <c r="F2826" s="38">
        <v>30.0</v>
      </c>
      <c r="G2826" s="11">
        <v>249543.0</v>
      </c>
      <c r="H2826" s="34" t="str">
        <f>IFERROR(__xludf.DUMMYFUNCTION("LOWER(REGEXREPLACE(B2826&amp;"" ""&amp;C2826,""[^а-яa-z0-9 ]"","" ""))"),"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з"&amp;"ависимости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f>
        <v>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v>
      </c>
    </row>
    <row r="2827">
      <c r="A2827" s="35" t="s">
        <v>6579</v>
      </c>
      <c r="B2827" s="31" t="s">
        <v>6580</v>
      </c>
      <c r="C2827" s="31" t="s">
        <v>6581</v>
      </c>
      <c r="D2827" s="37" t="s">
        <v>14</v>
      </c>
      <c r="E2827" s="38">
        <v>2.0</v>
      </c>
      <c r="F2827" s="38">
        <v>45.0</v>
      </c>
      <c r="G2827" s="11">
        <v>176604.0</v>
      </c>
      <c r="H2827" s="34" t="str">
        <f>IFERROR(__xludf.DUMMYFUNCTION("LOWER(REGEXREPLACE(B2827&amp;"" ""&amp;C2827,""[^а-яa-z0-9 ]"","" ""))"),"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вращающ"&amp;"иеся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f>
        <v>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v>
      </c>
    </row>
    <row r="2828">
      <c r="A2828" s="35" t="s">
        <v>6582</v>
      </c>
      <c r="B2828" s="31" t="s">
        <v>6583</v>
      </c>
      <c r="C2828" s="31" t="s">
        <v>6584</v>
      </c>
      <c r="D2828" s="37" t="s">
        <v>14</v>
      </c>
      <c r="E2828" s="38">
        <v>2.0</v>
      </c>
      <c r="F2828" s="38">
        <v>12.0</v>
      </c>
      <c r="G2828" s="11">
        <v>258595.0</v>
      </c>
      <c r="H2828" s="34" t="str">
        <f>IFERROR(__xludf.DUMMYFUNCTION("LOWER(REGEXREPLACE(B2828&amp;"" ""&amp;C2828,""[^а-яa-z0-9 ]"","" ""))"),"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для"&amp;" сохранения поверхности пола ")</f>
        <v>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 сохранения поверхности пола </v>
      </c>
    </row>
    <row r="2829">
      <c r="A2829" s="35" t="s">
        <v>6585</v>
      </c>
      <c r="B2829" s="31" t="s">
        <v>6586</v>
      </c>
      <c r="C2829" s="31" t="s">
        <v>6587</v>
      </c>
      <c r="D2829" s="37" t="s">
        <v>14</v>
      </c>
      <c r="E2829" s="38">
        <v>2.0</v>
      </c>
      <c r="F2829" s="38">
        <v>15.0</v>
      </c>
      <c r="G2829" s="11">
        <v>206898.0</v>
      </c>
      <c r="H2829" s="34" t="str">
        <f>IFERROR(__xludf.DUMMYFUNCTION("LOWER(REGEXREPLACE(B2829&amp;"" ""&amp;C2829,""[^а-яa-z0-9 ]"","" ""))"),"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тяжеле"&amp;"нное основание ")</f>
        <v>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тяжеленное основание </v>
      </c>
    </row>
    <row r="2830">
      <c r="A2830" s="35" t="s">
        <v>6588</v>
      </c>
      <c r="B2830" s="9" t="s">
        <v>6589</v>
      </c>
      <c r="C2830" s="31" t="s">
        <v>6590</v>
      </c>
      <c r="D2830" s="37" t="s">
        <v>14</v>
      </c>
      <c r="E2830" s="38">
        <v>2.0</v>
      </c>
      <c r="F2830" s="38">
        <v>18.0</v>
      </c>
      <c r="G2830" s="11">
        <v>760502.0</v>
      </c>
      <c r="H2830" s="34" t="str">
        <f>IFERROR(__xludf.DUMMYFUNCTION("LOWER(REGEXREPLACE(B2830&amp;"" ""&amp;C2830,""[^а-яa-z0-9 ]"","" ""))"),"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безузл"&amp;"овая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f>
        <v>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v>
      </c>
    </row>
    <row r="2831">
      <c r="A2831" s="35" t="s">
        <v>6591</v>
      </c>
      <c r="B2831" s="31" t="s">
        <v>6592</v>
      </c>
      <c r="C2831" s="31"/>
      <c r="D2831" s="37" t="s">
        <v>14</v>
      </c>
      <c r="E2831" s="10"/>
      <c r="F2831" s="36"/>
      <c r="G2831" s="11"/>
      <c r="H2831" s="34" t="str">
        <f>IFERROR(__xludf.DUMMYFUNCTION("LOWER(REGEXREPLACE(B2831&amp;"" ""&amp;C2831,""[^а-яa-z0-9 ]"","" ""))")," русья ")</f>
        <v> русья </v>
      </c>
    </row>
    <row r="2832">
      <c r="A2832" s="35" t="s">
        <v>6593</v>
      </c>
      <c r="B2832" s="31" t="s">
        <v>6594</v>
      </c>
      <c r="C2832" s="31" t="s">
        <v>6595</v>
      </c>
      <c r="D2832" s="37" t="s">
        <v>14</v>
      </c>
      <c r="E2832" s="38">
        <v>1.0</v>
      </c>
      <c r="F2832" s="38">
        <v>170.0</v>
      </c>
      <c r="G2832" s="11">
        <v>178661.0</v>
      </c>
      <c r="H2832" s="34" t="str">
        <f>IFERROR(__xludf.DUMMYFUNCTION("LOWER(REGEXREPLACE(B2832&amp;"" ""&amp;C2832,""[^а-яa-z0-9 ]"","" ""))")," русья параллельные мужские  атериал жерди дерево с металлическим стержнем   ерди в них расположены параллельно друг другу ")</f>
        <v> русья параллельные мужские  атериал жерди дерево с металлическим стержнем   ерди в них расположены параллельно друг другу </v>
      </c>
    </row>
    <row r="2833">
      <c r="A2833" s="35" t="s">
        <v>6596</v>
      </c>
      <c r="B2833" s="31" t="s">
        <v>6597</v>
      </c>
      <c r="C2833" s="31"/>
      <c r="D2833" s="37" t="s">
        <v>14</v>
      </c>
      <c r="E2833" s="38">
        <v>1.0</v>
      </c>
      <c r="F2833" s="38">
        <v>170.0</v>
      </c>
      <c r="G2833" s="11">
        <v>107143.0</v>
      </c>
      <c r="H2833" s="34" t="str">
        <f>IFERROR(__xludf.DUMMYFUNCTION("LOWER(REGEXREPLACE(B2833&amp;"" ""&amp;C2833,""[^а-яa-z0-9 ]"","" ""))")," русья гимнастические мужские ")</f>
        <v> русья гимнастические мужские </v>
      </c>
    </row>
    <row r="2834">
      <c r="A2834" s="35" t="s">
        <v>6598</v>
      </c>
      <c r="B2834" s="31" t="s">
        <v>6599</v>
      </c>
      <c r="C2834" s="31" t="s">
        <v>6600</v>
      </c>
      <c r="D2834" s="37" t="s">
        <v>14</v>
      </c>
      <c r="E2834" s="38">
        <v>1.0</v>
      </c>
      <c r="F2834" s="38">
        <v>90.0</v>
      </c>
      <c r="G2834" s="11">
        <v>137782.0</v>
      </c>
      <c r="H2834" s="34" t="str">
        <f>IFERROR(__xludf.DUMMYFUNCTION("LOWER(REGEXREPLACE(B2834&amp;"" ""&amp;C2834,""[^а-яa-z0-9 ]"","" ""))")," русья разновысокие женские  ерди  перекладины    клееная древесина со стальным сердечником  стойки   металл ")</f>
        <v> русья разновысокие женские  ерди  перекладины    клееная древесина со стальным сердечником  стойки   металл </v>
      </c>
    </row>
    <row r="2835">
      <c r="A2835" s="35" t="s">
        <v>6601</v>
      </c>
      <c r="B2835" s="31" t="s">
        <v>6602</v>
      </c>
      <c r="C2835" s="31" t="s">
        <v>6603</v>
      </c>
      <c r="D2835" s="37" t="s">
        <v>14</v>
      </c>
      <c r="E2835" s="38">
        <v>2.0</v>
      </c>
      <c r="F2835" s="38">
        <v>160.0</v>
      </c>
      <c r="G2835" s="11">
        <v>587701.0</v>
      </c>
      <c r="H2835" s="34" t="str">
        <f>IFERROR(__xludf.DUMMYFUNCTION("LOWER(REGEXREPLACE(B2835&amp;"" ""&amp;C2835,""[^а-яa-z0-9 ]"","" ""))"),"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f>
        <v>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v>
      </c>
    </row>
    <row r="2836">
      <c r="A2836" s="35" t="s">
        <v>6604</v>
      </c>
      <c r="B2836" s="31" t="s">
        <v>6605</v>
      </c>
      <c r="C2836" s="31" t="s">
        <v>6606</v>
      </c>
      <c r="D2836" s="37" t="s">
        <v>14</v>
      </c>
      <c r="E2836" s="38">
        <v>2.0</v>
      </c>
      <c r="F2836" s="38">
        <v>80.0</v>
      </c>
      <c r="G2836" s="11">
        <v>887456.0</v>
      </c>
      <c r="H2836" s="34" t="str">
        <f>IFERROR(__xludf.DUMMYFUNCTION("LOWER(REGEXREPLACE(B2836&amp;"" ""&amp;C2836,""[^а-яa-z0-9 ]"","" ""))"),"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точк"&amp;"ами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"&amp;"1200  мм   шагом 25 мм от 1200 до 1400 мм ")</f>
        <v>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1200  мм   шагом 25 мм от 1200 до 1400 мм </v>
      </c>
    </row>
    <row r="2837">
      <c r="A2837" s="35" t="s">
        <v>6607</v>
      </c>
      <c r="B2837" s="31" t="s">
        <v>6608</v>
      </c>
      <c r="C2837" s="31"/>
      <c r="D2837" s="37" t="s">
        <v>14</v>
      </c>
      <c r="E2837" s="10"/>
      <c r="F2837" s="36"/>
      <c r="G2837" s="11"/>
      <c r="H2837" s="34" t="str">
        <f>IFERROR(__xludf.DUMMYFUNCTION("LOWER(REGEXREPLACE(B2837&amp;"" ""&amp;C2837,""[^а-яa-z0-9 ]"","" ""))")," удейская вышка ")</f>
        <v> удейская вышка </v>
      </c>
    </row>
    <row r="2838">
      <c r="A2838" s="35" t="s">
        <v>6609</v>
      </c>
      <c r="B2838" s="31" t="s">
        <v>6610</v>
      </c>
      <c r="C2838" s="31"/>
      <c r="D2838" s="37" t="s">
        <v>14</v>
      </c>
      <c r="E2838" s="38">
        <v>1.0</v>
      </c>
      <c r="F2838" s="38">
        <v>55.0</v>
      </c>
      <c r="G2838" s="11">
        <v>50000.0</v>
      </c>
      <c r="H2838" s="34" t="str">
        <f>IFERROR(__xludf.DUMMYFUNCTION("LOWER(REGEXREPLACE(B2838&amp;"" ""&amp;C2838,""[^а-яa-z0-9 ]"","" ""))")," ышка судейская ")</f>
        <v> ышка судейская </v>
      </c>
    </row>
    <row r="2839">
      <c r="A2839" s="35" t="s">
        <v>6611</v>
      </c>
      <c r="B2839" s="9" t="s">
        <v>6612</v>
      </c>
      <c r="C2839" s="31" t="s">
        <v>6613</v>
      </c>
      <c r="D2839" s="37" t="s">
        <v>14</v>
      </c>
      <c r="E2839" s="38">
        <v>1.0</v>
      </c>
      <c r="F2839" s="38">
        <v>55.0</v>
      </c>
      <c r="G2839" s="11">
        <v>93248.0</v>
      </c>
      <c r="H2839" s="34" t="str">
        <f>IFERROR(__xludf.DUMMYFUNCTION("LOWER(REGEXREPLACE(B2839&amp;"" ""&amp;C2839,""[^а-яa-z0-9 ]"","" ""))"),"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в"&amp;"ысота протектора   2 м   порная площадка выполнена из окрашенной фанеры   бщая высота вышки составляет 2500 мм  а ширина стойки   750 мм ")</f>
        <v>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высота протектора   2 м   порная площадка выполнена из окрашенной фанеры   бщая высота вышки составляет 2500 мм  а ширина стойки   750 мм </v>
      </c>
    </row>
    <row r="2840">
      <c r="A2840" s="35" t="s">
        <v>6614</v>
      </c>
      <c r="B2840" s="31" t="s">
        <v>6615</v>
      </c>
      <c r="C2840" s="31" t="s">
        <v>6616</v>
      </c>
      <c r="D2840" s="37" t="s">
        <v>14</v>
      </c>
      <c r="E2840" s="38">
        <v>2.0</v>
      </c>
      <c r="F2840" s="38">
        <v>30.0</v>
      </c>
      <c r="G2840" s="11">
        <v>196823.0</v>
      </c>
      <c r="H2840" s="34" t="str">
        <f>IFERROR(__xludf.DUMMYFUNCTION("LOWER(REGEXREPLACE(B2840&amp;"" ""&amp;C2840,""[^а-яa-z0-9 ]"","" ""))"),"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к"&amp;"оторые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подлокотн"&amp;"ики   ля удобства передвижения установлены колеса   ластиковое сиденье размеры  высота спинки 320мм  ширина сидения 430мм  длина сидения 400мм")</f>
        <v>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подлокотники   ля удобства передвижения установлены колеса   ластиковое сиденье размеры  высота спинки 320мм  ширина сидения 430мм  длина сидения 400мм</v>
      </c>
    </row>
    <row r="2841">
      <c r="A2841" s="35" t="s">
        <v>6617</v>
      </c>
      <c r="B2841" s="9" t="s">
        <v>6618</v>
      </c>
      <c r="C2841" s="31" t="s">
        <v>6619</v>
      </c>
      <c r="D2841" s="37" t="s">
        <v>14</v>
      </c>
      <c r="E2841" s="38">
        <v>2.0</v>
      </c>
      <c r="F2841" s="38">
        <v>50.0</v>
      </c>
      <c r="G2841" s="11">
        <v>607212.0</v>
      </c>
      <c r="H2841" s="34" t="str">
        <f>IFERROR(__xludf.DUMMYFUNCTION("LOWER(REGEXREPLACE(B2841&amp;"" ""&amp;C2841,""[^а-яa-z0-9 ]"","" ""))"),"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профил"&amp;"я  окрашен методом порошкового напыления   порная площадка выполнена из окрашенной фанеры   бщая высота конструкции    2500 мм  ширина 750 мм ")</f>
        <v>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профиля  окрашен методом порошкового напыления   порная площадка выполнена из окрашенной фанеры   бщая высота конструкции    2500 мм  ширина 750 мм </v>
      </c>
    </row>
    <row r="2842">
      <c r="A2842" s="35" t="s">
        <v>6620</v>
      </c>
      <c r="B2842" s="31" t="s">
        <v>6621</v>
      </c>
      <c r="C2842" s="31" t="s">
        <v>6622</v>
      </c>
      <c r="D2842" s="37" t="s">
        <v>14</v>
      </c>
      <c r="E2842" s="38">
        <v>2.0</v>
      </c>
      <c r="F2842" s="38">
        <v>15.0</v>
      </c>
      <c r="G2842" s="11">
        <v>198370.0</v>
      </c>
      <c r="H2842" s="34" t="str">
        <f>IFERROR(__xludf.DUMMYFUNCTION("LOWER(REGEXREPLACE(B2842&amp;"" ""&amp;C2842,""[^а-яa-z0-9 ]"","" ""))"),"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древесного"&amp;"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f>
        <v>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v>
      </c>
    </row>
    <row r="2843">
      <c r="A2843" s="35" t="s">
        <v>6623</v>
      </c>
      <c r="B2843" s="31" t="s">
        <v>6624</v>
      </c>
      <c r="C2843" s="31" t="s">
        <v>6625</v>
      </c>
      <c r="D2843" s="37" t="s">
        <v>14</v>
      </c>
      <c r="E2843" s="38">
        <v>2.0</v>
      </c>
      <c r="F2843" s="38">
        <v>25.0</v>
      </c>
      <c r="G2843" s="11">
        <v>145593.0</v>
      </c>
      <c r="H2843" s="34" t="str">
        <f>IFERROR(__xludf.DUMMYFUNCTION("LOWER(REGEXREPLACE(B2843&amp;"" ""&amp;C2843,""[^а-яa-z0-9 ]"","" ""))"),"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березо"&amp;"вой фанеры  толщиной не менее 18 мм   абариты  высота стола   700 мм  габариты 550х1200 мм")</f>
        <v>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березовой фанеры  толщиной не менее 18 мм   абариты  высота стола   700 мм  габариты 550х1200 мм</v>
      </c>
    </row>
    <row r="2844">
      <c r="A2844" s="35" t="s">
        <v>6626</v>
      </c>
      <c r="B2844" s="31" t="s">
        <v>6627</v>
      </c>
      <c r="C2844" s="31"/>
      <c r="D2844" s="37" t="s">
        <v>14</v>
      </c>
      <c r="E2844" s="10"/>
      <c r="F2844" s="36"/>
      <c r="G2844" s="11"/>
      <c r="H2844" s="34" t="str">
        <f>IFERROR(__xludf.DUMMYFUNCTION("LOWER(REGEXREPLACE(B2844&amp;"" ""&amp;C2844,""[^а-яa-z0-9 ]"","" ""))")," егкоатлетическая дорожка ")</f>
        <v> егкоатлетическая дорожка </v>
      </c>
    </row>
    <row r="2845">
      <c r="A2845" s="35" t="s">
        <v>6628</v>
      </c>
      <c r="B2845" s="31" t="s">
        <v>6629</v>
      </c>
      <c r="C2845" s="31" t="s">
        <v>6630</v>
      </c>
      <c r="D2845" s="37" t="s">
        <v>14</v>
      </c>
      <c r="E2845" s="38">
        <v>2.0</v>
      </c>
      <c r="F2845" s="38">
        <v>30.0</v>
      </c>
      <c r="G2845" s="11">
        <v>109587.0</v>
      </c>
      <c r="H2845" s="34" t="str">
        <f>IFERROR(__xludf.DUMMYFUNCTION("LOWER(REGEXREPLACE(B2845&amp;"" ""&amp;C2845,""[^а-яa-z0-9 ]"","" ""))"),"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f>
        <v>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v>
      </c>
    </row>
    <row r="2846">
      <c r="A2846" s="35" t="s">
        <v>6631</v>
      </c>
      <c r="B2846" s="31" t="s">
        <v>6632</v>
      </c>
      <c r="C2846" s="31"/>
      <c r="D2846" s="37" t="s">
        <v>14</v>
      </c>
      <c r="E2846" s="38">
        <v>2.0</v>
      </c>
      <c r="F2846" s="38">
        <v>1.0</v>
      </c>
      <c r="G2846" s="11">
        <v>5582.0</v>
      </c>
      <c r="H2846" s="34" t="str">
        <f>IFERROR(__xludf.DUMMYFUNCTION("LOWER(REGEXREPLACE(B2846&amp;"" ""&amp;C2846,""[^а-яa-z0-9 ]"","" ""))")," дро для толкания  1 кг  материал изготовления  чугун ")</f>
        <v> дро для толкания  1 кг  материал изготовления  чугун </v>
      </c>
    </row>
    <row r="2847">
      <c r="A2847" s="35" t="s">
        <v>6633</v>
      </c>
      <c r="B2847" s="31" t="s">
        <v>6634</v>
      </c>
      <c r="C2847" s="31"/>
      <c r="D2847" s="37" t="s">
        <v>14</v>
      </c>
      <c r="E2847" s="38">
        <v>2.0</v>
      </c>
      <c r="F2847" s="38">
        <v>2.0</v>
      </c>
      <c r="G2847" s="11">
        <v>5586.0</v>
      </c>
      <c r="H2847" s="34" t="str">
        <f>IFERROR(__xludf.DUMMYFUNCTION("LOWER(REGEXREPLACE(B2847&amp;"" ""&amp;C2847,""[^а-яa-z0-9 ]"","" ""))")," дро для толкания  2 кг  материал изготовления  чугун ")</f>
        <v> дро для толкания  2 кг  материал изготовления  чугун </v>
      </c>
    </row>
    <row r="2848">
      <c r="A2848" s="35" t="s">
        <v>6635</v>
      </c>
      <c r="B2848" s="31" t="s">
        <v>6636</v>
      </c>
      <c r="C2848" s="31"/>
      <c r="D2848" s="37" t="s">
        <v>14</v>
      </c>
      <c r="E2848" s="38">
        <v>2.0</v>
      </c>
      <c r="F2848" s="38">
        <v>3.0</v>
      </c>
      <c r="G2848" s="11">
        <v>7759.0</v>
      </c>
      <c r="H2848" s="34" t="str">
        <f>IFERROR(__xludf.DUMMYFUNCTION("LOWER(REGEXREPLACE(B2848&amp;"" ""&amp;C2848,""[^а-яa-z0-9 ]"","" ""))")," дро для толкания  3 кг  материал изготовления  чугун ")</f>
        <v> дро для толкания  3 кг  материал изготовления  чугун </v>
      </c>
    </row>
    <row r="2849">
      <c r="A2849" s="35" t="s">
        <v>6637</v>
      </c>
      <c r="B2849" s="31" t="s">
        <v>6638</v>
      </c>
      <c r="C2849" s="31"/>
      <c r="D2849" s="37" t="s">
        <v>14</v>
      </c>
      <c r="E2849" s="38">
        <v>2.0</v>
      </c>
      <c r="F2849" s="38">
        <v>4.0</v>
      </c>
      <c r="G2849" s="11">
        <v>10861.0</v>
      </c>
      <c r="H2849" s="34" t="str">
        <f>IFERROR(__xludf.DUMMYFUNCTION("LOWER(REGEXREPLACE(B2849&amp;"" ""&amp;C2849,""[^а-яa-z0-9 ]"","" ""))")," дро для толкания  4 кг  материал изготовления  чугун ")</f>
        <v> дро для толкания  4 кг  материал изготовления  чугун </v>
      </c>
    </row>
    <row r="2850">
      <c r="A2850" s="35" t="s">
        <v>6639</v>
      </c>
      <c r="B2850" s="31" t="s">
        <v>6640</v>
      </c>
      <c r="C2850" s="31"/>
      <c r="D2850" s="37" t="s">
        <v>14</v>
      </c>
      <c r="E2850" s="38">
        <v>2.0</v>
      </c>
      <c r="F2850" s="38">
        <v>5.0</v>
      </c>
      <c r="G2850" s="11">
        <v>12415.0</v>
      </c>
      <c r="H2850" s="34" t="str">
        <f>IFERROR(__xludf.DUMMYFUNCTION("LOWER(REGEXREPLACE(B2850&amp;"" ""&amp;C2850,""[^а-яa-z0-9 ]"","" ""))")," дро для толкания  5 кг  материал изготовления  чугун ")</f>
        <v> дро для толкания  5 кг  материал изготовления  чугун </v>
      </c>
    </row>
    <row r="2851">
      <c r="A2851" s="35" t="s">
        <v>6641</v>
      </c>
      <c r="B2851" s="31" t="s">
        <v>6642</v>
      </c>
      <c r="C2851" s="31"/>
      <c r="D2851" s="37" t="s">
        <v>14</v>
      </c>
      <c r="E2851" s="38">
        <v>2.0</v>
      </c>
      <c r="F2851" s="38">
        <v>6.0</v>
      </c>
      <c r="G2851" s="11">
        <v>14898.0</v>
      </c>
      <c r="H2851" s="34" t="str">
        <f>IFERROR(__xludf.DUMMYFUNCTION("LOWER(REGEXREPLACE(B2851&amp;"" ""&amp;C2851,""[^а-яa-z0-9 ]"","" ""))")," дро для толкания  6 кг  материал изготовления  чугун ")</f>
        <v> дро для толкания  6 кг  материал изготовления  чугун </v>
      </c>
    </row>
    <row r="2852">
      <c r="A2852" s="35" t="s">
        <v>6643</v>
      </c>
      <c r="B2852" s="31" t="s">
        <v>6644</v>
      </c>
      <c r="C2852" s="31"/>
      <c r="D2852" s="37" t="s">
        <v>14</v>
      </c>
      <c r="E2852" s="38">
        <v>2.0</v>
      </c>
      <c r="F2852" s="40">
        <v>7.26</v>
      </c>
      <c r="G2852" s="11">
        <v>18311.0</v>
      </c>
      <c r="H2852" s="34" t="str">
        <f>IFERROR(__xludf.DUMMYFUNCTION("LOWER(REGEXREPLACE(B2852&amp;"" ""&amp;C2852,""[^а-яa-z0-9 ]"","" ""))")," дро для толкания  7 26 кг  материал изготовления  чугун ")</f>
        <v> дро для толкания  7 26 кг  материал изготовления  чугун </v>
      </c>
    </row>
    <row r="2853">
      <c r="A2853" s="35" t="s">
        <v>6645</v>
      </c>
      <c r="B2853" s="31" t="s">
        <v>6646</v>
      </c>
      <c r="C2853" s="31"/>
      <c r="D2853" s="37" t="s">
        <v>14</v>
      </c>
      <c r="E2853" s="10"/>
      <c r="F2853" s="36"/>
      <c r="G2853" s="11"/>
      <c r="H2853" s="34" t="str">
        <f>IFERROR(__xludf.DUMMYFUNCTION("LOWER(REGEXREPLACE(B2853&amp;"" ""&amp;C2853,""[^а-яa-z0-9 ]"","" ""))")," екундомер ")</f>
        <v> екундомер </v>
      </c>
    </row>
    <row r="2854">
      <c r="A2854" s="35" t="s">
        <v>6647</v>
      </c>
      <c r="B2854" s="31" t="s">
        <v>6648</v>
      </c>
      <c r="C2854" s="31" t="s">
        <v>6649</v>
      </c>
      <c r="D2854" s="37" t="s">
        <v>14</v>
      </c>
      <c r="E2854" s="38">
        <v>1.0</v>
      </c>
      <c r="F2854" s="40">
        <v>0.09</v>
      </c>
      <c r="G2854" s="11">
        <v>26203.0</v>
      </c>
      <c r="H2854" s="34" t="str">
        <f>IFERROR(__xludf.DUMMYFUNCTION("LOWER(REGEXREPLACE(B2854&amp;"" ""&amp;C2854,""[^а-яa-z0-9 ]"","" ""))"),"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f>
        <v>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v>
      </c>
    </row>
    <row r="2855">
      <c r="A2855" s="35" t="s">
        <v>6650</v>
      </c>
      <c r="B2855" s="9" t="s">
        <v>6651</v>
      </c>
      <c r="C2855" s="31"/>
      <c r="D2855" s="37" t="s">
        <v>14</v>
      </c>
      <c r="E2855" s="38">
        <v>1.0</v>
      </c>
      <c r="F2855" s="42">
        <v>0.045</v>
      </c>
      <c r="G2855" s="11">
        <v>2583.0</v>
      </c>
      <c r="H2855" s="34" t="str">
        <f>IFERROR(__xludf.DUMMYFUNCTION("LOWER(REGEXREPLACE(B2855&amp;"" ""&amp;C2855,""[^а-яa-z0-9 ]"","" ""))")," екундомер цифровой   тображает часы  минуты  секунды        индикатор  месяц и день недели   атериал      пластик   очность  0 01сек ")</f>
        <v> екундомер цифровой   тображает часы  минуты  секунды        индикатор  месяц и день недели   атериал      пластик   очность  0 01сек </v>
      </c>
    </row>
    <row r="2856">
      <c r="A2856" s="35" t="s">
        <v>6652</v>
      </c>
      <c r="B2856" s="31" t="s">
        <v>6653</v>
      </c>
      <c r="C2856" s="31" t="s">
        <v>6654</v>
      </c>
      <c r="D2856" s="37" t="s">
        <v>14</v>
      </c>
      <c r="E2856" s="38">
        <v>2.0</v>
      </c>
      <c r="F2856" s="40">
        <v>0.38</v>
      </c>
      <c r="G2856" s="11">
        <v>5627.0</v>
      </c>
      <c r="H2856" s="34" t="str">
        <f>IFERROR(__xludf.DUMMYFUNCTION("LOWER(REGEXREPLACE(B2856&amp;"" ""&amp;C2856,""[^а-яa-z0-9 ]"","" ""))"),"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f>
        <v>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v>
      </c>
    </row>
    <row r="2857">
      <c r="A2857" s="35" t="s">
        <v>6655</v>
      </c>
      <c r="B2857" s="31" t="s">
        <v>6656</v>
      </c>
      <c r="C2857" s="31"/>
      <c r="D2857" s="37" t="s">
        <v>14</v>
      </c>
      <c r="E2857" s="38">
        <v>1.0</v>
      </c>
      <c r="F2857" s="39">
        <v>0.2</v>
      </c>
      <c r="G2857" s="11">
        <v>714.0</v>
      </c>
      <c r="H2857" s="34" t="str">
        <f>IFERROR(__xludf.DUMMYFUNCTION("LOWER(REGEXREPLACE(B2857&amp;"" ""&amp;C2857,""[^а-яa-z0-9 ]"","" ""))")," алочка эстафетная ")</f>
        <v> алочка эстафетная </v>
      </c>
    </row>
    <row r="2858">
      <c r="A2858" s="35" t="s">
        <v>6657</v>
      </c>
      <c r="B2858" s="31" t="s">
        <v>6658</v>
      </c>
      <c r="C2858" s="31"/>
      <c r="D2858" s="37" t="s">
        <v>14</v>
      </c>
      <c r="E2858" s="10"/>
      <c r="F2858" s="36"/>
      <c r="G2858" s="11"/>
      <c r="H2858" s="34" t="str">
        <f>IFERROR(__xludf.DUMMYFUNCTION("LOWER(REGEXREPLACE(B2858&amp;"" ""&amp;C2858,""[^а-яa-z0-9 ]"","" ""))")," ревно гимнастическое ")</f>
        <v> ревно гимнастическое </v>
      </c>
    </row>
    <row r="2859">
      <c r="A2859" s="35" t="s">
        <v>6659</v>
      </c>
      <c r="B2859" s="31" t="s">
        <v>6660</v>
      </c>
      <c r="C2859" s="31" t="s">
        <v>6661</v>
      </c>
      <c r="D2859" s="37" t="s">
        <v>14</v>
      </c>
      <c r="E2859" s="38">
        <v>1.0</v>
      </c>
      <c r="F2859" s="38">
        <v>20.0</v>
      </c>
      <c r="G2859" s="11">
        <v>20982.0</v>
      </c>
      <c r="H2859" s="34" t="str">
        <f>IFERROR(__xludf.DUMMYFUNCTION("LOWER(REGEXREPLACE(B2859&amp;"" ""&amp;C2859,""[^а-яa-z0-9 ]"","" ""))")," ревно гимнастическое напольное 3м  ревно напольное  длина 3000мм")</f>
        <v> ревно гимнастическое напольное 3м  ревно напольное  длина 3000мм</v>
      </c>
    </row>
    <row r="2860">
      <c r="A2860" s="35" t="s">
        <v>6662</v>
      </c>
      <c r="B2860" s="31" t="s">
        <v>6663</v>
      </c>
      <c r="C2860" s="31"/>
      <c r="D2860" s="37" t="s">
        <v>14</v>
      </c>
      <c r="E2860" s="38">
        <v>1.0</v>
      </c>
      <c r="F2860" s="38">
        <v>22.0</v>
      </c>
      <c r="G2860" s="11">
        <v>33036.0</v>
      </c>
      <c r="H2860" s="34" t="str">
        <f>IFERROR(__xludf.DUMMYFUNCTION("LOWER(REGEXREPLACE(B2860&amp;"" ""&amp;C2860,""[^а-яa-z0-9 ]"","" ""))")," ревно гимнастическое напольное 5м ")</f>
        <v> ревно гимнастическое напольное 5м </v>
      </c>
    </row>
    <row r="2861">
      <c r="A2861" s="35" t="s">
        <v>6664</v>
      </c>
      <c r="B2861" s="9" t="s">
        <v>6665</v>
      </c>
      <c r="C2861" s="31" t="s">
        <v>6666</v>
      </c>
      <c r="D2861" s="37" t="s">
        <v>14</v>
      </c>
      <c r="E2861" s="38">
        <v>2.0</v>
      </c>
      <c r="F2861" s="38">
        <v>15.0</v>
      </c>
      <c r="G2861" s="11">
        <v>131368.0</v>
      </c>
      <c r="H2861" s="34" t="str">
        <f>IFERROR(__xludf.DUMMYFUNCTION("LOWER(REGEXREPLACE(B2861&amp;"" ""&amp;C2861,""[^а-яa-z0-9 ]"","" ""))"),"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мм"&amp;" ")</f>
        <v>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 </v>
      </c>
    </row>
    <row r="2862">
      <c r="A2862" s="35" t="s">
        <v>6667</v>
      </c>
      <c r="B2862" s="9" t="s">
        <v>6668</v>
      </c>
      <c r="C2862" s="31" t="s">
        <v>6669</v>
      </c>
      <c r="D2862" s="37" t="s">
        <v>14</v>
      </c>
      <c r="E2862" s="38">
        <v>2.0</v>
      </c>
      <c r="F2862" s="38">
        <v>20.0</v>
      </c>
      <c r="G2862" s="11">
        <v>178641.0</v>
      </c>
      <c r="H2862" s="34" t="str">
        <f>IFERROR(__xludf.DUMMYFUNCTION("LOWER(REGEXREPLACE(B2862&amp;"" ""&amp;C2862,""[^а-яa-z0-9 ]"","" ""))"),"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"&amp;" не менее 100 мм   ысота не менее 150 мм ")</f>
        <v>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не менее 100 мм   ысота не менее 150 мм </v>
      </c>
    </row>
    <row r="2863">
      <c r="A2863" s="35" t="s">
        <v>6670</v>
      </c>
      <c r="B2863" s="9" t="s">
        <v>6671</v>
      </c>
      <c r="C2863" s="31" t="s">
        <v>6672</v>
      </c>
      <c r="D2863" s="37" t="s">
        <v>14</v>
      </c>
      <c r="E2863" s="38">
        <v>2.0</v>
      </c>
      <c r="F2863" s="39">
        <v>46.5</v>
      </c>
      <c r="G2863" s="11">
        <v>288224.0</v>
      </c>
      <c r="H2863" s="34" t="str">
        <f>IFERROR(__xludf.DUMMYFUNCTION("LOWER(REGEXREPLACE(B2863&amp;"" ""&amp;C2863,""[^а-яa-z0-9 ]"","" ""))"),"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н"&amp;"е менее 130 мм   ирина рабочей поверхности  не менее 100 мм   ысота не менее 150 мм ")</f>
        <v>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не менее 130 мм   ирина рабочей поверхности  не менее 100 мм   ысота не менее 150 мм </v>
      </c>
    </row>
    <row r="2864">
      <c r="A2864" s="35" t="s">
        <v>6673</v>
      </c>
      <c r="B2864" s="9" t="s">
        <v>6674</v>
      </c>
      <c r="C2864" s="31" t="s">
        <v>6675</v>
      </c>
      <c r="D2864" s="37" t="s">
        <v>14</v>
      </c>
      <c r="E2864" s="38">
        <v>2.0</v>
      </c>
      <c r="F2864" s="38">
        <v>40.0</v>
      </c>
      <c r="G2864" s="11">
        <v>181640.0</v>
      </c>
      <c r="H2864" s="34" t="str">
        <f>IFERROR(__xludf.DUMMYFUNCTION("LOWER(REGEXREPLACE(B2864&amp;"" ""&amp;C2864,""[^а-яa-z0-9 ]"","" ""))"),"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сл"&amp;"оя    азмеры   лина  3000 мм   ирина бруса  130 мм   ирина рабочей поверхности  100 мм   ысота 800 мм ")</f>
        <v>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800 мм </v>
      </c>
    </row>
    <row r="2865">
      <c r="A2865" s="35" t="s">
        <v>6676</v>
      </c>
      <c r="B2865" s="9" t="s">
        <v>6677</v>
      </c>
      <c r="C2865" s="31" t="s">
        <v>6678</v>
      </c>
      <c r="D2865" s="37" t="s">
        <v>14</v>
      </c>
      <c r="E2865" s="38">
        <v>2.0</v>
      </c>
      <c r="F2865" s="38">
        <v>47.0</v>
      </c>
      <c r="G2865" s="11">
        <v>193376.0</v>
      </c>
      <c r="H2865" s="34" t="str">
        <f>IFERROR(__xludf.DUMMYFUNCTION("LOWER(REGEXREPLACE(B2865&amp;"" ""&amp;C2865,""[^а-яa-z0-9 ]"","" ""))"),"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лаком"&amp;" в два слоя    азмеры   лина  3000 мм   ирина бруса  130 мм   ирина рабочей поверхности  100 мм   ысота 1200 мм ")</f>
        <v>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1200 мм </v>
      </c>
    </row>
    <row r="2866">
      <c r="A2866" s="35" t="s">
        <v>6679</v>
      </c>
      <c r="B2866" s="9" t="s">
        <v>6680</v>
      </c>
      <c r="C2866" s="31" t="s">
        <v>6681</v>
      </c>
      <c r="D2866" s="37" t="s">
        <v>14</v>
      </c>
      <c r="E2866" s="38">
        <v>2.0</v>
      </c>
      <c r="F2866" s="38">
        <v>53.0</v>
      </c>
      <c r="G2866" s="11">
        <v>284539.0</v>
      </c>
      <c r="H2866" s="34" t="str">
        <f>IFERROR(__xludf.DUMMYFUNCTION("LOWER(REGEXREPLACE(B2866&amp;"" ""&amp;C2866,""[^а-яa-z0-9 ]"","" ""))"),"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"&amp;"два слоя   азмеры   лина  5000 мм   ирина бруса  130 мм   ирина рабочей поверхности  100 мм   ысота 800 мм ")</f>
        <v>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два слоя   азмеры   лина  5000 мм   ирина бруса  130 мм   ирина рабочей поверхности  100 мм   ысота 800 мм </v>
      </c>
    </row>
    <row r="2867">
      <c r="A2867" s="35" t="s">
        <v>6682</v>
      </c>
      <c r="B2867" s="31" t="s">
        <v>6683</v>
      </c>
      <c r="C2867" s="31" t="s">
        <v>6684</v>
      </c>
      <c r="D2867" s="37" t="s">
        <v>14</v>
      </c>
      <c r="E2867" s="38">
        <v>2.0</v>
      </c>
      <c r="F2867" s="38">
        <v>60.0</v>
      </c>
      <c r="G2867" s="11">
        <v>296098.0</v>
      </c>
      <c r="H2867" s="34" t="str">
        <f>IFERROR(__xludf.DUMMYFUNCTION("LOWER(REGEXREPLACE(B2867&amp;"" ""&amp;C2867,""[^а-яa-z0-9 ]"","" ""))"),"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f>
        <v>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v>
      </c>
    </row>
    <row r="2868">
      <c r="A2868" s="35" t="s">
        <v>6685</v>
      </c>
      <c r="B2868" s="31" t="s">
        <v>6686</v>
      </c>
      <c r="C2868" s="31" t="s">
        <v>6687</v>
      </c>
      <c r="D2868" s="37" t="s">
        <v>14</v>
      </c>
      <c r="E2868" s="38">
        <v>2.0</v>
      </c>
      <c r="F2868" s="38">
        <v>50.0</v>
      </c>
      <c r="G2868" s="11">
        <v>226248.0</v>
      </c>
      <c r="H2868" s="34" t="str">
        <f>IFERROR(__xludf.DUMMYFUNCTION("LOWER(REGEXREPLACE(B2868&amp;"" ""&amp;C2868,""[^а-яa-z0-9 ]"","" ""))"),"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f>
        <v>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v>
      </c>
    </row>
    <row r="2869">
      <c r="A2869" s="35" t="s">
        <v>6688</v>
      </c>
      <c r="B2869" s="9" t="s">
        <v>6689</v>
      </c>
      <c r="C2869" s="31" t="s">
        <v>6690</v>
      </c>
      <c r="D2869" s="37" t="s">
        <v>14</v>
      </c>
      <c r="E2869" s="38">
        <v>2.0</v>
      </c>
      <c r="F2869" s="38">
        <v>57.0</v>
      </c>
      <c r="G2869" s="11">
        <v>350963.0</v>
      </c>
      <c r="H2869" s="34" t="str">
        <f>IFERROR(__xludf.DUMMYFUNCTION("LOWER(REGEXREPLACE(B2869&amp;"" ""&amp;C2869,""[^а-яa-z0-9 ]"","" ""))"),"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f>
        <v>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v>
      </c>
    </row>
    <row r="2870">
      <c r="A2870" s="35" t="s">
        <v>6691</v>
      </c>
      <c r="B2870" s="31" t="s">
        <v>6692</v>
      </c>
      <c r="C2870" s="31" t="s">
        <v>6692</v>
      </c>
      <c r="D2870" s="37" t="s">
        <v>14</v>
      </c>
      <c r="E2870" s="38">
        <v>1.0</v>
      </c>
      <c r="F2870" s="39">
        <v>0.5</v>
      </c>
      <c r="G2870" s="11">
        <v>1786.0</v>
      </c>
      <c r="H2870" s="34" t="str">
        <f>IFERROR(__xludf.DUMMYFUNCTION("LOWER(REGEXREPLACE(B2870&amp;"" ""&amp;C2870,""[^а-яa-z0-9 ]"","" ""))")," репление для каната  репление для каната")</f>
        <v> репление для каната  репление для каната</v>
      </c>
    </row>
    <row r="2871">
      <c r="A2871" s="35" t="s">
        <v>6693</v>
      </c>
      <c r="B2871" s="31" t="s">
        <v>6694</v>
      </c>
      <c r="C2871" s="31"/>
      <c r="D2871" s="37" t="s">
        <v>14</v>
      </c>
      <c r="E2871" s="10"/>
      <c r="F2871" s="36"/>
      <c r="G2871" s="11"/>
      <c r="H2871" s="34" t="str">
        <f>IFERROR(__xludf.DUMMYFUNCTION("LOWER(REGEXREPLACE(B2871&amp;"" ""&amp;C2871,""[^а-яa-z0-9 ]"","" ""))")," ат спортивный ")</f>
        <v> ат спортивный </v>
      </c>
    </row>
    <row r="2872">
      <c r="A2872" s="35" t="s">
        <v>6695</v>
      </c>
      <c r="B2872" s="31" t="s">
        <v>6696</v>
      </c>
      <c r="C2872" s="31"/>
      <c r="D2872" s="37" t="s">
        <v>14</v>
      </c>
      <c r="E2872" s="38">
        <v>1.0</v>
      </c>
      <c r="F2872" s="39">
        <v>2.4</v>
      </c>
      <c r="G2872" s="11">
        <v>15893.0</v>
      </c>
      <c r="H2872" s="34" t="str">
        <f>IFERROR(__xludf.DUMMYFUNCTION("LOWER(REGEXREPLACE(B2872&amp;"" ""&amp;C2872,""[^а-яa-z0-9 ]"","" ""))")," имнастические маты 200см х 100см х 5см ")</f>
        <v> имнастические маты 200см х 100см х 5см </v>
      </c>
    </row>
    <row r="2873">
      <c r="A2873" s="35" t="s">
        <v>6697</v>
      </c>
      <c r="B2873" s="31" t="s">
        <v>6698</v>
      </c>
      <c r="C2873" s="31" t="s">
        <v>6699</v>
      </c>
      <c r="D2873" s="37" t="s">
        <v>14</v>
      </c>
      <c r="E2873" s="38">
        <v>1.0</v>
      </c>
      <c r="F2873" s="39">
        <v>2.7</v>
      </c>
      <c r="G2873" s="11">
        <v>19649.0</v>
      </c>
      <c r="H2873" s="34" t="str">
        <f>IFERROR(__xludf.DUMMYFUNCTION("LOWER(REGEXREPLACE(B2873&amp;"" ""&amp;C2873,""[^а-яa-z0-9 ]"","" ""))"),"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антиванда"&amp;"льные  с высоким процентом износоустойчивости ")</f>
        <v>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v>
      </c>
    </row>
    <row r="2874">
      <c r="A2874" s="35" t="s">
        <v>6700</v>
      </c>
      <c r="B2874" s="31" t="s">
        <v>6701</v>
      </c>
      <c r="C2874" s="31" t="s">
        <v>6702</v>
      </c>
      <c r="D2874" s="37" t="s">
        <v>14</v>
      </c>
      <c r="E2874" s="38">
        <v>2.0</v>
      </c>
      <c r="F2874" s="39">
        <v>6.1</v>
      </c>
      <c r="G2874" s="11">
        <v>55055.0</v>
      </c>
      <c r="H2874" s="34" t="str">
        <f>IFERROR(__xludf.DUMMYFUNCTION("LOWER(REGEXREPLACE(B2874&amp;"" ""&amp;C2874,""[^а-яa-z0-9 ]"","" ""))"),"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выполне"&amp;"нии различных гимнастических упражнений ")</f>
        <v>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5">
      <c r="A2875" s="35" t="s">
        <v>6703</v>
      </c>
      <c r="B2875" s="31" t="s">
        <v>6704</v>
      </c>
      <c r="C2875" s="31" t="s">
        <v>6705</v>
      </c>
      <c r="D2875" s="37" t="s">
        <v>14</v>
      </c>
      <c r="E2875" s="38">
        <v>2.0</v>
      </c>
      <c r="F2875" s="38">
        <v>4.0</v>
      </c>
      <c r="G2875" s="11">
        <v>47918.0</v>
      </c>
      <c r="H2875" s="34" t="str">
        <f>IFERROR(__xludf.DUMMYFUNCTION("LOWER(REGEXREPLACE(B2875&amp;"" ""&amp;C2875,""[^а-яa-z0-9 ]"","" ""))"),"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пенополи"&amp;"уретан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6">
      <c r="A2876" s="35" t="s">
        <v>6706</v>
      </c>
      <c r="B2876" s="31" t="s">
        <v>6707</v>
      </c>
      <c r="C2876" s="31" t="s">
        <v>6708</v>
      </c>
      <c r="D2876" s="37" t="s">
        <v>14</v>
      </c>
      <c r="E2876" s="38">
        <v>2.0</v>
      </c>
      <c r="F2876" s="39">
        <v>4.5</v>
      </c>
      <c r="G2876" s="11">
        <v>41042.0</v>
      </c>
      <c r="H2876" s="34" t="str">
        <f>IFERROR(__xludf.DUMMYFUNCTION("LOWER(REGEXREPLACE(B2876&amp;"" ""&amp;C2876,""[^а-яa-z0-9 ]"","" ""))"),"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м"&amp;"оется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7">
      <c r="A2877" s="35" t="s">
        <v>6709</v>
      </c>
      <c r="B2877" s="31" t="s">
        <v>6710</v>
      </c>
      <c r="C2877" s="31" t="s">
        <v>6711</v>
      </c>
      <c r="D2877" s="37" t="s">
        <v>14</v>
      </c>
      <c r="E2877" s="38">
        <v>2.0</v>
      </c>
      <c r="F2877" s="39">
        <v>6.5</v>
      </c>
      <c r="G2877" s="11">
        <v>47112.0</v>
      </c>
      <c r="H2877" s="34" t="str">
        <f>IFERROR(__xludf.DUMMYFUNCTION("LOWER(REGEXREPLACE(B2877&amp;"" ""&amp;C2877,""[^а-яa-z0-9 ]"","" ""))"),"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мое"&amp;"тся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f>
        <v>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8">
      <c r="A2878" s="35" t="s">
        <v>6712</v>
      </c>
      <c r="B2878" s="31" t="s">
        <v>6713</v>
      </c>
      <c r="C2878" s="31" t="s">
        <v>6714</v>
      </c>
      <c r="D2878" s="37" t="s">
        <v>68</v>
      </c>
      <c r="E2878" s="38">
        <v>2.0</v>
      </c>
      <c r="F2878" s="38">
        <v>61.0</v>
      </c>
      <c r="G2878" s="11">
        <v>444938.0</v>
      </c>
      <c r="H2878" s="34" t="str">
        <f>IFERROR(__xludf.DUMMYFUNCTION("LOWER(REGEXREPLACE(B2878&amp;"" ""&amp;C2878,""[^а-яa-z0-9 ]"","" ""))"),"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f>
        <v>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v>
      </c>
    </row>
    <row r="2879">
      <c r="A2879" s="35" t="s">
        <v>6715</v>
      </c>
      <c r="B2879" s="31" t="s">
        <v>6716</v>
      </c>
      <c r="C2879" s="31" t="s">
        <v>6717</v>
      </c>
      <c r="D2879" s="37" t="s">
        <v>68</v>
      </c>
      <c r="E2879" s="38">
        <v>2.0</v>
      </c>
      <c r="F2879" s="38">
        <v>503.0</v>
      </c>
      <c r="G2879" s="11">
        <v>3315643.0</v>
      </c>
      <c r="H2879" s="34" t="str">
        <f>IFERROR(__xludf.DUMMYFUNCTION("LOWER(REGEXREPLACE(B2879&amp;"" ""&amp;C2879,""[^а-яa-z0-9 ]"","" ""))"),"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сорвено"&amp;"ваний по вольной и греко римской борьбе   лотность  160 кг м3")</f>
        <v>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сорвенований по вольной и греко римской борьбе   лотность  160 кг м3</v>
      </c>
    </row>
    <row r="2880">
      <c r="A2880" s="35" t="s">
        <v>6718</v>
      </c>
      <c r="B2880" s="31" t="s">
        <v>6719</v>
      </c>
      <c r="C2880" s="31" t="s">
        <v>6720</v>
      </c>
      <c r="D2880" s="37" t="s">
        <v>14</v>
      </c>
      <c r="E2880" s="38">
        <v>2.0</v>
      </c>
      <c r="F2880" s="38">
        <v>8.0</v>
      </c>
      <c r="G2880" s="11">
        <v>73761.0</v>
      </c>
      <c r="H2880" s="34" t="str">
        <f>IFERROR(__xludf.DUMMYFUNCTION("LOWER(REGEXREPLACE(B2880&amp;"" ""&amp;C2880,""[^а-яa-z0-9 ]"","" ""))"),"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f>
        <v>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v>
      </c>
    </row>
    <row r="2881">
      <c r="A2881" s="35" t="s">
        <v>6721</v>
      </c>
      <c r="B2881" s="31" t="s">
        <v>6722</v>
      </c>
      <c r="C2881" s="31" t="s">
        <v>6723</v>
      </c>
      <c r="D2881" s="37" t="s">
        <v>14</v>
      </c>
      <c r="E2881" s="38">
        <v>2.0</v>
      </c>
      <c r="F2881" s="38">
        <v>20.0</v>
      </c>
      <c r="G2881" s="11">
        <v>82138.0</v>
      </c>
      <c r="H2881" s="34" t="str">
        <f>IFERROR(__xludf.DUMMYFUNCTION("LOWER(REGEXREPLACE(B2881&amp;"" ""&amp;C2881,""[^а-яa-z0-9 ]"","" ""))"),"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лты"&amp;"й  зел ный ")</f>
        <v>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лтый  зел ный </v>
      </c>
    </row>
    <row r="2882">
      <c r="A2882" s="35" t="s">
        <v>6724</v>
      </c>
      <c r="B2882" s="31" t="s">
        <v>6725</v>
      </c>
      <c r="C2882" s="31" t="s">
        <v>6726</v>
      </c>
      <c r="D2882" s="37" t="s">
        <v>14</v>
      </c>
      <c r="E2882" s="38">
        <v>2.0</v>
      </c>
      <c r="F2882" s="39">
        <v>2.5</v>
      </c>
      <c r="G2882" s="11">
        <v>14060.0</v>
      </c>
      <c r="H2882" s="34" t="str">
        <f>IFERROR(__xludf.DUMMYFUNCTION("LOWER(REGEXREPLACE(B2882&amp;"" ""&amp;C2882,""[^а-яa-z0-9 ]"","" ""))"),"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f>
        <v>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v>
      </c>
    </row>
    <row r="2883">
      <c r="A2883" s="35" t="s">
        <v>6727</v>
      </c>
      <c r="B2883" s="31" t="s">
        <v>6728</v>
      </c>
      <c r="C2883" s="31" t="s">
        <v>6729</v>
      </c>
      <c r="D2883" s="37" t="s">
        <v>14</v>
      </c>
      <c r="E2883" s="38">
        <v>2.0</v>
      </c>
      <c r="F2883" s="38">
        <v>12.0</v>
      </c>
      <c r="G2883" s="11">
        <v>16234.0</v>
      </c>
      <c r="H2883" s="34" t="str">
        <f>IFERROR(__xludf.DUMMYFUNCTION("LOWER(REGEXREPLACE(B2883&amp;"" ""&amp;C2883,""[^а-яa-z0-9 ]"","" ""))"),"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плотнос"&amp;"ть    25кг м3   аты обеспечивают безопасность при выполнении различных гимнастических упражнений ")</f>
        <v>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84">
      <c r="A2884" s="35" t="s">
        <v>6730</v>
      </c>
      <c r="B2884" s="31" t="s">
        <v>6731</v>
      </c>
      <c r="C2884" s="31" t="s">
        <v>6732</v>
      </c>
      <c r="D2884" s="37" t="s">
        <v>14</v>
      </c>
      <c r="E2884" s="38">
        <v>2.0</v>
      </c>
      <c r="F2884" s="38">
        <v>20.0</v>
      </c>
      <c r="G2884" s="11">
        <v>29287.0</v>
      </c>
      <c r="H2884" s="34" t="str">
        <f>IFERROR(__xludf.DUMMYFUNCTION("LOWER(REGEXREPLACE(B2884&amp;"" ""&amp;C2884,""[^а-яa-z0-9 ]"","" ""))"),"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лты"&amp;"й  зел ный ")</f>
        <v>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лтый  зел ный </v>
      </c>
    </row>
    <row r="2885">
      <c r="A2885" s="35" t="s">
        <v>6733</v>
      </c>
      <c r="B2885" s="31" t="s">
        <v>6734</v>
      </c>
      <c r="C2885" s="31" t="s">
        <v>6735</v>
      </c>
      <c r="D2885" s="37" t="s">
        <v>14</v>
      </c>
      <c r="E2885" s="38">
        <v>2.0</v>
      </c>
      <c r="F2885" s="38">
        <v>20.0</v>
      </c>
      <c r="G2885" s="11">
        <v>32308.0</v>
      </c>
      <c r="H2885" s="34" t="str">
        <f>IFERROR(__xludf.DUMMYFUNCTION("LOWER(REGEXREPLACE(B2885&amp;"" ""&amp;C2885,""[^а-яa-z0-9 ]"","" ""))"),"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лты"&amp;"й  зел ный ")</f>
        <v>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лтый  зел ный </v>
      </c>
    </row>
    <row r="2886">
      <c r="A2886" s="35" t="s">
        <v>6736</v>
      </c>
      <c r="B2886" s="31" t="s">
        <v>6737</v>
      </c>
      <c r="C2886" s="31" t="s">
        <v>6738</v>
      </c>
      <c r="D2886" s="37" t="s">
        <v>68</v>
      </c>
      <c r="E2886" s="38">
        <v>2.0</v>
      </c>
      <c r="F2886" s="38">
        <v>985.0</v>
      </c>
      <c r="G2886" s="11">
        <v>6298828.0</v>
      </c>
      <c r="H2886" s="34" t="str">
        <f>IFERROR(__xludf.DUMMYFUNCTION("LOWER(REGEXREPLACE(B2886&amp;"" ""&amp;C2886,""[^а-яa-z0-9 ]"","" ""))"),"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сор"&amp;"венований по вольной и греко римской борьбе   лотность  160 кг м3")</f>
        <v>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лотность  160 кг м3</v>
      </c>
    </row>
    <row r="2887">
      <c r="A2887" s="35" t="s">
        <v>6739</v>
      </c>
      <c r="B2887" s="31" t="s">
        <v>6740</v>
      </c>
      <c r="C2887" s="31" t="s">
        <v>6741</v>
      </c>
      <c r="D2887" s="37" t="s">
        <v>68</v>
      </c>
      <c r="E2887" s="38">
        <v>2.0</v>
      </c>
      <c r="F2887" s="38">
        <v>985.0</v>
      </c>
      <c r="G2887" s="11">
        <v>920380.0</v>
      </c>
      <c r="H2887" s="34" t="str">
        <f>IFERROR(__xludf.DUMMYFUNCTION("LOWER(REGEXREPLACE(B2887&amp;"" ""&amp;C2887,""[^а-яa-z0-9 ]"","" ""))"),"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сорв"&amp;"енований по вольной и греко римской борьбе   аполнитель      плотность 140кг м3")</f>
        <v>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аполнитель      плотность 140кг м3</v>
      </c>
    </row>
    <row r="2888">
      <c r="A2888" s="35" t="s">
        <v>6742</v>
      </c>
      <c r="B2888" s="31" t="s">
        <v>6743</v>
      </c>
      <c r="C2888" s="31" t="s">
        <v>6744</v>
      </c>
      <c r="D2888" s="37" t="s">
        <v>14</v>
      </c>
      <c r="E2888" s="38">
        <v>2.0</v>
      </c>
      <c r="F2888" s="38">
        <v>14.0</v>
      </c>
      <c r="G2888" s="11">
        <v>444124.0</v>
      </c>
      <c r="H2888" s="34" t="str">
        <f>IFERROR(__xludf.DUMMYFUNCTION("LOWER(REGEXREPLACE(B2888&amp;"" ""&amp;C2888,""[^а-яa-z0-9 ]"","" ""))"),"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f>
        <v>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v>
      </c>
    </row>
    <row r="2889">
      <c r="A2889" s="35" t="s">
        <v>6745</v>
      </c>
      <c r="B2889" s="31" t="s">
        <v>6746</v>
      </c>
      <c r="C2889" s="31" t="s">
        <v>6747</v>
      </c>
      <c r="D2889" s="37" t="s">
        <v>68</v>
      </c>
      <c r="E2889" s="38">
        <v>2.0</v>
      </c>
      <c r="F2889" s="38">
        <v>1080.0</v>
      </c>
      <c r="G2889" s="11">
        <v>5912504.0</v>
      </c>
      <c r="H2889" s="34" t="str">
        <f>IFERROR(__xludf.DUMMYFUNCTION("LOWER(REGEXREPLACE(B2889&amp;"" ""&amp;C2889,""[^а-яa-z0-9 ]"","" ""))"),"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"&amp;" вет  синий  красный  ж лтый  зел ный ")</f>
        <v>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0">
      <c r="A2890" s="35" t="s">
        <v>6748</v>
      </c>
      <c r="B2890" s="31" t="s">
        <v>6749</v>
      </c>
      <c r="C2890" s="31" t="s">
        <v>6750</v>
      </c>
      <c r="D2890" s="37" t="s">
        <v>68</v>
      </c>
      <c r="E2890" s="38">
        <v>2.0</v>
      </c>
      <c r="F2890" s="38">
        <v>540.0</v>
      </c>
      <c r="G2890" s="11">
        <v>1736130.0</v>
      </c>
      <c r="H2890" s="34" t="str">
        <f>IFERROR(__xludf.DUMMYFUNCTION("LOWER(REGEXREPLACE(B2890&amp;"" ""&amp;C2890,""[^а-яa-z0-9 ]"","" ""))"),"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вет"&amp;"  синий  красный  ж лтый  зел ный ")</f>
        <v>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1">
      <c r="A2891" s="35" t="s">
        <v>6751</v>
      </c>
      <c r="B2891" s="31" t="s">
        <v>6752</v>
      </c>
      <c r="C2891" s="31" t="s">
        <v>6753</v>
      </c>
      <c r="D2891" s="37" t="s">
        <v>6754</v>
      </c>
      <c r="E2891" s="38">
        <v>2.0</v>
      </c>
      <c r="F2891" s="40">
        <v>0.57</v>
      </c>
      <c r="G2891" s="11">
        <v>18594.0</v>
      </c>
      <c r="H2891" s="34" t="str">
        <f>IFERROR(__xludf.DUMMYFUNCTION("LOWER(REGEXREPLACE(B2891&amp;"" ""&amp;C2891,""[^а-яa-z0-9 ]"","" ""))"),"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2">
      <c r="A2892" s="35" t="s">
        <v>6755</v>
      </c>
      <c r="B2892" s="31" t="s">
        <v>6756</v>
      </c>
      <c r="C2892" s="31" t="s">
        <v>6753</v>
      </c>
      <c r="D2892" s="37" t="s">
        <v>6754</v>
      </c>
      <c r="E2892" s="38">
        <v>2.0</v>
      </c>
      <c r="F2892" s="40">
        <v>1.15</v>
      </c>
      <c r="G2892" s="11">
        <v>21075.0</v>
      </c>
      <c r="H2892" s="34" t="str">
        <f>IFERROR(__xludf.DUMMYFUNCTION("LOWER(REGEXREPLACE(B2892&amp;"" ""&amp;C2892,""[^а-яa-z0-9 ]"","" ""))"),"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3">
      <c r="A2893" s="35" t="s">
        <v>6757</v>
      </c>
      <c r="B2893" s="31" t="s">
        <v>6758</v>
      </c>
      <c r="C2893" s="31" t="s">
        <v>6753</v>
      </c>
      <c r="D2893" s="37" t="s">
        <v>6754</v>
      </c>
      <c r="E2893" s="38">
        <v>2.0</v>
      </c>
      <c r="F2893" s="39">
        <v>1.7</v>
      </c>
      <c r="G2893" s="11">
        <v>25725.0</v>
      </c>
      <c r="H2893" s="34" t="str">
        <f>IFERROR(__xludf.DUMMYFUNCTION("LOWER(REGEXREPLACE(B2893&amp;"" ""&amp;C2893,""[^а-яa-z0-9 ]"","" ""))"),"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4">
      <c r="A2894" s="35" t="s">
        <v>6759</v>
      </c>
      <c r="B2894" s="31" t="s">
        <v>6760</v>
      </c>
      <c r="C2894" s="31" t="s">
        <v>6753</v>
      </c>
      <c r="D2894" s="37" t="s">
        <v>6754</v>
      </c>
      <c r="E2894" s="38">
        <v>2.0</v>
      </c>
      <c r="F2894" s="39">
        <v>2.3</v>
      </c>
      <c r="G2894" s="11">
        <v>29446.0</v>
      </c>
      <c r="H2894" s="34" t="str">
        <f>IFERROR(__xludf.DUMMYFUNCTION("LOWER(REGEXREPLACE(B2894&amp;"" ""&amp;C2894,""[^а-яa-z0-9 ]"","" ""))"),"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5">
      <c r="A2895" s="35" t="s">
        <v>6761</v>
      </c>
      <c r="B2895" s="31" t="s">
        <v>6762</v>
      </c>
      <c r="C2895" s="31" t="s">
        <v>6753</v>
      </c>
      <c r="D2895" s="37" t="s">
        <v>6754</v>
      </c>
      <c r="E2895" s="38">
        <v>2.0</v>
      </c>
      <c r="F2895" s="40">
        <v>2.87</v>
      </c>
      <c r="G2895" s="11">
        <v>31617.0</v>
      </c>
      <c r="H2895" s="34" t="str">
        <f>IFERROR(__xludf.DUMMYFUNCTION("LOWER(REGEXREPLACE(B2895&amp;"" ""&amp;C2895,""[^а-яa-z0-9 ]"","" ""))"),"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6">
      <c r="A2896" s="35" t="s">
        <v>6763</v>
      </c>
      <c r="B2896" s="31" t="s">
        <v>6764</v>
      </c>
      <c r="C2896" s="31"/>
      <c r="D2896" s="37" t="s">
        <v>14</v>
      </c>
      <c r="E2896" s="10"/>
      <c r="F2896" s="36"/>
      <c r="G2896" s="11"/>
      <c r="H2896" s="34" t="str">
        <f>IFERROR(__xludf.DUMMYFUNCTION("LOWER(REGEXREPLACE(B2896&amp;"" ""&amp;C2896,""[^а-яa-z0-9 ]"","" ""))")," антели ")</f>
        <v> антели </v>
      </c>
    </row>
    <row r="2897">
      <c r="A2897" s="35" t="s">
        <v>6765</v>
      </c>
      <c r="B2897" s="31" t="s">
        <v>6766</v>
      </c>
      <c r="C2897" s="31"/>
      <c r="D2897" s="37" t="s">
        <v>14</v>
      </c>
      <c r="E2897" s="38">
        <v>1.0</v>
      </c>
      <c r="F2897" s="39">
        <v>1.5</v>
      </c>
      <c r="G2897" s="11">
        <v>2679.0</v>
      </c>
      <c r="H2897" s="34" t="str">
        <f>IFERROR(__xludf.DUMMYFUNCTION("LOWER(REGEXREPLACE(B2897&amp;"" ""&amp;C2897,""[^а-яa-z0-9 ]"","" ""))")," антели 1 5кг ")</f>
        <v> антели 1 5кг </v>
      </c>
    </row>
    <row r="2898">
      <c r="A2898" s="35" t="s">
        <v>6767</v>
      </c>
      <c r="B2898" s="31" t="s">
        <v>6768</v>
      </c>
      <c r="C2898" s="31"/>
      <c r="D2898" s="37" t="s">
        <v>14</v>
      </c>
      <c r="E2898" s="38">
        <v>1.0</v>
      </c>
      <c r="F2898" s="38">
        <v>2.0</v>
      </c>
      <c r="G2898" s="11">
        <v>3571.0</v>
      </c>
      <c r="H2898" s="34" t="str">
        <f>IFERROR(__xludf.DUMMYFUNCTION("LOWER(REGEXREPLACE(B2898&amp;"" ""&amp;C2898,""[^а-яa-z0-9 ]"","" ""))")," антели 2кг ")</f>
        <v> антели 2кг </v>
      </c>
    </row>
    <row r="2899">
      <c r="A2899" s="35" t="s">
        <v>6769</v>
      </c>
      <c r="B2899" s="31" t="s">
        <v>6770</v>
      </c>
      <c r="C2899" s="31"/>
      <c r="D2899" s="37" t="s">
        <v>14</v>
      </c>
      <c r="E2899" s="38">
        <v>1.0</v>
      </c>
      <c r="F2899" s="38">
        <v>3.0</v>
      </c>
      <c r="G2899" s="11">
        <v>5357.0</v>
      </c>
      <c r="H2899" s="34" t="str">
        <f>IFERROR(__xludf.DUMMYFUNCTION("LOWER(REGEXREPLACE(B2899&amp;"" ""&amp;C2899,""[^а-яa-z0-9 ]"","" ""))")," антели 3кг ")</f>
        <v> антели 3кг </v>
      </c>
    </row>
    <row r="2900">
      <c r="A2900" s="35" t="s">
        <v>6771</v>
      </c>
      <c r="B2900" s="9" t="s">
        <v>6772</v>
      </c>
      <c r="C2900" s="31" t="s">
        <v>6773</v>
      </c>
      <c r="D2900" s="37" t="s">
        <v>14</v>
      </c>
      <c r="E2900" s="38">
        <v>2.0</v>
      </c>
      <c r="F2900" s="38">
        <v>1.0</v>
      </c>
      <c r="G2900" s="11">
        <v>4886.0</v>
      </c>
      <c r="H2900" s="34" t="str">
        <f>IFERROR(__xludf.DUMMYFUNCTION("LOWER(REGEXREPLACE(B2900&amp;"" ""&amp;C2900,""[^а-яa-z0-9 ]"","" ""))"),"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f>
        <v>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v>
      </c>
    </row>
    <row r="2901">
      <c r="A2901" s="35" t="s">
        <v>6774</v>
      </c>
      <c r="B2901" s="9" t="s">
        <v>6775</v>
      </c>
      <c r="C2901" s="31" t="s">
        <v>6776</v>
      </c>
      <c r="D2901" s="37" t="s">
        <v>14</v>
      </c>
      <c r="E2901" s="38">
        <v>2.0</v>
      </c>
      <c r="F2901" s="38">
        <v>2.0</v>
      </c>
      <c r="G2901" s="11">
        <v>9877.0</v>
      </c>
      <c r="H2901" s="34" t="str">
        <f>IFERROR(__xludf.DUMMYFUNCTION("LOWER(REGEXREPLACE(B2901&amp;"" ""&amp;C2901,""[^а-яa-z0-9 ]"","" ""))"),"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f>
        <v>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v>
      </c>
    </row>
    <row r="2902">
      <c r="A2902" s="35" t="s">
        <v>6777</v>
      </c>
      <c r="B2902" s="9" t="s">
        <v>6778</v>
      </c>
      <c r="C2902" s="31" t="s">
        <v>6779</v>
      </c>
      <c r="D2902" s="37" t="s">
        <v>14</v>
      </c>
      <c r="E2902" s="38">
        <v>2.0</v>
      </c>
      <c r="F2902" s="38">
        <v>3.0</v>
      </c>
      <c r="G2902" s="11">
        <v>14974.0</v>
      </c>
      <c r="H2902" s="34" t="str">
        <f>IFERROR(__xludf.DUMMYFUNCTION("LOWER(REGEXREPLACE(B2902&amp;"" ""&amp;C2902,""[^а-яa-z0-9 ]"","" ""))"),"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f>
        <v>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v>
      </c>
    </row>
    <row r="2903">
      <c r="A2903" s="35" t="s">
        <v>6780</v>
      </c>
      <c r="B2903" s="9" t="s">
        <v>6781</v>
      </c>
      <c r="C2903" s="31" t="s">
        <v>6782</v>
      </c>
      <c r="D2903" s="37" t="s">
        <v>14</v>
      </c>
      <c r="E2903" s="38">
        <v>2.0</v>
      </c>
      <c r="F2903" s="38">
        <v>4.0</v>
      </c>
      <c r="G2903" s="11">
        <v>19756.0</v>
      </c>
      <c r="H2903" s="34" t="str">
        <f>IFERROR(__xludf.DUMMYFUNCTION("LOWER(REGEXREPLACE(B2903&amp;"" ""&amp;C2903,""[^а-яa-z0-9 ]"","" ""))"),"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f>
        <v>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v>
      </c>
    </row>
    <row r="2904">
      <c r="A2904" s="35" t="s">
        <v>6783</v>
      </c>
      <c r="B2904" s="9" t="s">
        <v>6784</v>
      </c>
      <c r="C2904" s="31"/>
      <c r="D2904" s="37" t="s">
        <v>14</v>
      </c>
      <c r="E2904" s="38">
        <v>2.0</v>
      </c>
      <c r="F2904" s="38">
        <v>5.0</v>
      </c>
      <c r="G2904" s="11">
        <v>24564.0</v>
      </c>
      <c r="H2904" s="34" t="str">
        <f>IFERROR(__xludf.DUMMYFUNCTION("LOWER(REGEXREPLACE(B2904&amp;"" ""&amp;C2904,""[^а-яa-z0-9 ]"","" ""))")," антель    005 профессиональная шестигранная обрезиненная  5 кг ")</f>
        <v> антель    005 профессиональная шестигранная обрезиненная  5 кг </v>
      </c>
    </row>
    <row r="2905">
      <c r="A2905" s="35" t="s">
        <v>6785</v>
      </c>
      <c r="B2905" s="31" t="s">
        <v>6786</v>
      </c>
      <c r="C2905" s="31" t="s">
        <v>6787</v>
      </c>
      <c r="D2905" s="37" t="s">
        <v>14</v>
      </c>
      <c r="E2905" s="38">
        <v>2.0</v>
      </c>
      <c r="F2905" s="38">
        <v>6.0</v>
      </c>
      <c r="G2905" s="11">
        <v>29633.0</v>
      </c>
      <c r="H2905" s="34" t="str">
        <f>IFERROR(__xludf.DUMMYFUNCTION("LOWER(REGEXREPLACE(B2905&amp;"" ""&amp;C2905,""[^а-яa-z0-9 ]"","" ""))"),"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f>
        <v>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v>
      </c>
    </row>
    <row r="2906">
      <c r="A2906" s="35" t="s">
        <v>6788</v>
      </c>
      <c r="B2906" s="31" t="s">
        <v>6789</v>
      </c>
      <c r="C2906" s="31" t="s">
        <v>6790</v>
      </c>
      <c r="D2906" s="37" t="s">
        <v>14</v>
      </c>
      <c r="E2906" s="38">
        <v>2.0</v>
      </c>
      <c r="F2906" s="38">
        <v>7.0</v>
      </c>
      <c r="G2906" s="11">
        <v>34756.0</v>
      </c>
      <c r="H2906" s="34" t="str">
        <f>IFERROR(__xludf.DUMMYFUNCTION("LOWER(REGEXREPLACE(B2906&amp;"" ""&amp;C2906,""[^а-яa-z0-9 ]"","" ""))"),"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f>
        <v>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v>
      </c>
    </row>
    <row r="2907">
      <c r="A2907" s="35" t="s">
        <v>6791</v>
      </c>
      <c r="B2907" s="31" t="s">
        <v>6792</v>
      </c>
      <c r="C2907" s="31" t="s">
        <v>6793</v>
      </c>
      <c r="D2907" s="37" t="s">
        <v>14</v>
      </c>
      <c r="E2907" s="38">
        <v>2.0</v>
      </c>
      <c r="F2907" s="38">
        <v>8.0</v>
      </c>
      <c r="G2907" s="11">
        <v>39512.0</v>
      </c>
      <c r="H2907" s="34" t="str">
        <f>IFERROR(__xludf.DUMMYFUNCTION("LOWER(REGEXREPLACE(B2907&amp;"" ""&amp;C2907,""[^а-яa-z0-9 ]"","" ""))"),"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f>
        <v>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v>
      </c>
    </row>
    <row r="2908">
      <c r="A2908" s="35" t="s">
        <v>6794</v>
      </c>
      <c r="B2908" s="31" t="s">
        <v>6795</v>
      </c>
      <c r="C2908" s="31" t="s">
        <v>6796</v>
      </c>
      <c r="D2908" s="37" t="s">
        <v>14</v>
      </c>
      <c r="E2908" s="38">
        <v>2.0</v>
      </c>
      <c r="F2908" s="38">
        <v>9.0</v>
      </c>
      <c r="G2908" s="11">
        <v>44309.0</v>
      </c>
      <c r="H2908" s="34" t="str">
        <f>IFERROR(__xludf.DUMMYFUNCTION("LOWER(REGEXREPLACE(B2908&amp;"" ""&amp;C2908,""[^а-яa-z0-9 ]"","" ""))"),"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f>
        <v>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v>
      </c>
    </row>
    <row r="2909">
      <c r="A2909" s="35" t="s">
        <v>6797</v>
      </c>
      <c r="B2909" s="31" t="s">
        <v>6798</v>
      </c>
      <c r="C2909" s="31" t="s">
        <v>6799</v>
      </c>
      <c r="D2909" s="37" t="s">
        <v>14</v>
      </c>
      <c r="E2909" s="38">
        <v>2.0</v>
      </c>
      <c r="F2909" s="38">
        <v>10.0</v>
      </c>
      <c r="G2909" s="11">
        <v>49389.0</v>
      </c>
      <c r="H2909" s="34" t="str">
        <f>IFERROR(__xludf.DUMMYFUNCTION("LOWER(REGEXREPLACE(B2909&amp;"" ""&amp;C2909,""[^а-яa-z0-9 ]"","" ""))"),"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f>
        <v>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v>
      </c>
    </row>
    <row r="2910">
      <c r="A2910" s="35" t="s">
        <v>6800</v>
      </c>
      <c r="B2910" s="31" t="s">
        <v>6801</v>
      </c>
      <c r="C2910" s="31" t="s">
        <v>6802</v>
      </c>
      <c r="D2910" s="37" t="s">
        <v>14</v>
      </c>
      <c r="E2910" s="38">
        <v>2.0</v>
      </c>
      <c r="F2910" s="39">
        <v>12.5</v>
      </c>
      <c r="G2910" s="11">
        <v>61409.0</v>
      </c>
      <c r="H2910" s="34" t="str">
        <f>IFERROR(__xludf.DUMMYFUNCTION("LOWER(REGEXREPLACE(B2910&amp;"" ""&amp;C2910,""[^а-яa-z0-9 ]"","" ""))"),"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f>
        <v>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v>
      </c>
    </row>
    <row r="2911">
      <c r="A2911" s="35" t="s">
        <v>6803</v>
      </c>
      <c r="B2911" s="31" t="s">
        <v>6804</v>
      </c>
      <c r="C2911" s="31" t="s">
        <v>6805</v>
      </c>
      <c r="D2911" s="37" t="s">
        <v>14</v>
      </c>
      <c r="E2911" s="38">
        <v>2.0</v>
      </c>
      <c r="F2911" s="38">
        <v>15.0</v>
      </c>
      <c r="G2911" s="11">
        <v>73296.0</v>
      </c>
      <c r="H2911" s="34" t="str">
        <f>IFERROR(__xludf.DUMMYFUNCTION("LOWER(REGEXREPLACE(B2911&amp;"" ""&amp;C2911,""[^а-яa-z0-9 ]"","" ""))"),"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f>
        <v>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v>
      </c>
    </row>
    <row r="2912">
      <c r="A2912" s="35" t="s">
        <v>6806</v>
      </c>
      <c r="B2912" s="31" t="s">
        <v>6807</v>
      </c>
      <c r="C2912" s="31" t="s">
        <v>6808</v>
      </c>
      <c r="D2912" s="37" t="s">
        <v>14</v>
      </c>
      <c r="E2912" s="38">
        <v>2.0</v>
      </c>
      <c r="F2912" s="39">
        <v>17.5</v>
      </c>
      <c r="G2912" s="11">
        <v>85513.0</v>
      </c>
      <c r="H2912" s="34" t="str">
        <f>IFERROR(__xludf.DUMMYFUNCTION("LOWER(REGEXREPLACE(B2912&amp;"" ""&amp;C2912,""[^а-яa-z0-9 ]"","" ""))"),"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f>
        <v>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v>
      </c>
    </row>
    <row r="2913">
      <c r="A2913" s="35" t="s">
        <v>6809</v>
      </c>
      <c r="B2913" s="31" t="s">
        <v>6810</v>
      </c>
      <c r="C2913" s="31" t="s">
        <v>6811</v>
      </c>
      <c r="D2913" s="37" t="s">
        <v>14</v>
      </c>
      <c r="E2913" s="38">
        <v>2.0</v>
      </c>
      <c r="F2913" s="38">
        <v>20.0</v>
      </c>
      <c r="G2913" s="11">
        <v>98778.0</v>
      </c>
      <c r="H2913" s="34" t="str">
        <f>IFERROR(__xludf.DUMMYFUNCTION("LOWER(REGEXREPLACE(B2913&amp;"" ""&amp;C2913,""[^а-яa-z0-9 ]"","" ""))"),"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f>
        <v>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v>
      </c>
    </row>
    <row r="2914">
      <c r="A2914" s="35" t="s">
        <v>6812</v>
      </c>
      <c r="B2914" s="31" t="s">
        <v>6813</v>
      </c>
      <c r="C2914" s="31" t="s">
        <v>6814</v>
      </c>
      <c r="D2914" s="37" t="s">
        <v>14</v>
      </c>
      <c r="E2914" s="38">
        <v>2.0</v>
      </c>
      <c r="F2914" s="38">
        <v>25.0</v>
      </c>
      <c r="G2914" s="11">
        <v>122161.0</v>
      </c>
      <c r="H2914" s="34" t="str">
        <f>IFERROR(__xludf.DUMMYFUNCTION("LOWER(REGEXREPLACE(B2914&amp;"" ""&amp;C2914,""[^а-яa-z0-9 ]"","" ""))"),"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f>
        <v>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v>
      </c>
    </row>
    <row r="2915">
      <c r="A2915" s="35" t="s">
        <v>6815</v>
      </c>
      <c r="B2915" s="31" t="s">
        <v>6816</v>
      </c>
      <c r="C2915" s="31" t="s">
        <v>6817</v>
      </c>
      <c r="D2915" s="37" t="s">
        <v>14</v>
      </c>
      <c r="E2915" s="38">
        <v>2.0</v>
      </c>
      <c r="F2915" s="39">
        <v>0.5</v>
      </c>
      <c r="G2915" s="11">
        <v>1348.0</v>
      </c>
      <c r="H2915" s="34" t="str">
        <f>IFERROR(__xludf.DUMMYFUNCTION("LOWER(REGEXREPLACE(B2915&amp;"" ""&amp;C2915,""[^а-яa-z0-9 ]"","" ""))"),"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f>
        <v>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v>
      </c>
    </row>
    <row r="2916">
      <c r="A2916" s="35" t="s">
        <v>6818</v>
      </c>
      <c r="B2916" s="31" t="s">
        <v>6819</v>
      </c>
      <c r="C2916" s="31" t="s">
        <v>6820</v>
      </c>
      <c r="D2916" s="37" t="s">
        <v>14</v>
      </c>
      <c r="E2916" s="38">
        <v>2.0</v>
      </c>
      <c r="F2916" s="38">
        <v>1.0</v>
      </c>
      <c r="G2916" s="11">
        <v>2726.0</v>
      </c>
      <c r="H2916" s="34" t="str">
        <f>IFERROR(__xludf.DUMMYFUNCTION("LOWER(REGEXREPLACE(B2916&amp;"" ""&amp;C2916,""[^а-яa-z0-9 ]"","" ""))"),"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f>
        <v>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v>
      </c>
    </row>
    <row r="2917">
      <c r="A2917" s="35" t="s">
        <v>6821</v>
      </c>
      <c r="B2917" s="31" t="s">
        <v>6822</v>
      </c>
      <c r="C2917" s="31" t="s">
        <v>6823</v>
      </c>
      <c r="D2917" s="37" t="s">
        <v>14</v>
      </c>
      <c r="E2917" s="38">
        <v>2.0</v>
      </c>
      <c r="F2917" s="38">
        <v>2.0</v>
      </c>
      <c r="G2917" s="11">
        <v>5452.0</v>
      </c>
      <c r="H2917" s="34" t="str">
        <f>IFERROR(__xludf.DUMMYFUNCTION("LOWER(REGEXREPLACE(B2917&amp;"" ""&amp;C2917,""[^а-яa-z0-9 ]"","" ""))"),"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f>
        <v>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v>
      </c>
    </row>
    <row r="2918">
      <c r="A2918" s="35" t="s">
        <v>6824</v>
      </c>
      <c r="B2918" s="31" t="s">
        <v>6825</v>
      </c>
      <c r="C2918" s="31" t="s">
        <v>6826</v>
      </c>
      <c r="D2918" s="37" t="s">
        <v>14</v>
      </c>
      <c r="E2918" s="38">
        <v>2.0</v>
      </c>
      <c r="F2918" s="38">
        <v>3.0</v>
      </c>
      <c r="G2918" s="11">
        <v>8229.0</v>
      </c>
      <c r="H2918" s="34" t="str">
        <f>IFERROR(__xludf.DUMMYFUNCTION("LOWER(REGEXREPLACE(B2918&amp;"" ""&amp;C2918,""[^а-яa-z0-9 ]"","" ""))"),"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f>
        <v>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v>
      </c>
    </row>
    <row r="2919">
      <c r="A2919" s="35" t="s">
        <v>6827</v>
      </c>
      <c r="B2919" s="31" t="s">
        <v>6828</v>
      </c>
      <c r="C2919" s="31"/>
      <c r="D2919" s="37" t="s">
        <v>14</v>
      </c>
      <c r="E2919" s="38">
        <v>1.0</v>
      </c>
      <c r="F2919" s="38">
        <v>25.0</v>
      </c>
      <c r="G2919" s="11">
        <v>14732.0</v>
      </c>
      <c r="H2919" s="34" t="str">
        <f>IFERROR(__xludf.DUMMYFUNCTION("LOWER(REGEXREPLACE(B2919&amp;"" ""&amp;C2919,""[^а-яa-z0-9 ]"","" ""))")," емпионский набор детский тренажер для баскетбола с дартсом ")</f>
        <v> емпионский набор детский тренажер для баскетбола с дартсом </v>
      </c>
    </row>
    <row r="2920">
      <c r="A2920" s="35" t="s">
        <v>6829</v>
      </c>
      <c r="B2920" s="31" t="s">
        <v>6830</v>
      </c>
      <c r="C2920" s="31"/>
      <c r="D2920" s="37" t="s">
        <v>68</v>
      </c>
      <c r="E2920" s="38">
        <v>1.0</v>
      </c>
      <c r="F2920" s="36"/>
      <c r="G2920" s="11"/>
      <c r="H2920" s="34" t="str">
        <f>IFERROR(__xludf.DUMMYFUNCTION("LOWER(REGEXREPLACE(B2920&amp;"" ""&amp;C2920,""[^а-яa-z0-9 ]"","" ""))")," тойка для бадминтона ")</f>
        <v> тойка для бадминтона </v>
      </c>
    </row>
    <row r="2921">
      <c r="A2921" s="35" t="s">
        <v>6831</v>
      </c>
      <c r="B2921" s="31" t="s">
        <v>6832</v>
      </c>
      <c r="C2921" s="31"/>
      <c r="D2921" s="37" t="s">
        <v>68</v>
      </c>
      <c r="E2921" s="38">
        <v>1.0</v>
      </c>
      <c r="F2921" s="38">
        <v>30.0</v>
      </c>
      <c r="G2921" s="11">
        <v>33036.0</v>
      </c>
      <c r="H2921" s="34" t="str">
        <f>IFERROR(__xludf.DUMMYFUNCTION("LOWER(REGEXREPLACE(B2921&amp;"" ""&amp;C2921,""[^а-яa-z0-9 ]"","" ""))")," тойка для бадминтона мобильная ")</f>
        <v> тойка для бадминтона мобильная </v>
      </c>
    </row>
    <row r="2922">
      <c r="A2922" s="35" t="s">
        <v>6833</v>
      </c>
      <c r="B2922" s="31" t="s">
        <v>6834</v>
      </c>
      <c r="C2922" s="31" t="s">
        <v>6835</v>
      </c>
      <c r="D2922" s="37" t="s">
        <v>68</v>
      </c>
      <c r="E2922" s="38">
        <v>2.0</v>
      </c>
      <c r="F2922" s="38">
        <v>80.0</v>
      </c>
      <c r="G2922" s="11">
        <v>164671.0</v>
      </c>
      <c r="H2922" s="34" t="str">
        <f>IFERROR(__xludf.DUMMYFUNCTION("LOWER(REGEXREPLACE(B2922&amp;"" ""&amp;C2922,""[^а-яa-z0-9 ]"","" ""))"),"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с"&amp;"м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со"&amp;"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f>
        <v>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v>
      </c>
    </row>
    <row r="2923">
      <c r="A2923" s="35" t="s">
        <v>6836</v>
      </c>
      <c r="B2923" s="31" t="s">
        <v>6837</v>
      </c>
      <c r="C2923" s="31"/>
      <c r="D2923" s="37" t="s">
        <v>14</v>
      </c>
      <c r="E2923" s="38">
        <v>1.0</v>
      </c>
      <c r="F2923" s="40">
        <v>0.43</v>
      </c>
      <c r="G2923" s="11"/>
      <c r="H2923" s="34" t="str">
        <f>IFERROR(__xludf.DUMMYFUNCTION("LOWER(REGEXREPLACE(B2923&amp;"" ""&amp;C2923,""[^а-яa-z0-9 ]"","" ""))")," етка для бадминтона ")</f>
        <v> етка для бадминтона </v>
      </c>
    </row>
    <row r="2924">
      <c r="A2924" s="35" t="s">
        <v>6838</v>
      </c>
      <c r="B2924" s="31" t="s">
        <v>6839</v>
      </c>
      <c r="C2924" s="31"/>
      <c r="D2924" s="37" t="s">
        <v>14</v>
      </c>
      <c r="E2924" s="38">
        <v>2.0</v>
      </c>
      <c r="F2924" s="40">
        <v>0.43</v>
      </c>
      <c r="G2924" s="11">
        <v>2430.0</v>
      </c>
      <c r="H2924" s="34" t="str">
        <f>IFERROR(__xludf.DUMMYFUNCTION("LOWER(REGEXREPLACE(B2924&amp;"" ""&amp;C2924,""[^а-яa-z0-9 ]"","" ""))")," етка для бадминтона   олщина нити 1 6мм  материал нити сетки полипропилен ")</f>
        <v> етка для бадминтона   олщина нити 1 6мм  материал нити сетки полипропилен </v>
      </c>
    </row>
    <row r="2925">
      <c r="A2925" s="35" t="s">
        <v>6840</v>
      </c>
      <c r="B2925" s="31" t="s">
        <v>6841</v>
      </c>
      <c r="C2925" s="31" t="s">
        <v>6842</v>
      </c>
      <c r="D2925" s="37" t="s">
        <v>14</v>
      </c>
      <c r="E2925" s="38">
        <v>2.0</v>
      </c>
      <c r="F2925" s="39">
        <v>0.5</v>
      </c>
      <c r="G2925" s="11">
        <v>7178.0</v>
      </c>
      <c r="H2925" s="34" t="str">
        <f>IFERROR(__xludf.DUMMYFUNCTION("LOWER(REGEXREPLACE(B2925&amp;"" ""&amp;C2925,""[^а-яa-z0-9 ]"","" ""))"),"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f>
        <v>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v>
      </c>
    </row>
    <row r="2926">
      <c r="A2926" s="35" t="s">
        <v>6843</v>
      </c>
      <c r="B2926" s="31" t="s">
        <v>6844</v>
      </c>
      <c r="C2926" s="31"/>
      <c r="D2926" s="37" t="s">
        <v>14</v>
      </c>
      <c r="E2926" s="10"/>
      <c r="F2926" s="36"/>
      <c r="G2926" s="11"/>
      <c r="H2926" s="34" t="str">
        <f>IFERROR(__xludf.DUMMYFUNCTION("LOWER(REGEXREPLACE(B2926&amp;"" ""&amp;C2926,""[^а-яa-z0-9 ]"","" ""))")," ерекладина гимнастическая ")</f>
        <v> ерекладина гимнастическая </v>
      </c>
    </row>
    <row r="2927">
      <c r="A2927" s="35" t="s">
        <v>6845</v>
      </c>
      <c r="B2927" s="31" t="s">
        <v>6846</v>
      </c>
      <c r="C2927" s="31" t="s">
        <v>6847</v>
      </c>
      <c r="D2927" s="37" t="s">
        <v>14</v>
      </c>
      <c r="E2927" s="38">
        <v>1.0</v>
      </c>
      <c r="F2927" s="38">
        <v>55.0</v>
      </c>
      <c r="G2927" s="11">
        <v>44600.0</v>
      </c>
      <c r="H2927" s="34" t="str">
        <f>IFERROR(__xludf.DUMMYFUNCTION("LOWER(REGEXREPLACE(B2927&amp;"" ""&amp;C2927,""[^а-яa-z0-9 ]"","" ""))")," ерекладина универсальная гимнастическая  ерекладина гимнастическая универсальная   росс 3000мм ")</f>
        <v> ерекладина универсальная гимнастическая  ерекладина гимнастическая универсальная   росс 3000мм </v>
      </c>
    </row>
    <row r="2928">
      <c r="A2928" s="35" t="s">
        <v>6848</v>
      </c>
      <c r="B2928" s="31" t="s">
        <v>6849</v>
      </c>
      <c r="C2928" s="31"/>
      <c r="D2928" s="37" t="s">
        <v>14</v>
      </c>
      <c r="E2928" s="38">
        <v>1.0</v>
      </c>
      <c r="F2928" s="38">
        <v>55.0</v>
      </c>
      <c r="G2928" s="11">
        <v>35714.0</v>
      </c>
      <c r="H2928" s="34" t="str">
        <f>IFERROR(__xludf.DUMMYFUNCTION("LOWER(REGEXREPLACE(B2928&amp;"" ""&amp;C2928,""[^а-яa-z0-9 ]"","" ""))")," ерекладина гимнастическая пристенная ")</f>
        <v> ерекладина гимнастическая пристенная </v>
      </c>
    </row>
    <row r="2929">
      <c r="A2929" s="35" t="s">
        <v>6850</v>
      </c>
      <c r="B2929" s="31" t="s">
        <v>6851</v>
      </c>
      <c r="C2929" s="31" t="s">
        <v>6852</v>
      </c>
      <c r="D2929" s="37" t="s">
        <v>14</v>
      </c>
      <c r="E2929" s="38">
        <v>2.0</v>
      </c>
      <c r="F2929" s="38">
        <v>100.0</v>
      </c>
      <c r="G2929" s="11">
        <v>339462.0</v>
      </c>
      <c r="H2929" s="34" t="str">
        <f>IFERROR(__xludf.DUMMYFUNCTION("LOWER(REGEXREPLACE(B2929&amp;"" ""&amp;C2929,""[^а-яa-z0-9 ]"","" ""))"),"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стержн"&amp;"я от пола   наименьшая   1450мм  наибольшая   2550мм   егулировка по высоте с интервалом   50   200   лина стержня между головками стоек   2400мм   иаметр стержня   28мм ")</f>
        <v>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стержня от пола   наименьшая   1450мм  наибольшая   2550мм   егулировка по высоте с интервалом   50   200   лина стержня между головками стоек   2400мм   иаметр стержня   28мм </v>
      </c>
    </row>
    <row r="2930">
      <c r="A2930" s="35" t="s">
        <v>6853</v>
      </c>
      <c r="B2930" s="31" t="s">
        <v>6854</v>
      </c>
      <c r="C2930" s="31" t="s">
        <v>6855</v>
      </c>
      <c r="D2930" s="37" t="s">
        <v>14</v>
      </c>
      <c r="E2930" s="38">
        <v>2.0</v>
      </c>
      <c r="F2930" s="38">
        <v>75.0</v>
      </c>
      <c r="G2930" s="11">
        <v>267501.0</v>
      </c>
      <c r="H2930" s="34" t="str">
        <f>IFERROR(__xludf.DUMMYFUNCTION("LOWER(REGEXREPLACE(B2930&amp;"" ""&amp;C2930,""[^а-яa-z0-9 ]"","" ""))"),"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пристенной"&amp;"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л"&amp;"егированная сталь ")</f>
        <v>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легированная сталь </v>
      </c>
    </row>
    <row r="2931">
      <c r="A2931" s="35" t="s">
        <v>6856</v>
      </c>
      <c r="B2931" s="31" t="s">
        <v>6857</v>
      </c>
      <c r="C2931" s="31" t="s">
        <v>6858</v>
      </c>
      <c r="D2931" s="37" t="s">
        <v>14</v>
      </c>
      <c r="E2931" s="38">
        <v>2.0</v>
      </c>
      <c r="F2931" s="38">
        <v>8.0</v>
      </c>
      <c r="G2931" s="11">
        <v>46104.0</v>
      </c>
      <c r="H2931" s="34" t="str">
        <f>IFERROR(__xludf.DUMMYFUNCTION("LOWER(REGEXREPLACE(B2931&amp;"" ""&amp;C2931,""[^а-яa-z0-9 ]"","" ""))"),"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дл"&amp;"я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изг"&amp;"отовлен из профильной трубы 30 30мм  перекладина изготовлена из трубы диам  30мм ")</f>
        <v>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изготовлен из профильной трубы 30 30мм  перекладина изготовлена из трубы диам  30мм </v>
      </c>
    </row>
    <row r="2932">
      <c r="A2932" s="35" t="s">
        <v>6859</v>
      </c>
      <c r="B2932" s="31" t="s">
        <v>6860</v>
      </c>
      <c r="C2932" s="31"/>
      <c r="D2932" s="37" t="s">
        <v>14</v>
      </c>
      <c r="E2932" s="10"/>
      <c r="F2932" s="36"/>
      <c r="G2932" s="11"/>
      <c r="H2932" s="34" t="str">
        <f>IFERROR(__xludf.DUMMYFUNCTION("LOWER(REGEXREPLACE(B2932&amp;"" ""&amp;C2932,""[^а-яa-z0-9 ]"","" ""))")," раната для метания ")</f>
        <v> раната для метания </v>
      </c>
    </row>
    <row r="2933">
      <c r="A2933" s="35" t="s">
        <v>6861</v>
      </c>
      <c r="B2933" s="31" t="s">
        <v>6862</v>
      </c>
      <c r="C2933" s="31" t="s">
        <v>6863</v>
      </c>
      <c r="D2933" s="37" t="s">
        <v>14</v>
      </c>
      <c r="E2933" s="38">
        <v>1.0</v>
      </c>
      <c r="F2933" s="39">
        <v>0.5</v>
      </c>
      <c r="G2933" s="11">
        <v>5943.0</v>
      </c>
      <c r="H2933" s="34" t="str">
        <f>IFERROR(__xludf.DUMMYFUNCTION("LOWER(REGEXREPLACE(B2933&amp;"" ""&amp;C2933,""[^а-яa-z0-9 ]"","" ""))")," ранаты для метания 500 гр  раната состоит из деревянной ручки и металлического стакана с эмалевым покрытием черного цвета  диаметром 48мм   ес 500 грамм")</f>
        <v> ранаты для метания 500 гр  раната состоит из деревянной ручки и металлического стакана с эмалевым покрытием черного цвета  диаметром 48мм   ес 500 грамм</v>
      </c>
    </row>
    <row r="2934">
      <c r="A2934" s="35" t="s">
        <v>6864</v>
      </c>
      <c r="B2934" s="31" t="s">
        <v>6865</v>
      </c>
      <c r="C2934" s="31" t="s">
        <v>6866</v>
      </c>
      <c r="D2934" s="37" t="s">
        <v>14</v>
      </c>
      <c r="E2934" s="38">
        <v>1.0</v>
      </c>
      <c r="F2934" s="39">
        <v>0.7</v>
      </c>
      <c r="G2934" s="11">
        <v>6793.0</v>
      </c>
      <c r="H2934" s="34" t="str">
        <f>IFERROR(__xludf.DUMMYFUNCTION("LOWER(REGEXREPLACE(B2934&amp;"" ""&amp;C2934,""[^а-яa-z0-9 ]"","" ""))")," ранаты для метания 700 гр  раната состоит из деревянной ручки и металлического стакана с эмалевым покрытием черного цвета  диаметром 48мм   ес 700 грамм")</f>
        <v> ранаты для метания 700 гр  раната состоит из деревянной ручки и металлического стакана с эмалевым покрытием черного цвета  диаметром 48мм   ес 700 грамм</v>
      </c>
    </row>
    <row r="2935">
      <c r="A2935" s="35" t="s">
        <v>6867</v>
      </c>
      <c r="B2935" s="31" t="s">
        <v>6868</v>
      </c>
      <c r="C2935" s="31" t="s">
        <v>6869</v>
      </c>
      <c r="D2935" s="37" t="s">
        <v>14</v>
      </c>
      <c r="E2935" s="38">
        <v>1.0</v>
      </c>
      <c r="F2935" s="39">
        <v>0.3</v>
      </c>
      <c r="G2935" s="11">
        <v>5383.0</v>
      </c>
      <c r="H2935" s="34" t="str">
        <f>IFERROR(__xludf.DUMMYFUNCTION("LOWER(REGEXREPLACE(B2935&amp;"" ""&amp;C2935,""[^а-яa-z0-9 ]"","" ""))")," раната для метания 300 гр  раната состоит из деревянной ручки и металлического стакана с эмалевым покрытием черного цвета  диаметром 48мм   ес 300 грамм")</f>
        <v> раната для метания 300 гр  раната состоит из деревянной ручки и металлического стакана с эмалевым покрытием черного цвета  диаметром 48мм   ес 300 грамм</v>
      </c>
    </row>
    <row r="2936">
      <c r="A2936" s="35" t="s">
        <v>6870</v>
      </c>
      <c r="B2936" s="31" t="s">
        <v>6871</v>
      </c>
      <c r="C2936" s="31"/>
      <c r="D2936" s="37" t="s">
        <v>14</v>
      </c>
      <c r="E2936" s="10"/>
      <c r="F2936" s="36"/>
      <c r="G2936" s="11"/>
      <c r="H2936" s="34" t="str">
        <f>IFERROR(__xludf.DUMMYFUNCTION("LOWER(REGEXREPLACE(B2936&amp;"" ""&amp;C2936,""[^а-яa-z0-9 ]"","" ""))")," ольцо баскетбольное ")</f>
        <v> ольцо баскетбольное </v>
      </c>
    </row>
    <row r="2937">
      <c r="A2937" s="35" t="s">
        <v>6872</v>
      </c>
      <c r="B2937" s="31" t="s">
        <v>6873</v>
      </c>
      <c r="C2937" s="31"/>
      <c r="D2937" s="37" t="s">
        <v>14</v>
      </c>
      <c r="E2937" s="38">
        <v>1.0</v>
      </c>
      <c r="F2937" s="39">
        <v>4.5</v>
      </c>
      <c r="G2937" s="11">
        <v>4911.0</v>
      </c>
      <c r="H2937" s="34" t="str">
        <f>IFERROR(__xludf.DUMMYFUNCTION("LOWER(REGEXREPLACE(B2937&amp;"" ""&amp;C2937,""[^а-яa-z0-9 ]"","" ""))")," аскетбольное кольцо ")</f>
        <v> аскетбольное кольцо </v>
      </c>
    </row>
    <row r="2938">
      <c r="A2938" s="35" t="s">
        <v>6874</v>
      </c>
      <c r="B2938" s="31" t="s">
        <v>6875</v>
      </c>
      <c r="C2938" s="31"/>
      <c r="D2938" s="37" t="s">
        <v>14</v>
      </c>
      <c r="E2938" s="38">
        <v>1.0</v>
      </c>
      <c r="F2938" s="39">
        <v>4.5</v>
      </c>
      <c r="G2938" s="11">
        <v>8482.0</v>
      </c>
      <c r="H2938" s="34" t="str">
        <f>IFERROR(__xludf.DUMMYFUNCTION("LOWER(REGEXREPLACE(B2938&amp;"" ""&amp;C2938,""[^а-яa-z0-9 ]"","" ""))")," аскетбольное кольцо на оргстекло ")</f>
        <v> аскетбольное кольцо на оргстекло </v>
      </c>
    </row>
    <row r="2939">
      <c r="A2939" s="35" t="s">
        <v>6876</v>
      </c>
      <c r="B2939" s="31" t="s">
        <v>6877</v>
      </c>
      <c r="C2939" s="31"/>
      <c r="D2939" s="37" t="s">
        <v>14</v>
      </c>
      <c r="E2939" s="38">
        <v>1.0</v>
      </c>
      <c r="F2939" s="39">
        <v>4.6</v>
      </c>
      <c r="G2939" s="11">
        <v>11607.0</v>
      </c>
      <c r="H2939" s="34" t="str">
        <f>IFERROR(__xludf.DUMMYFUNCTION("LOWER(REGEXREPLACE(B2939&amp;"" ""&amp;C2939,""[^а-яa-z0-9 ]"","" ""))")," аскетбольное кольцо на оргстекло с амортизатором ")</f>
        <v> аскетбольное кольцо на оргстекло с амортизатором </v>
      </c>
    </row>
    <row r="2940">
      <c r="A2940" s="35" t="s">
        <v>6878</v>
      </c>
      <c r="B2940" s="31" t="s">
        <v>6879</v>
      </c>
      <c r="C2940" s="31" t="s">
        <v>6880</v>
      </c>
      <c r="D2940" s="37" t="s">
        <v>14</v>
      </c>
      <c r="E2940" s="38">
        <v>2.0</v>
      </c>
      <c r="F2940" s="38">
        <v>7.0</v>
      </c>
      <c r="G2940" s="11">
        <v>22509.0</v>
      </c>
      <c r="H2940" s="34" t="str">
        <f>IFERROR(__xludf.DUMMYFUNCTION("LOWER(REGEXREPLACE(B2940&amp;"" ""&amp;C2940,""[^а-яa-z0-9 ]"","" ""))"),"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f>
        <v>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v>
      </c>
    </row>
    <row r="2941">
      <c r="A2941" s="35" t="s">
        <v>6881</v>
      </c>
      <c r="B2941" s="31" t="s">
        <v>6882</v>
      </c>
      <c r="C2941" s="31" t="s">
        <v>6883</v>
      </c>
      <c r="D2941" s="37" t="s">
        <v>14</v>
      </c>
      <c r="E2941" s="38">
        <v>2.0</v>
      </c>
      <c r="F2941" s="38">
        <v>12.0</v>
      </c>
      <c r="G2941" s="11">
        <v>37817.0</v>
      </c>
      <c r="H2941" s="34" t="str">
        <f>IFERROR(__xludf.DUMMYFUNCTION("LOWER(REGEXREPLACE(B2941&amp;"" ""&amp;C2941,""[^а-яa-z0-9 ]"","" ""))"),"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10х11с"&amp;"м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f>
        <v>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v>
      </c>
    </row>
    <row r="2942">
      <c r="A2942" s="35" t="s">
        <v>6884</v>
      </c>
      <c r="B2942" s="31" t="s">
        <v>6885</v>
      </c>
      <c r="C2942" s="31"/>
      <c r="D2942" s="37" t="s">
        <v>14</v>
      </c>
      <c r="E2942" s="10"/>
      <c r="F2942" s="36"/>
      <c r="G2942" s="11"/>
      <c r="H2942" s="34" t="str">
        <f>IFERROR(__xludf.DUMMYFUNCTION("LOWER(REGEXREPLACE(B2942&amp;"" ""&amp;C2942,""[^а-яa-z0-9 ]"","" ""))")," етка баскетбольная ")</f>
        <v> етка баскетбольная </v>
      </c>
    </row>
    <row r="2943">
      <c r="A2943" s="35" t="s">
        <v>6886</v>
      </c>
      <c r="B2943" s="31" t="s">
        <v>6887</v>
      </c>
      <c r="C2943" s="31"/>
      <c r="D2943" s="37" t="s">
        <v>14</v>
      </c>
      <c r="E2943" s="38">
        <v>1.0</v>
      </c>
      <c r="F2943" s="39">
        <v>0.4</v>
      </c>
      <c r="G2943" s="11">
        <v>536.0</v>
      </c>
      <c r="H2943" s="34" t="str">
        <f>IFERROR(__xludf.DUMMYFUNCTION("LOWER(REGEXREPLACE(B2943&amp;"" ""&amp;C2943,""[^а-яa-z0-9 ]"","" ""))")," етка для баскетбола ")</f>
        <v> етка для баскетбола </v>
      </c>
    </row>
    <row r="2944">
      <c r="A2944" s="35" t="s">
        <v>6888</v>
      </c>
      <c r="B2944" s="31" t="s">
        <v>6889</v>
      </c>
      <c r="C2944" s="31" t="s">
        <v>6890</v>
      </c>
      <c r="D2944" s="37" t="s">
        <v>14</v>
      </c>
      <c r="E2944" s="38">
        <v>2.0</v>
      </c>
      <c r="F2944" s="39">
        <v>0.1</v>
      </c>
      <c r="G2944" s="11">
        <v>3598.0</v>
      </c>
      <c r="H2944" s="34" t="str">
        <f>IFERROR(__xludf.DUMMYFUNCTION("LOWER(REGEXREPLACE(B2944&amp;"" ""&amp;C2944,""[^а-яa-z0-9 ]"","" ""))")," етка баскетбольная  длина 400мм  ячейка 50х50мм  етка баскетбольная   ить   3мм  12 петель   лина   400мм   нутренний диаметр   450 мм    чейка   50х50")</f>
        <v> етка баскетбольная  длина 400мм  ячейка 50х50мм  етка баскетбольная   ить   3мм  12 петель   лина   400мм   нутренний диаметр   450 мм    чейка   50х50</v>
      </c>
    </row>
    <row r="2945">
      <c r="A2945" s="35" t="s">
        <v>6891</v>
      </c>
      <c r="B2945" s="31" t="s">
        <v>6892</v>
      </c>
      <c r="C2945" s="31"/>
      <c r="D2945" s="36"/>
      <c r="E2945" s="10"/>
      <c r="F2945" s="36"/>
      <c r="G2945" s="11"/>
      <c r="H2945" s="34" t="str">
        <f>IFERROR(__xludf.DUMMYFUNCTION("LOWER(REGEXREPLACE(B2945&amp;"" ""&amp;C2945,""[^а-яa-z0-9 ]"","" ""))")," ахматы и шашки ")</f>
        <v> ахматы и шашки </v>
      </c>
    </row>
    <row r="2946">
      <c r="A2946" s="35" t="s">
        <v>6893</v>
      </c>
      <c r="B2946" s="31" t="s">
        <v>6894</v>
      </c>
      <c r="C2946" s="31"/>
      <c r="D2946" s="37" t="s">
        <v>14</v>
      </c>
      <c r="E2946" s="38">
        <v>1.0</v>
      </c>
      <c r="F2946" s="40">
        <v>0.68</v>
      </c>
      <c r="G2946" s="11">
        <v>2143.0</v>
      </c>
      <c r="H2946" s="34" t="str">
        <f>IFERROR(__xludf.DUMMYFUNCTION("LOWER(REGEXREPLACE(B2946&amp;"" ""&amp;C2946,""[^а-яa-z0-9 ]"","" ""))")," ахматы 3в 1  340мм х 340 мм  ")</f>
        <v> ахматы 3в 1  340мм х 340 мм  </v>
      </c>
    </row>
    <row r="2947">
      <c r="A2947" s="35" t="s">
        <v>6895</v>
      </c>
      <c r="B2947" s="31" t="s">
        <v>6896</v>
      </c>
      <c r="C2947" s="31"/>
      <c r="D2947" s="37" t="s">
        <v>14</v>
      </c>
      <c r="E2947" s="38">
        <v>1.0</v>
      </c>
      <c r="F2947" s="39">
        <v>0.7</v>
      </c>
      <c r="G2947" s="11">
        <v>10089.0</v>
      </c>
      <c r="H2947" s="34" t="str">
        <f>IFERROR(__xludf.DUMMYFUNCTION("LOWER(REGEXREPLACE(B2947&amp;"" ""&amp;C2947,""[^а-яa-z0-9 ]"","" ""))")," ахматы 3в 1  390мм х 390 мм  ")</f>
        <v> ахматы 3в 1  390мм х 390 мм  </v>
      </c>
    </row>
    <row r="2948">
      <c r="A2948" s="35" t="s">
        <v>6897</v>
      </c>
      <c r="B2948" s="9" t="s">
        <v>6898</v>
      </c>
      <c r="C2948" s="31" t="s">
        <v>6899</v>
      </c>
      <c r="D2948" s="37" t="s">
        <v>14</v>
      </c>
      <c r="E2948" s="38">
        <v>1.0</v>
      </c>
      <c r="F2948" s="38">
        <v>1.0</v>
      </c>
      <c r="G2948" s="11">
        <v>10127.0</v>
      </c>
      <c r="H2948" s="34" t="str">
        <f>IFERROR(__xludf.DUMMYFUNCTION("LOWER(REGEXREPLACE(B2948&amp;"" ""&amp;C2948,""[^а-яa-z0-9 ]"","" ""))"),"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f>
        <v>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v>
      </c>
    </row>
    <row r="2949">
      <c r="A2949" s="35" t="s">
        <v>6900</v>
      </c>
      <c r="B2949" s="9" t="s">
        <v>6901</v>
      </c>
      <c r="C2949" s="31" t="s">
        <v>6902</v>
      </c>
      <c r="D2949" s="37" t="s">
        <v>14</v>
      </c>
      <c r="E2949" s="38">
        <v>1.0</v>
      </c>
      <c r="F2949" s="38">
        <v>1.0</v>
      </c>
      <c r="G2949" s="11">
        <v>5858.0</v>
      </c>
      <c r="H2949" s="34" t="str">
        <f>IFERROR(__xludf.DUMMYFUNCTION("LOWER(REGEXREPLACE(B2949&amp;"" ""&amp;C2949,""[^а-яa-z0-9 ]"","" ""))")," ашки размерами 480 х 500 х 30 мм     214  ашки     214   абариты в закрытом виде  длина   48 см  ширина   25 см  высота   6 см   абариты в открытом виде  длина   48 см   ширина   50 см  высота   3 см")</f>
        <v> ашки размерами 480 х 500 х 30 мм     214  ашки     214   абариты в закрытом виде  длина   48 см  ширина   25 см  высота   6 см   абариты в открытом виде  длина   48 см   ширина   50 см  высота   3 см</v>
      </c>
    </row>
    <row r="2950">
      <c r="A2950" s="35" t="s">
        <v>6903</v>
      </c>
      <c r="B2950" s="31" t="s">
        <v>6904</v>
      </c>
      <c r="C2950" s="31"/>
      <c r="D2950" s="37" t="s">
        <v>68</v>
      </c>
      <c r="E2950" s="38">
        <v>1.0</v>
      </c>
      <c r="F2950" s="39">
        <v>0.6</v>
      </c>
      <c r="G2950" s="11">
        <v>7264.0</v>
      </c>
      <c r="H2950" s="34" t="str">
        <f>IFERROR(__xludf.DUMMYFUNCTION("LOWER(REGEXREPLACE(B2950&amp;"" ""&amp;C2950,""[^а-яa-z0-9 ]"","" ""))")," ахматная доска складная виниловая размерами 510 мм х 510 мм с фигурами     200 ")</f>
        <v> ахматная доска складная виниловая размерами 510 мм х 510 мм с фигурами     200 </v>
      </c>
    </row>
    <row r="2951">
      <c r="A2951" s="35" t="s">
        <v>6905</v>
      </c>
      <c r="B2951" s="31" t="s">
        <v>6906</v>
      </c>
      <c r="C2951" s="31"/>
      <c r="D2951" s="37" t="s">
        <v>14</v>
      </c>
      <c r="E2951" s="10"/>
      <c r="F2951" s="36"/>
      <c r="G2951" s="11"/>
      <c r="H2951" s="34" t="str">
        <f>IFERROR(__xludf.DUMMYFUNCTION("LOWER(REGEXREPLACE(B2951&amp;"" ""&amp;C2951,""[^а-яa-z0-9 ]"","" ""))")," алик массажный ")</f>
        <v> алик массажный </v>
      </c>
    </row>
    <row r="2952">
      <c r="A2952" s="35" t="s">
        <v>6907</v>
      </c>
      <c r="B2952" s="31" t="s">
        <v>6908</v>
      </c>
      <c r="C2952" s="31"/>
      <c r="D2952" s="37" t="s">
        <v>14</v>
      </c>
      <c r="E2952" s="38">
        <v>1.0</v>
      </c>
      <c r="F2952" s="39">
        <v>0.8</v>
      </c>
      <c r="G2952" s="11">
        <v>3839.0</v>
      </c>
      <c r="H2952" s="34" t="str">
        <f>IFERROR(__xludf.DUMMYFUNCTION("LOWER(REGEXREPLACE(B2952&amp;"" ""&amp;C2952,""[^а-яa-z0-9 ]"","" ""))")," ассажные валики  ролики  для фитнеса 45см ")</f>
        <v> ассажные валики  ролики  для фитнеса 45см </v>
      </c>
    </row>
    <row r="2953">
      <c r="A2953" s="35" t="s">
        <v>6909</v>
      </c>
      <c r="B2953" s="31" t="s">
        <v>6910</v>
      </c>
      <c r="C2953" s="31"/>
      <c r="D2953" s="37" t="s">
        <v>14</v>
      </c>
      <c r="E2953" s="38">
        <v>1.0</v>
      </c>
      <c r="F2953" s="39">
        <v>0.5</v>
      </c>
      <c r="G2953" s="11">
        <v>2589.0</v>
      </c>
      <c r="H2953" s="34" t="str">
        <f>IFERROR(__xludf.DUMMYFUNCTION("LOWER(REGEXREPLACE(B2953&amp;"" ""&amp;C2953,""[^а-яa-z0-9 ]"","" ""))")," ассажные валики  ролики  для фитнеса 30см ")</f>
        <v> ассажные валики  ролики  для фитнеса 30см </v>
      </c>
    </row>
    <row r="2954">
      <c r="A2954" s="35" t="s">
        <v>6911</v>
      </c>
      <c r="B2954" s="31" t="s">
        <v>6912</v>
      </c>
      <c r="C2954" s="31"/>
      <c r="D2954" s="37" t="s">
        <v>14</v>
      </c>
      <c r="E2954" s="38">
        <v>1.0</v>
      </c>
      <c r="F2954" s="40">
        <v>0.55</v>
      </c>
      <c r="G2954" s="11">
        <v>2857.0</v>
      </c>
      <c r="H2954" s="34" t="str">
        <f>IFERROR(__xludf.DUMMYFUNCTION("LOWER(REGEXREPLACE(B2954&amp;"" ""&amp;C2954,""[^а-яa-z0-9 ]"","" ""))")," ассажные валики  ролики  для фитнеса 33см ")</f>
        <v> ассажные валики  ролики  для фитнеса 33см </v>
      </c>
    </row>
    <row r="2955">
      <c r="A2955" s="35" t="s">
        <v>6913</v>
      </c>
      <c r="B2955" s="31" t="s">
        <v>6914</v>
      </c>
      <c r="C2955" s="31"/>
      <c r="D2955" s="37" t="s">
        <v>14</v>
      </c>
      <c r="E2955" s="38">
        <v>1.0</v>
      </c>
      <c r="F2955" s="40">
        <v>0.86</v>
      </c>
      <c r="G2955" s="11">
        <v>4911.0</v>
      </c>
      <c r="H2955" s="34" t="str">
        <f>IFERROR(__xludf.DUMMYFUNCTION("LOWER(REGEXREPLACE(B2955&amp;"" ""&amp;C2955,""[^а-яa-z0-9 ]"","" ""))")," ассажные валики  ролики  для фитнеса 60см ")</f>
        <v> ассажные валики  ролики  для фитнеса 60см </v>
      </c>
    </row>
    <row r="2956">
      <c r="A2956" s="35" t="s">
        <v>6915</v>
      </c>
      <c r="B2956" s="31" t="s">
        <v>6916</v>
      </c>
      <c r="C2956" s="31"/>
      <c r="D2956" s="37" t="s">
        <v>14</v>
      </c>
      <c r="E2956" s="38">
        <v>1.0</v>
      </c>
      <c r="F2956" s="40">
        <v>0.92</v>
      </c>
      <c r="G2956" s="11">
        <v>7500.0</v>
      </c>
      <c r="H2956" s="34" t="str">
        <f>IFERROR(__xludf.DUMMYFUNCTION("LOWER(REGEXREPLACE(B2956&amp;"" ""&amp;C2956,""[^а-яa-z0-9 ]"","" ""))")," ассажные валики  ролики  для фитнеса 90см ")</f>
        <v> ассажные валики  ролики  для фитнеса 90см </v>
      </c>
    </row>
    <row r="2957">
      <c r="A2957" s="35" t="s">
        <v>6917</v>
      </c>
      <c r="B2957" s="31" t="s">
        <v>6918</v>
      </c>
      <c r="C2957" s="31"/>
      <c r="D2957" s="37" t="s">
        <v>14</v>
      </c>
      <c r="E2957" s="10"/>
      <c r="F2957" s="36"/>
      <c r="G2957" s="11"/>
      <c r="H2957" s="34" t="str">
        <f>IFERROR(__xludf.DUMMYFUNCTION("LOWER(REGEXREPLACE(B2957&amp;"" ""&amp;C2957,""[^а-яa-z0-9 ]"","" ""))")," ит баскетбольный ")</f>
        <v> ит баскетбольный </v>
      </c>
    </row>
    <row r="2958">
      <c r="A2958" s="35" t="s">
        <v>6919</v>
      </c>
      <c r="B2958" s="9" t="s">
        <v>6920</v>
      </c>
      <c r="C2958" s="31" t="s">
        <v>6921</v>
      </c>
      <c r="D2958" s="37" t="s">
        <v>14</v>
      </c>
      <c r="E2958" s="38">
        <v>1.0</v>
      </c>
      <c r="F2958" s="38">
        <v>18.0</v>
      </c>
      <c r="G2958" s="11">
        <v>18750.0</v>
      </c>
      <c r="H2958" s="34" t="str">
        <f>IFERROR(__xludf.DUMMYFUNCTION("LOWER(REGEXREPLACE(B2958&amp;"" ""&amp;C2958,""[^а-яa-z0-9 ]"","" ""))"),"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f>
        <v>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v>
      </c>
    </row>
    <row r="2959">
      <c r="A2959" s="35" t="s">
        <v>6922</v>
      </c>
      <c r="B2959" s="9" t="s">
        <v>6923</v>
      </c>
      <c r="C2959" s="31"/>
      <c r="D2959" s="37" t="s">
        <v>14</v>
      </c>
      <c r="E2959" s="38">
        <v>1.0</v>
      </c>
      <c r="F2959" s="39">
        <v>18.5</v>
      </c>
      <c r="G2959" s="11">
        <v>38393.0</v>
      </c>
      <c r="H2959" s="34" t="str">
        <f>IFERROR(__xludf.DUMMYFUNCTION("LOWER(REGEXREPLACE(B2959&amp;"" ""&amp;C2959,""[^а-яa-z0-9 ]"","" ""))")," ит баскетбольный 1800 1050 из влагостойкой фанеры ")</f>
        <v> ит баскетбольный 1800 1050 из влагостойкой фанеры </v>
      </c>
    </row>
    <row r="2960">
      <c r="A2960" s="35" t="s">
        <v>6924</v>
      </c>
      <c r="B2960" s="9" t="s">
        <v>6925</v>
      </c>
      <c r="C2960" s="31" t="s">
        <v>6926</v>
      </c>
      <c r="D2960" s="37" t="s">
        <v>14</v>
      </c>
      <c r="E2960" s="38">
        <v>1.0</v>
      </c>
      <c r="F2960" s="38">
        <v>60.0</v>
      </c>
      <c r="G2960" s="11">
        <v>316910.0</v>
      </c>
      <c r="H2960" s="34" t="str">
        <f>IFERROR(__xludf.DUMMYFUNCTION("LOWER(REGEXREPLACE(B2960&amp;"" ""&amp;C2960,""[^а-яa-z0-9 ]"","" ""))"),"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мягкий"&amp;" протектор в нижней части   олщина щита 10 мм  размер 1800х1200мм   а щит нанесена разметка белого цвета шириной 50мм")</f>
        <v>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олщина щита 10 мм  размер 1800х1200мм   а щит нанесена разметка белого цвета шириной 50мм</v>
      </c>
    </row>
    <row r="2961">
      <c r="A2961" s="35" t="s">
        <v>6927</v>
      </c>
      <c r="B2961" s="31" t="s">
        <v>6928</v>
      </c>
      <c r="C2961" s="31" t="s">
        <v>6929</v>
      </c>
      <c r="D2961" s="37" t="s">
        <v>14</v>
      </c>
      <c r="E2961" s="38">
        <v>1.0</v>
      </c>
      <c r="F2961" s="38">
        <v>45.0</v>
      </c>
      <c r="G2961" s="11">
        <v>253047.0</v>
      </c>
      <c r="H2961" s="34" t="str">
        <f>IFERROR(__xludf.DUMMYFUNCTION("LOWER(REGEXREPLACE(B2961&amp;"" ""&amp;C2961,""[^а-яa-z0-9 ]"","" ""))"),"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и"&amp;"т закреплен на стальной раме   ама щита изготовлена из профильной трубы 40х40х1 5мм  стяжки рамы из трубы 40х25х2мм ")</f>
        <v>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ит закреплен на стальной раме   ама щита изготовлена из профильной трубы 40х40х1 5мм  стяжки рамы из трубы 40х25х2мм </v>
      </c>
    </row>
    <row r="2962">
      <c r="A2962" s="35" t="s">
        <v>6930</v>
      </c>
      <c r="B2962" s="9" t="s">
        <v>6931</v>
      </c>
      <c r="C2962" s="31" t="s">
        <v>6932</v>
      </c>
      <c r="D2962" s="37" t="s">
        <v>14</v>
      </c>
      <c r="E2962" s="38">
        <v>2.0</v>
      </c>
      <c r="F2962" s="38">
        <v>35.0</v>
      </c>
      <c r="G2962" s="11">
        <v>182511.0</v>
      </c>
      <c r="H2962" s="34" t="str">
        <f>IFERROR(__xludf.DUMMYFUNCTION("LOWER(REGEXREPLACE(B2962&amp;"" ""&amp;C2962,""[^а-яa-z0-9 ]"","" ""))"),"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бело"&amp;"го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f>
        <v>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v>
      </c>
    </row>
    <row r="2963">
      <c r="A2963" s="35" t="s">
        <v>6933</v>
      </c>
      <c r="B2963" s="9" t="s">
        <v>6934</v>
      </c>
      <c r="C2963" s="31" t="s">
        <v>6935</v>
      </c>
      <c r="D2963" s="37" t="s">
        <v>14</v>
      </c>
      <c r="E2963" s="38">
        <v>2.0</v>
      </c>
      <c r="F2963" s="39">
        <v>26.7</v>
      </c>
      <c r="G2963" s="11">
        <v>130410.0</v>
      </c>
      <c r="H2963" s="34" t="str">
        <f>IFERROR(__xludf.DUMMYFUNCTION("LOWER(REGEXREPLACE(B2963&amp;"" ""&amp;C2963,""[^а-яa-z0-9 ]"","" ""))"),"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раз"&amp;"метка белого цвета шириной 50мм   ит закреплен на раму  на раме имеются крепления на стену или на ферму   ама щита окрашена методом порошкового напыления ")</f>
        <v>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стену или на ферму   ама щита окрашена методом порошкового напыления </v>
      </c>
    </row>
    <row r="2964">
      <c r="A2964" s="35" t="s">
        <v>6936</v>
      </c>
      <c r="B2964" s="31" t="s">
        <v>6937</v>
      </c>
      <c r="C2964" s="31" t="s">
        <v>6938</v>
      </c>
      <c r="D2964" s="37" t="s">
        <v>14</v>
      </c>
      <c r="E2964" s="38">
        <v>2.0</v>
      </c>
      <c r="F2964" s="38">
        <v>13.0</v>
      </c>
      <c r="G2964" s="11">
        <v>63001.0</v>
      </c>
      <c r="H2964" s="34" t="str">
        <f>IFERROR(__xludf.DUMMYFUNCTION("LOWER(REGEXREPLACE(B2964&amp;"" ""&amp;C2964,""[^а-яa-z0-9 ]"","" ""))"),"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име"&amp;"ет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порошко"&amp;"вая краска")</f>
        <v>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5">
      <c r="A2965" s="35" t="s">
        <v>6939</v>
      </c>
      <c r="B2965" s="31" t="s">
        <v>6940</v>
      </c>
      <c r="C2965" s="31" t="s">
        <v>6941</v>
      </c>
      <c r="D2965" s="37" t="s">
        <v>14</v>
      </c>
      <c r="E2965" s="38">
        <v>2.0</v>
      </c>
      <c r="F2965" s="38">
        <v>15.0</v>
      </c>
      <c r="G2965" s="11">
        <v>74699.0</v>
      </c>
      <c r="H2965" s="34" t="str">
        <f>IFERROR(__xludf.DUMMYFUNCTION("LOWER(REGEXREPLACE(B2965&amp;"" ""&amp;C2965,""[^а-яa-z0-9 ]"","" ""))"),"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с"&amp;"тены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f>
        <v>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6">
      <c r="A2966" s="35" t="s">
        <v>6942</v>
      </c>
      <c r="B2966" s="31" t="s">
        <v>6943</v>
      </c>
      <c r="C2966" s="31"/>
      <c r="D2966" s="37" t="s">
        <v>14</v>
      </c>
      <c r="E2966" s="10"/>
      <c r="F2966" s="36"/>
      <c r="G2966" s="11"/>
      <c r="H2966" s="34" t="str">
        <f>IFERROR(__xludf.DUMMYFUNCTION("LOWER(REGEXREPLACE(B2966&amp;"" ""&amp;C2966,""[^а-яa-z0-9 ]"","" ""))")," ама для баскетбольного щита ")</f>
        <v> ама для баскетбольного щита </v>
      </c>
    </row>
    <row r="2967">
      <c r="A2967" s="35" t="s">
        <v>6944</v>
      </c>
      <c r="B2967" s="31" t="s">
        <v>6945</v>
      </c>
      <c r="C2967" s="31"/>
      <c r="D2967" s="37" t="s">
        <v>14</v>
      </c>
      <c r="E2967" s="38">
        <v>1.0</v>
      </c>
      <c r="F2967" s="38">
        <v>12.0</v>
      </c>
      <c r="G2967" s="11">
        <v>17857.0</v>
      </c>
      <c r="H2967" s="34" t="str">
        <f>IFERROR(__xludf.DUMMYFUNCTION("LOWER(REGEXREPLACE(B2967&amp;"" ""&amp;C2967,""[^а-яa-z0-9 ]"","" ""))")," ама для баскетбольного щита 180 105см ")</f>
        <v> ама для баскетбольного щита 180 105см </v>
      </c>
    </row>
    <row r="2968">
      <c r="A2968" s="35" t="s">
        <v>6946</v>
      </c>
      <c r="B2968" s="31" t="s">
        <v>6947</v>
      </c>
      <c r="C2968" s="31"/>
      <c r="D2968" s="37" t="s">
        <v>14</v>
      </c>
      <c r="E2968" s="38">
        <v>1.0</v>
      </c>
      <c r="F2968" s="39">
        <v>11.5</v>
      </c>
      <c r="G2968" s="11">
        <v>15179.0</v>
      </c>
      <c r="H2968" s="34" t="str">
        <f>IFERROR(__xludf.DUMMYFUNCTION("LOWER(REGEXREPLACE(B2968&amp;"" ""&amp;C2968,""[^а-яa-z0-9 ]"","" ""))")," ама для баскетбольного щита 120 80см ")</f>
        <v> ама для баскетбольного щита 120 80см </v>
      </c>
    </row>
    <row r="2969">
      <c r="A2969" s="35" t="s">
        <v>6948</v>
      </c>
      <c r="B2969" s="31" t="s">
        <v>932</v>
      </c>
      <c r="C2969" s="31"/>
      <c r="D2969" s="37" t="s">
        <v>14</v>
      </c>
      <c r="E2969" s="10"/>
      <c r="F2969" s="36"/>
      <c r="G2969" s="11"/>
      <c r="H2969" s="34" t="str">
        <f>IFERROR(__xludf.DUMMYFUNCTION("LOWER(REGEXREPLACE(B2969&amp;"" ""&amp;C2969,""[^а-яa-z0-9 ]"","" ""))")," анки ")</f>
        <v> анки </v>
      </c>
    </row>
    <row r="2970">
      <c r="A2970" s="35" t="s">
        <v>6949</v>
      </c>
      <c r="B2970" s="31" t="s">
        <v>6950</v>
      </c>
      <c r="C2970" s="31"/>
      <c r="D2970" s="37" t="s">
        <v>14</v>
      </c>
      <c r="E2970" s="38">
        <v>1.0</v>
      </c>
      <c r="F2970" s="39">
        <v>1.5</v>
      </c>
      <c r="G2970" s="11">
        <v>2679.0</v>
      </c>
      <c r="H2970" s="34" t="str">
        <f>IFERROR(__xludf.DUMMYFUNCTION("LOWER(REGEXREPLACE(B2970&amp;"" ""&amp;C2970,""[^а-яa-z0-9 ]"","" ""))")," анки снеголет 80 х 30 см ")</f>
        <v> анки снеголет 80 х 30 см </v>
      </c>
    </row>
    <row r="2971">
      <c r="A2971" s="35" t="s">
        <v>6951</v>
      </c>
      <c r="B2971" s="31" t="s">
        <v>6952</v>
      </c>
      <c r="C2971" s="31"/>
      <c r="D2971" s="36"/>
      <c r="E2971" s="10"/>
      <c r="F2971" s="36"/>
      <c r="G2971" s="11"/>
      <c r="H2971" s="34" t="str">
        <f>IFERROR(__xludf.DUMMYFUNCTION("LOWER(REGEXREPLACE(B2971&amp;"" ""&amp;C2971,""[^а-яa-z0-9 ]"","" ""))")," онь гимнастический ")</f>
        <v> онь гимнастический </v>
      </c>
    </row>
    <row r="2972">
      <c r="A2972" s="35" t="s">
        <v>6953</v>
      </c>
      <c r="B2972" s="31" t="s">
        <v>6954</v>
      </c>
      <c r="C2972" s="31" t="s">
        <v>6955</v>
      </c>
      <c r="D2972" s="37" t="s">
        <v>14</v>
      </c>
      <c r="E2972" s="38">
        <v>2.0</v>
      </c>
      <c r="F2972" s="38">
        <v>49.0</v>
      </c>
      <c r="G2972" s="11">
        <v>162578.0</v>
      </c>
      <c r="H2972" s="34" t="str">
        <f>IFERROR(__xludf.DUMMYFUNCTION("LOWER(REGEXREPLACE(B2972&amp;"" ""&amp;C2972,""[^а-яa-z0-9 ]"","" ""))"),"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иск"&amp;"усственной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о"&amp;"поры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f>
        <v>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v>
      </c>
    </row>
    <row r="2973">
      <c r="A2973" s="35" t="s">
        <v>6956</v>
      </c>
      <c r="B2973" s="31" t="s">
        <v>6957</v>
      </c>
      <c r="C2973" s="31" t="s">
        <v>6958</v>
      </c>
      <c r="D2973" s="37" t="s">
        <v>14</v>
      </c>
      <c r="E2973" s="38">
        <v>2.0</v>
      </c>
      <c r="F2973" s="38">
        <v>51.0</v>
      </c>
      <c r="G2973" s="11">
        <v>220536.0</v>
      </c>
      <c r="H2973" s="34" t="str">
        <f>IFERROR(__xludf.DUMMYFUNCTION("LOWER(REGEXREPLACE(B2973&amp;"" ""&amp;C2973,""[^а-яa-z0-9 ]"","" ""))"),"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н"&amp;"еподвижных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f>
        <v>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v>
      </c>
    </row>
    <row r="2974">
      <c r="A2974" s="35" t="s">
        <v>6959</v>
      </c>
      <c r="B2974" s="31" t="s">
        <v>6960</v>
      </c>
      <c r="C2974" s="31"/>
      <c r="D2974" s="36"/>
      <c r="E2974" s="10"/>
      <c r="F2974" s="36"/>
      <c r="G2974" s="11"/>
      <c r="H2974" s="34" t="str">
        <f>IFERROR(__xludf.DUMMYFUNCTION("LOWER(REGEXREPLACE(B2974&amp;"" ""&amp;C2974,""[^а-яa-z0-9 ]"","" ""))")," танок хореографический ")</f>
        <v> танок хореографический </v>
      </c>
    </row>
    <row r="2975">
      <c r="A2975" s="35" t="s">
        <v>6961</v>
      </c>
      <c r="B2975" s="9" t="s">
        <v>6962</v>
      </c>
      <c r="C2975" s="31" t="s">
        <v>6963</v>
      </c>
      <c r="D2975" s="37" t="s">
        <v>14</v>
      </c>
      <c r="E2975" s="38">
        <v>2.0</v>
      </c>
      <c r="F2975" s="38">
        <v>35.0</v>
      </c>
      <c r="G2975" s="11">
        <v>106921.0</v>
      </c>
      <c r="H2975" s="34" t="str">
        <f>IFERROR(__xludf.DUMMYFUNCTION("LOWER(REGEXREPLACE(B2975&amp;"" ""&amp;C2975,""[^а-яa-z0-9 ]"","" ""))"),"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2"&amp;"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лин"&amp;"а жерди 2000 мм   олимерное покрытие")</f>
        <v>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6">
      <c r="A2976" s="35" t="s">
        <v>6964</v>
      </c>
      <c r="B2976" s="9" t="s">
        <v>6965</v>
      </c>
      <c r="C2976" s="31" t="s">
        <v>6966</v>
      </c>
      <c r="D2976" s="37" t="s">
        <v>14</v>
      </c>
      <c r="E2976" s="38">
        <v>2.0</v>
      </c>
      <c r="F2976" s="38">
        <v>45.0</v>
      </c>
      <c r="G2976" s="11">
        <v>142505.0</v>
      </c>
      <c r="H2976" s="34" t="str">
        <f>IFERROR(__xludf.DUMMYFUNCTION("LOWER(REGEXREPLACE(B2976&amp;"" ""&amp;C2976,""[^а-яa-z0-9 ]"","" ""))"),"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"&amp;"склеенная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конструкция"&amp;"   ысота не регулируется   атериал опоры   ч рная сталь    атериал поручня   береза   лина жерди 2000 мм   олимерное покрытие")</f>
        <v>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7">
      <c r="A2977" s="35" t="s">
        <v>6967</v>
      </c>
      <c r="B2977" s="31" t="s">
        <v>6968</v>
      </c>
      <c r="C2977" s="31" t="s">
        <v>6969</v>
      </c>
      <c r="D2977" s="37" t="s">
        <v>14</v>
      </c>
      <c r="E2977" s="38">
        <v>2.0</v>
      </c>
      <c r="F2977" s="38">
        <v>40.0</v>
      </c>
      <c r="G2977" s="11">
        <v>132656.0</v>
      </c>
      <c r="H2977" s="34" t="str">
        <f>IFERROR(__xludf.DUMMYFUNCTION("LOWER(REGEXREPLACE(B2977&amp;"" ""&amp;C2977,""[^а-яa-z0-9 ]"","" ""))"),"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8">
      <c r="A2978" s="35" t="s">
        <v>6970</v>
      </c>
      <c r="B2978" s="31" t="s">
        <v>6971</v>
      </c>
      <c r="C2978" s="31" t="s">
        <v>6972</v>
      </c>
      <c r="D2978" s="37" t="s">
        <v>14</v>
      </c>
      <c r="E2978" s="38">
        <v>2.0</v>
      </c>
      <c r="F2978" s="38">
        <v>50.0</v>
      </c>
      <c r="G2978" s="11">
        <v>178107.0</v>
      </c>
      <c r="H2978" s="34" t="str">
        <f>IFERROR(__xludf.DUMMYFUNCTION("LOWER(REGEXREPLACE(B2978&amp;"" ""&amp;C2978,""[^а-яa-z0-9 ]"","" ""))"),"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9">
      <c r="A2979" s="35" t="s">
        <v>6973</v>
      </c>
      <c r="B2979" s="31" t="s">
        <v>6974</v>
      </c>
      <c r="C2979" s="31" t="s">
        <v>6975</v>
      </c>
      <c r="D2979" s="37" t="s">
        <v>14</v>
      </c>
      <c r="E2979" s="38">
        <v>2.0</v>
      </c>
      <c r="F2979" s="38">
        <v>50.0</v>
      </c>
      <c r="G2979" s="11">
        <v>159641.0</v>
      </c>
      <c r="H2979" s="34" t="str">
        <f>IFERROR(__xludf.DUMMYFUNCTION("LOWER(REGEXREPLACE(B2979&amp;"" ""&amp;C2979,""[^а-яa-z0-9 ]"","" ""))"),"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ополнительн"&amp;"о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0">
      <c r="A2980" s="35" t="s">
        <v>6976</v>
      </c>
      <c r="B2980" s="31" t="s">
        <v>6977</v>
      </c>
      <c r="C2980" s="31" t="s">
        <v>6978</v>
      </c>
      <c r="D2980" s="37" t="s">
        <v>14</v>
      </c>
      <c r="E2980" s="38">
        <v>2.0</v>
      </c>
      <c r="F2980" s="38">
        <v>60.0</v>
      </c>
      <c r="G2980" s="11">
        <v>212829.0</v>
      </c>
      <c r="H2980" s="34" t="str">
        <f>IFERROR(__xludf.DUMMYFUNCTION("LOWER(REGEXREPLACE(B2980&amp;"" ""&amp;C2980,""[^а-яa-z0-9 ]"","" ""))"),"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ополнител"&amp;"ьно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1">
      <c r="A2981" s="35" t="s">
        <v>6979</v>
      </c>
      <c r="B2981" s="31" t="s">
        <v>6980</v>
      </c>
      <c r="C2981" s="31"/>
      <c r="D2981" s="36"/>
      <c r="E2981" s="10"/>
      <c r="F2981" s="36"/>
      <c r="G2981" s="11"/>
      <c r="H2981" s="34" t="str">
        <f>IFERROR(__xludf.DUMMYFUNCTION("LOWER(REGEXREPLACE(B2981&amp;"" ""&amp;C2981,""[^а-яa-z0-9 ]"","" ""))")," ест ")</f>
        <v> ест </v>
      </c>
    </row>
    <row r="2982">
      <c r="A2982" s="35" t="s">
        <v>6981</v>
      </c>
      <c r="B2982" s="31" t="s">
        <v>6982</v>
      </c>
      <c r="C2982" s="31" t="s">
        <v>6983</v>
      </c>
      <c r="D2982" s="37" t="s">
        <v>14</v>
      </c>
      <c r="E2982" s="38">
        <v>2.0</v>
      </c>
      <c r="F2982" s="38">
        <v>17.0</v>
      </c>
      <c r="G2982" s="11">
        <v>86616.0</v>
      </c>
      <c r="H2982" s="34" t="str">
        <f>IFERROR(__xludf.DUMMYFUNCTION("LOWER(REGEXREPLACE(B2982&amp;"" ""&amp;C2982,""[^а-яa-z0-9 ]"","" ""))"),"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ат"&amp;"ериал  сталь   лина  в собранном состоянии  5000мм   лина  в разобранном состоянии  2500мм  иаметр  50мм")</f>
        <v>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атериал  сталь   лина  в собранном состоянии  5000мм   лина  в разобранном состоянии  2500мм  иаметр  50мм</v>
      </c>
    </row>
    <row r="2983">
      <c r="A2983" s="35" t="s">
        <v>6984</v>
      </c>
      <c r="B2983" s="31" t="s">
        <v>6985</v>
      </c>
      <c r="C2983" s="31"/>
      <c r="D2983" s="36"/>
      <c r="E2983" s="10"/>
      <c r="F2983" s="36"/>
      <c r="G2983" s="11"/>
      <c r="H2983" s="34" t="str">
        <f>IFERROR(__xludf.DUMMYFUNCTION("LOWER(REGEXREPLACE(B2983&amp;"" ""&amp;C2983,""[^а-яa-z0-9 ]"","" ""))")," онсоль ")</f>
        <v> онсоль </v>
      </c>
    </row>
    <row r="2984">
      <c r="A2984" s="35" t="s">
        <v>6986</v>
      </c>
      <c r="B2984" s="31" t="s">
        <v>6987</v>
      </c>
      <c r="C2984" s="31" t="s">
        <v>6988</v>
      </c>
      <c r="D2984" s="37" t="s">
        <v>14</v>
      </c>
      <c r="E2984" s="38">
        <v>2.0</v>
      </c>
      <c r="F2984" s="38">
        <v>25.0</v>
      </c>
      <c r="G2984" s="11">
        <v>47436.0</v>
      </c>
      <c r="H2984" s="34" t="str">
        <f>IFERROR(__xludf.DUMMYFUNCTION("LOWER(REGEXREPLACE(B2984&amp;"" ""&amp;C2984,""[^а-яa-z0-9 ]"","" ""))"),"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спортивн"&amp;"ых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f>
        <v>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v>
      </c>
    </row>
    <row r="2985">
      <c r="A2985" s="35" t="s">
        <v>6989</v>
      </c>
      <c r="B2985" s="31" t="s">
        <v>6990</v>
      </c>
      <c r="C2985" s="31" t="s">
        <v>6991</v>
      </c>
      <c r="D2985" s="37" t="s">
        <v>14</v>
      </c>
      <c r="E2985" s="38">
        <v>2.0</v>
      </c>
      <c r="F2985" s="38">
        <v>35.0</v>
      </c>
      <c r="G2985" s="11">
        <v>124081.0</v>
      </c>
      <c r="H2985" s="34" t="str">
        <f>IFERROR(__xludf.DUMMYFUNCTION("LOWER(REGEXREPLACE(B2985&amp;"" ""&amp;C2985,""[^а-яa-z0-9 ]"","" ""))"),"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цельносв"&amp;"арной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"&amp;"из полосы толщиной 6мм ")</f>
        <v>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из полосы толщиной 6мм </v>
      </c>
    </row>
    <row r="2986">
      <c r="A2986" s="35" t="s">
        <v>6992</v>
      </c>
      <c r="B2986" s="31" t="s">
        <v>6993</v>
      </c>
      <c r="C2986" s="31"/>
      <c r="D2986" s="36"/>
      <c r="E2986" s="10"/>
      <c r="F2986" s="36"/>
      <c r="G2986" s="11"/>
      <c r="H2986" s="34" t="str">
        <f>IFERROR(__xludf.DUMMYFUNCTION("LOWER(REGEXREPLACE(B2986&amp;"" ""&amp;C2986,""[^а-яa-z0-9 ]"","" ""))")," арьер ")</f>
        <v> арьер </v>
      </c>
    </row>
    <row r="2987">
      <c r="A2987" s="35" t="s">
        <v>6994</v>
      </c>
      <c r="B2987" s="31" t="s">
        <v>6995</v>
      </c>
      <c r="C2987" s="31"/>
      <c r="D2987" s="37" t="s">
        <v>14</v>
      </c>
      <c r="E2987" s="38">
        <v>2.0</v>
      </c>
      <c r="F2987" s="39">
        <v>5.5</v>
      </c>
      <c r="G2987" s="11">
        <v>38660.0</v>
      </c>
      <c r="H2987" s="34" t="str">
        <f>IFERROR(__xludf.DUMMYFUNCTION("LOWER(REGEXREPLACE(B2987&amp;"" ""&amp;C2987,""[^а-яa-z0-9 ]"","" ""))"),"  гкоатлетический барьер    2106  регулируемый  имеет набор фиксированных высот   арьер легкоатлетический с противовесом состоит из ножек и барьерной планки ")</f>
        <v>  гкоатлетический барьер    2106  регулируемый  имеет набор фиксированных высот   арьер легкоатлетический с противовесом состоит из ножек и барьерной планки </v>
      </c>
    </row>
    <row r="2988">
      <c r="A2988" s="35" t="s">
        <v>6996</v>
      </c>
      <c r="B2988" s="31" t="s">
        <v>6997</v>
      </c>
      <c r="C2988" s="31" t="s">
        <v>6998</v>
      </c>
      <c r="D2988" s="37" t="s">
        <v>14</v>
      </c>
      <c r="E2988" s="38">
        <v>2.0</v>
      </c>
      <c r="F2988" s="38">
        <v>3.0</v>
      </c>
      <c r="G2988" s="11">
        <v>44942.0</v>
      </c>
      <c r="H2988" s="34" t="str">
        <f>IFERROR(__xludf.DUMMYFUNCTION("LOWER(REGEXREPLACE(B2988&amp;"" ""&amp;C2988,""[^а-яa-z0-9 ]"","" ""))"),"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износостойк"&amp;"ого     полотна    гкий  устойчивый  легко складывается и транспортируется ")</f>
        <v>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износостойкого     полотна    гкий  устойчивый  легко складывается и транспортируется </v>
      </c>
    </row>
    <row r="2989">
      <c r="A2989" s="35" t="s">
        <v>6999</v>
      </c>
      <c r="B2989" s="31" t="s">
        <v>7000</v>
      </c>
      <c r="C2989" s="31" t="s">
        <v>7001</v>
      </c>
      <c r="D2989" s="37" t="s">
        <v>14</v>
      </c>
      <c r="E2989" s="38">
        <v>2.0</v>
      </c>
      <c r="F2989" s="40">
        <v>0.17</v>
      </c>
      <c r="G2989" s="11">
        <v>1583.0</v>
      </c>
      <c r="H2989" s="34" t="str">
        <f>IFERROR(__xludf.DUMMYFUNCTION("LOWER(REGEXREPLACE(B2989&amp;"" ""&amp;C2989,""[^а-яa-z0-9 ]"","" ""))"),"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навыки"&amp;" ")</f>
        <v>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v>
      </c>
    </row>
    <row r="2990">
      <c r="A2990" s="35" t="s">
        <v>7002</v>
      </c>
      <c r="B2990" s="31" t="s">
        <v>7003</v>
      </c>
      <c r="C2990" s="31" t="s">
        <v>7004</v>
      </c>
      <c r="D2990" s="37" t="s">
        <v>14</v>
      </c>
      <c r="E2990" s="38">
        <v>2.0</v>
      </c>
      <c r="F2990" s="39">
        <v>0.2</v>
      </c>
      <c r="G2990" s="11">
        <v>1522.0</v>
      </c>
      <c r="H2990" s="34" t="str">
        <f>IFERROR(__xludf.DUMMYFUNCTION("LOWER(REGEXREPLACE(B2990&amp;"" ""&amp;C2990,""[^а-яa-z0-9 ]"","" ""))"),"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ыпо"&amp;"лнена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f>
        <v>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v>
      </c>
    </row>
    <row r="2991">
      <c r="A2991" s="35" t="s">
        <v>7005</v>
      </c>
      <c r="B2991" s="31" t="s">
        <v>7006</v>
      </c>
      <c r="C2991" s="31" t="s">
        <v>7007</v>
      </c>
      <c r="D2991" s="37" t="s">
        <v>68</v>
      </c>
      <c r="E2991" s="38">
        <v>2.0</v>
      </c>
      <c r="F2991" s="39">
        <v>0.3</v>
      </c>
      <c r="G2991" s="11">
        <v>21049.0</v>
      </c>
      <c r="H2991" s="34" t="str">
        <f>IFERROR(__xludf.DUMMYFUNCTION("LOWER(REGEXREPLACE(B2991&amp;"" ""&amp;C2991,""[^а-яa-z0-9 ]"","" ""))"),"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ве"&amp;"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специа"&amp;"льные чехлы  выполненные из     для крепления антенн к волейбольным сеткам ")</f>
        <v>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специальные чехлы  выполненные из     для крепления антенн к волейбольным сеткам </v>
      </c>
    </row>
    <row r="2992">
      <c r="A2992" s="35" t="s">
        <v>7008</v>
      </c>
      <c r="B2992" s="31" t="s">
        <v>7009</v>
      </c>
      <c r="C2992" s="31" t="s">
        <v>7010</v>
      </c>
      <c r="D2992" s="37" t="s">
        <v>14</v>
      </c>
      <c r="E2992" s="38">
        <v>2.0</v>
      </c>
      <c r="F2992" s="39">
        <v>1.2</v>
      </c>
      <c r="G2992" s="11">
        <v>6940.0</v>
      </c>
      <c r="H2992" s="34" t="str">
        <f>IFERROR(__xludf.DUMMYFUNCTION("LOWER(REGEXREPLACE(B2992&amp;"" ""&amp;C2992,""[^а-яa-z0-9 ]"","" ""))"),"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плано"&amp;"к    зависимости от количества поперечен  длина лестницы колеблется от 6 до 10 метров   ирина лестницы неизменна   50 см ")</f>
        <v>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планок    зависимости от количества поперечен  длина лестницы колеблется от 6 до 10 метров   ирина лестницы неизменна   50 см </v>
      </c>
    </row>
    <row r="2993">
      <c r="A2993" s="35" t="s">
        <v>7011</v>
      </c>
      <c r="B2993" s="31" t="s">
        <v>7012</v>
      </c>
      <c r="C2993" s="31"/>
      <c r="D2993" s="37" t="s">
        <v>14</v>
      </c>
      <c r="E2993" s="10"/>
      <c r="F2993" s="36"/>
      <c r="G2993" s="11"/>
      <c r="H2993" s="34" t="str">
        <f>IFERROR(__xludf.DUMMYFUNCTION("LOWER(REGEXREPLACE(B2993&amp;"" ""&amp;C2993,""[^а-яa-z0-9 ]"","" ""))")," ешок боксерский  груша ")</f>
        <v> ешок боксерский  груша </v>
      </c>
    </row>
    <row r="2994">
      <c r="A2994" s="35" t="s">
        <v>7013</v>
      </c>
      <c r="B2994" s="31" t="s">
        <v>7014</v>
      </c>
      <c r="C2994" s="31" t="s">
        <v>7015</v>
      </c>
      <c r="D2994" s="37" t="s">
        <v>14</v>
      </c>
      <c r="E2994" s="38">
        <v>2.0</v>
      </c>
      <c r="F2994" s="38">
        <v>40.0</v>
      </c>
      <c r="G2994" s="11">
        <v>89859.0</v>
      </c>
      <c r="H2994" s="34" t="str">
        <f>IFERROR(__xludf.DUMMYFUNCTION("LOWER(REGEXREPLACE(B2994&amp;"" ""&amp;C2994,""[^а-яa-z0-9 ]"","" ""))"),"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крошк"&amp;"а  мелкий трикотажный лоскут   азмер 120 см  диаметр 40 см    мешок крепится подвесное устройство  состоящее из металлического круга   3 цепи для подвешивания ")</f>
        <v>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крошка  мелкий трикотажный лоскут   азмер 120 см  диаметр 40 см    мешок крепится подвесное устройство  состоящее из металлического круга   3 цепи для подвешивания </v>
      </c>
    </row>
    <row r="2995">
      <c r="A2995" s="35" t="s">
        <v>7016</v>
      </c>
      <c r="B2995" s="31" t="s">
        <v>7017</v>
      </c>
      <c r="C2995" s="31" t="s">
        <v>7018</v>
      </c>
      <c r="D2995" s="37" t="s">
        <v>14</v>
      </c>
      <c r="E2995" s="38">
        <v>2.0</v>
      </c>
      <c r="F2995" s="38">
        <v>45.0</v>
      </c>
      <c r="G2995" s="11">
        <v>99586.0</v>
      </c>
      <c r="H2995" s="34" t="str">
        <f>IFERROR(__xludf.DUMMYFUNCTION("LOWER(REGEXREPLACE(B2995&amp;"" ""&amp;C2995,""[^а-яa-z0-9 ]"","" ""))"),"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кро"&amp;"шка  мелкий трикотажный лоскут   азмер 150 см  диаметр 40 см    мешок крепится подвесное устройство  состоящее из металлического круга   3 цепи для подвешивания ")</f>
        <v>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крошка  мелкий трикотажный лоскут   азмер 150 см  диаметр 40 см    мешок крепится подвесное устройство  состоящее из металлического круга   3 цепи для подвешивания </v>
      </c>
    </row>
    <row r="2996">
      <c r="A2996" s="35" t="s">
        <v>7019</v>
      </c>
      <c r="B2996" s="31" t="s">
        <v>7020</v>
      </c>
      <c r="C2996" s="31" t="s">
        <v>7021</v>
      </c>
      <c r="D2996" s="37" t="s">
        <v>14</v>
      </c>
      <c r="E2996" s="38">
        <v>2.0</v>
      </c>
      <c r="F2996" s="38">
        <v>65.0</v>
      </c>
      <c r="G2996" s="11">
        <v>121736.0</v>
      </c>
      <c r="H2996" s="34" t="str">
        <f>IFERROR(__xludf.DUMMYFUNCTION("LOWER(REGEXREPLACE(B2996&amp;"" ""&amp;C2996,""[^а-яa-z0-9 ]"","" ""))"),"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резиновая"&amp;"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f>
        <v>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v>
      </c>
    </row>
    <row r="2997">
      <c r="A2997" s="35" t="s">
        <v>7022</v>
      </c>
      <c r="B2997" s="31" t="s">
        <v>7023</v>
      </c>
      <c r="C2997" s="31" t="s">
        <v>7024</v>
      </c>
      <c r="D2997" s="37" t="s">
        <v>14</v>
      </c>
      <c r="E2997" s="38">
        <v>2.0</v>
      </c>
      <c r="F2997" s="38">
        <v>17.0</v>
      </c>
      <c r="G2997" s="11">
        <v>119359.0</v>
      </c>
      <c r="H2997" s="34" t="str">
        <f>IFERROR(__xludf.DUMMYFUNCTION("LOWER(REGEXREPLACE(B2997&amp;"" ""&amp;C2997,""[^а-яa-z0-9 ]"","" ""))"),"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f>
        <v>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v>
      </c>
    </row>
    <row r="2998">
      <c r="A2998" s="35" t="s">
        <v>7025</v>
      </c>
      <c r="B2998" s="31" t="s">
        <v>7026</v>
      </c>
      <c r="C2998" s="31" t="s">
        <v>7027</v>
      </c>
      <c r="D2998" s="37" t="s">
        <v>14</v>
      </c>
      <c r="E2998" s="38">
        <v>2.0</v>
      </c>
      <c r="F2998" s="38">
        <v>45.0</v>
      </c>
      <c r="G2998" s="11">
        <v>119330.0</v>
      </c>
      <c r="H2998" s="34" t="str">
        <f>IFERROR(__xludf.DUMMYFUNCTION("LOWER(REGEXREPLACE(B2998&amp;"" ""&amp;C2998,""[^а-яa-z0-9 ]"","" ""))"),"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тек"&amp;"стильные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2999">
      <c r="A2999" s="35" t="s">
        <v>7028</v>
      </c>
      <c r="B2999" s="31" t="s">
        <v>7029</v>
      </c>
      <c r="C2999" s="31" t="s">
        <v>7030</v>
      </c>
      <c r="D2999" s="37" t="s">
        <v>14</v>
      </c>
      <c r="E2999" s="38">
        <v>2.0</v>
      </c>
      <c r="F2999" s="38">
        <v>55.0</v>
      </c>
      <c r="G2999" s="11">
        <v>126114.0</v>
      </c>
      <c r="H2999" s="34" t="str">
        <f>IFERROR(__xludf.DUMMYFUNCTION("LOWER(REGEXREPLACE(B2999&amp;"" ""&amp;C2999,""[^а-яa-z0-9 ]"","" ""))"),"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текст"&amp;"ильные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3000">
      <c r="A3000" s="35" t="s">
        <v>7031</v>
      </c>
      <c r="B3000" s="31" t="s">
        <v>7032</v>
      </c>
      <c r="C3000" s="31" t="s">
        <v>7033</v>
      </c>
      <c r="D3000" s="37" t="s">
        <v>14</v>
      </c>
      <c r="E3000" s="38">
        <v>2.0</v>
      </c>
      <c r="F3000" s="38">
        <v>14.0</v>
      </c>
      <c r="G3000" s="11">
        <v>130197.0</v>
      </c>
      <c r="H3000" s="34" t="str">
        <f>IFERROR(__xludf.DUMMYFUNCTION("LOWER(REGEXREPLACE(B3000&amp;"" ""&amp;C3000,""[^а-яa-z0-9 ]"","" ""))"),"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д"&amp;"ля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внут"&amp;"ренний резервуар для заполнения водой или песком ")</f>
        <v>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внутренний резервуар для заполнения водой или песком </v>
      </c>
    </row>
    <row r="3001">
      <c r="A3001" s="35" t="s">
        <v>7034</v>
      </c>
      <c r="B3001" s="31" t="s">
        <v>7035</v>
      </c>
      <c r="C3001" s="31" t="s">
        <v>7036</v>
      </c>
      <c r="D3001" s="37" t="s">
        <v>14</v>
      </c>
      <c r="E3001" s="38">
        <v>2.0</v>
      </c>
      <c r="F3001" s="38">
        <v>15.0</v>
      </c>
      <c r="G3001" s="11">
        <v>139497.0</v>
      </c>
      <c r="H3001" s="34" t="str">
        <f>IFERROR(__xludf.DUMMYFUNCTION("LOWER(REGEXREPLACE(B3001&amp;"" ""&amp;C3001,""[^а-яa-z0-9 ]"","" ""))"),"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f>
        <v>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v>
      </c>
    </row>
    <row r="3002">
      <c r="A3002" s="35" t="s">
        <v>7037</v>
      </c>
      <c r="B3002" s="31" t="s">
        <v>7038</v>
      </c>
      <c r="C3002" s="31" t="s">
        <v>7039</v>
      </c>
      <c r="D3002" s="37" t="s">
        <v>14</v>
      </c>
      <c r="E3002" s="38">
        <v>2.0</v>
      </c>
      <c r="F3002" s="39">
        <v>0.6</v>
      </c>
      <c r="G3002" s="11">
        <v>49580.0</v>
      </c>
      <c r="H3002" s="34" t="str">
        <f>IFERROR(__xludf.DUMMYFUNCTION("LOWER(REGEXREPLACE(B3002&amp;"" ""&amp;C3002,""[^а-яa-z0-9 ]"","" ""))"),"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дей"&amp;"ствия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f>
        <v>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v>
      </c>
    </row>
    <row r="3003">
      <c r="A3003" s="35" t="s">
        <v>7040</v>
      </c>
      <c r="B3003" s="31" t="s">
        <v>7041</v>
      </c>
      <c r="C3003" s="31" t="s">
        <v>7042</v>
      </c>
      <c r="D3003" s="37" t="s">
        <v>14</v>
      </c>
      <c r="E3003" s="38">
        <v>2.0</v>
      </c>
      <c r="F3003" s="38">
        <v>5.0</v>
      </c>
      <c r="G3003" s="11">
        <v>52696.0</v>
      </c>
      <c r="H3003" s="34" t="str">
        <f>IFERROR(__xludf.DUMMYFUNCTION("LOWER(REGEXREPLACE(B3003&amp;"" ""&amp;C3003,""[^а-яa-z0-9 ]"","" ""))"),"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изг"&amp;"отовления   рочный кожзам  искусственная кожа   наполнитель   смесь резиновой крошки и песка  над жные нейлоновые ручки ")</f>
        <v>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4">
      <c r="A3004" s="35" t="s">
        <v>7043</v>
      </c>
      <c r="B3004" s="31" t="s">
        <v>7044</v>
      </c>
      <c r="C3004" s="31" t="s">
        <v>7045</v>
      </c>
      <c r="D3004" s="37" t="s">
        <v>14</v>
      </c>
      <c r="E3004" s="38">
        <v>2.0</v>
      </c>
      <c r="F3004" s="38">
        <v>10.0</v>
      </c>
      <c r="G3004" s="11">
        <v>62012.0</v>
      </c>
      <c r="H3004" s="34" t="str">
        <f>IFERROR(__xludf.DUMMYFUNCTION("LOWER(REGEXREPLACE(B3004&amp;"" ""&amp;C3004,""[^а-яa-z0-9 ]"","" ""))"),"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5">
      <c r="A3005" s="35" t="s">
        <v>7046</v>
      </c>
      <c r="B3005" s="31" t="s">
        <v>7047</v>
      </c>
      <c r="C3005" s="31" t="s">
        <v>7048</v>
      </c>
      <c r="D3005" s="37" t="s">
        <v>14</v>
      </c>
      <c r="E3005" s="38">
        <v>2.0</v>
      </c>
      <c r="F3005" s="38">
        <v>15.0</v>
      </c>
      <c r="G3005" s="11">
        <v>72878.0</v>
      </c>
      <c r="H3005" s="34" t="str">
        <f>IFERROR(__xludf.DUMMYFUNCTION("LOWER(REGEXREPLACE(B3005&amp;"" ""&amp;C3005,""[^а-яa-z0-9 ]"","" ""))"),"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6">
      <c r="A3006" s="35" t="s">
        <v>7049</v>
      </c>
      <c r="B3006" s="31" t="s">
        <v>7050</v>
      </c>
      <c r="C3006" s="31" t="s">
        <v>7051</v>
      </c>
      <c r="D3006" s="37" t="s">
        <v>14</v>
      </c>
      <c r="E3006" s="38">
        <v>2.0</v>
      </c>
      <c r="F3006" s="38">
        <v>20.0</v>
      </c>
      <c r="G3006" s="11">
        <v>86842.0</v>
      </c>
      <c r="H3006" s="34" t="str">
        <f>IFERROR(__xludf.DUMMYFUNCTION("LOWER(REGEXREPLACE(B3006&amp;"" ""&amp;C3006,""[^а-яa-z0-9 ]"","" ""))"),"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7">
      <c r="A3007" s="35" t="s">
        <v>7052</v>
      </c>
      <c r="B3007" s="31" t="s">
        <v>7053</v>
      </c>
      <c r="C3007" s="31" t="s">
        <v>7054</v>
      </c>
      <c r="D3007" s="37" t="s">
        <v>14</v>
      </c>
      <c r="E3007" s="38">
        <v>2.0</v>
      </c>
      <c r="F3007" s="38">
        <v>25.0</v>
      </c>
      <c r="G3007" s="11">
        <v>99257.0</v>
      </c>
      <c r="H3007" s="34" t="str">
        <f>IFERROR(__xludf.DUMMYFUNCTION("LOWER(REGEXREPLACE(B3007&amp;"" ""&amp;C3007,""[^а-яa-z0-9 ]"","" ""))"),"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8">
      <c r="A3008" s="35" t="s">
        <v>7055</v>
      </c>
      <c r="B3008" s="31" t="s">
        <v>7056</v>
      </c>
      <c r="C3008" s="31" t="s">
        <v>7057</v>
      </c>
      <c r="D3008" s="37" t="s">
        <v>7058</v>
      </c>
      <c r="E3008" s="38">
        <v>2.0</v>
      </c>
      <c r="F3008" s="39">
        <v>1.8</v>
      </c>
      <c r="G3008" s="11">
        <v>5342.0</v>
      </c>
      <c r="H3008" s="34" t="str">
        <f>IFERROR(__xludf.DUMMYFUNCTION("LOWER(REGEXREPLACE(B3008&amp;"" ""&amp;C3008,""[^а-яa-z0-9 ]"","" ""))"),"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с"&amp;"амбо  бокс  карате  борьба и др    рочный эластичный латекс  резина   нейлоновые ручки и крепления    250мм")</f>
        <v>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самбо  бокс  карате  борьба и др    рочный эластичный латекс  резина   нейлоновые ручки и крепления    250мм</v>
      </c>
    </row>
    <row r="3009">
      <c r="A3009" s="35" t="s">
        <v>7059</v>
      </c>
      <c r="B3009" s="31" t="s">
        <v>7060</v>
      </c>
      <c r="C3009" s="31"/>
      <c r="D3009" s="36"/>
      <c r="E3009" s="10"/>
      <c r="F3009" s="36"/>
      <c r="G3009" s="11"/>
      <c r="H3009" s="34" t="str">
        <f>IFERROR(__xludf.DUMMYFUNCTION("LOWER(REGEXREPLACE(B3009&amp;"" ""&amp;C3009,""[^а-яa-z0-9 ]"","" ""))")," тойка для гантелей ")</f>
        <v> тойка для гантелей </v>
      </c>
    </row>
    <row r="3010">
      <c r="A3010" s="35" t="s">
        <v>7061</v>
      </c>
      <c r="B3010" s="31" t="s">
        <v>7062</v>
      </c>
      <c r="C3010" s="31" t="s">
        <v>7063</v>
      </c>
      <c r="D3010" s="37" t="s">
        <v>14</v>
      </c>
      <c r="E3010" s="38">
        <v>2.0</v>
      </c>
      <c r="F3010" s="38">
        <v>133.0</v>
      </c>
      <c r="G3010" s="11">
        <v>297918.0</v>
      </c>
      <c r="H3010" s="34" t="str">
        <f>IFERROR(__xludf.DUMMYFUNCTION("LOWER(REGEXREPLACE(B3010&amp;"" ""&amp;C3010,""[^а-яa-z0-9 ]"","" ""))"),"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состо"&amp;"янии   лина 175см  ширина 85см  высота 100см   аксимальная нагрузка 700кг ")</f>
        <v>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состоянии   лина 175см  ширина 85см  высота 100см   аксимальная нагрузка 700кг </v>
      </c>
    </row>
    <row r="3011">
      <c r="A3011" s="35" t="s">
        <v>7064</v>
      </c>
      <c r="B3011" s="31" t="s">
        <v>7065</v>
      </c>
      <c r="C3011" s="31" t="s">
        <v>7066</v>
      </c>
      <c r="D3011" s="37" t="s">
        <v>14</v>
      </c>
      <c r="E3011" s="38">
        <v>2.0</v>
      </c>
      <c r="F3011" s="38">
        <v>52.0</v>
      </c>
      <c r="G3011" s="11">
        <v>286297.0</v>
      </c>
      <c r="H3011" s="34" t="str">
        <f>IFERROR(__xludf.DUMMYFUNCTION("LOWER(REGEXREPLACE(B3011&amp;"" ""&amp;C3011,""[^а-яa-z0-9 ]"","" ""))"),"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ста"&amp;"льного профиля ")</f>
        <v>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стального профиля </v>
      </c>
    </row>
    <row r="3012">
      <c r="A3012" s="35" t="s">
        <v>7067</v>
      </c>
      <c r="B3012" s="9" t="s">
        <v>7068</v>
      </c>
      <c r="C3012" s="31" t="s">
        <v>7069</v>
      </c>
      <c r="D3012" s="37" t="s">
        <v>14</v>
      </c>
      <c r="E3012" s="38">
        <v>2.0</v>
      </c>
      <c r="F3012" s="38">
        <v>49.0</v>
      </c>
      <c r="G3012" s="11">
        <v>193331.0</v>
      </c>
      <c r="H3012" s="34" t="str">
        <f>IFERROR(__xludf.DUMMYFUNCTION("LOWER(REGEXREPLACE(B3012&amp;"" ""&amp;C3012,""[^а-яa-z0-9 ]"","" ""))"),"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65"&amp;"0мм 670мм")</f>
        <v>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650мм 670мм</v>
      </c>
    </row>
    <row r="3013">
      <c r="A3013" s="35" t="s">
        <v>7070</v>
      </c>
      <c r="B3013" s="31" t="s">
        <v>7071</v>
      </c>
      <c r="C3013" s="31" t="s">
        <v>7072</v>
      </c>
      <c r="D3013" s="37" t="s">
        <v>14</v>
      </c>
      <c r="E3013" s="38">
        <v>2.0</v>
      </c>
      <c r="F3013" s="38">
        <v>27.0</v>
      </c>
      <c r="G3013" s="11">
        <v>289580.0</v>
      </c>
      <c r="H3013" s="34" t="str">
        <f>IFERROR(__xludf.DUMMYFUNCTION("LOWER(REGEXREPLACE(B3013&amp;"" ""&amp;C3013,""[^а-яa-z0-9 ]"","" ""))"),"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960м"&amp;"м  700мм  1450мм  ")</f>
        <v>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960мм  700мм  1450мм  </v>
      </c>
    </row>
    <row r="3014">
      <c r="A3014" s="35" t="s">
        <v>7073</v>
      </c>
      <c r="B3014" s="31" t="s">
        <v>7074</v>
      </c>
      <c r="C3014" s="31" t="s">
        <v>7075</v>
      </c>
      <c r="D3014" s="37" t="s">
        <v>14</v>
      </c>
      <c r="E3014" s="38">
        <v>2.0</v>
      </c>
      <c r="F3014" s="38">
        <v>36.0</v>
      </c>
      <c r="G3014" s="11">
        <v>162879.0</v>
      </c>
      <c r="H3014" s="34" t="str">
        <f>IFERROR(__xludf.DUMMYFUNCTION("LOWER(REGEXREPLACE(B3014&amp;"" ""&amp;C3014,""[^а-яa-z0-9 ]"","" ""))"),"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антискользящи"&amp;"м покрытием ")</f>
        <v>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антискользящим покрытием </v>
      </c>
    </row>
    <row r="3015">
      <c r="A3015" s="35" t="s">
        <v>7076</v>
      </c>
      <c r="B3015" s="31" t="s">
        <v>7077</v>
      </c>
      <c r="C3015" s="31"/>
      <c r="D3015" s="36"/>
      <c r="E3015" s="10"/>
      <c r="F3015" s="36"/>
      <c r="G3015" s="11"/>
      <c r="H3015" s="34" t="str">
        <f>IFERROR(__xludf.DUMMYFUNCTION("LOWER(REGEXREPLACE(B3015&amp;"" ""&amp;C3015,""[^а-яa-z0-9 ]"","" ""))")," тойка для дисков ")</f>
        <v> тойка для дисков </v>
      </c>
    </row>
    <row r="3016">
      <c r="A3016" s="35" t="s">
        <v>7078</v>
      </c>
      <c r="B3016" s="31" t="s">
        <v>7079</v>
      </c>
      <c r="C3016" s="31" t="s">
        <v>7080</v>
      </c>
      <c r="D3016" s="37" t="s">
        <v>14</v>
      </c>
      <c r="E3016" s="38">
        <v>2.0</v>
      </c>
      <c r="F3016" s="38">
        <v>16.0</v>
      </c>
      <c r="G3016" s="11">
        <v>147592.0</v>
      </c>
      <c r="H3016" s="34" t="str">
        <f>IFERROR(__xludf.DUMMYFUNCTION("LOWER(REGEXREPLACE(B3016&amp;"" ""&amp;C3016,""[^а-яa-z0-9 ]"","" ""))"),"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"&amp;"способен выдержать нагрузку до 450 кг   абариты  680 650 1250мм ")</f>
        <v>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способен выдержать нагрузку до 450 кг   абариты  680 650 1250мм </v>
      </c>
    </row>
    <row r="3017">
      <c r="A3017" s="35" t="s">
        <v>7081</v>
      </c>
      <c r="B3017" s="31" t="s">
        <v>7082</v>
      </c>
      <c r="C3017" s="31" t="s">
        <v>7083</v>
      </c>
      <c r="D3017" s="37" t="s">
        <v>14</v>
      </c>
      <c r="E3017" s="38">
        <v>2.0</v>
      </c>
      <c r="F3017" s="38">
        <v>23.0</v>
      </c>
      <c r="G3017" s="11">
        <v>155517.0</v>
      </c>
      <c r="H3017" s="34" t="str">
        <f>IFERROR(__xludf.DUMMYFUNCTION("LOWER(REGEXREPLACE(B3017&amp;"" ""&amp;C3017,""[^а-яa-z0-9 ]"","" ""))"),"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500"&amp;"кг   абариты  680мм 650мм 1250мм ")</f>
        <v>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500кг   абариты  680мм 650мм 1250мм </v>
      </c>
    </row>
    <row r="3018">
      <c r="A3018" s="35" t="s">
        <v>7084</v>
      </c>
      <c r="B3018" s="31" t="s">
        <v>7085</v>
      </c>
      <c r="C3018" s="31"/>
      <c r="D3018" s="36"/>
      <c r="E3018" s="10"/>
      <c r="F3018" s="36"/>
      <c r="G3018" s="11"/>
      <c r="H3018" s="34" t="str">
        <f>IFERROR(__xludf.DUMMYFUNCTION("LOWER(REGEXREPLACE(B3018&amp;"" ""&amp;C3018,""[^а-яa-z0-9 ]"","" ""))")," ележка ")</f>
        <v> ележка </v>
      </c>
    </row>
    <row r="3019">
      <c r="A3019" s="35" t="s">
        <v>7086</v>
      </c>
      <c r="B3019" s="31" t="s">
        <v>7087</v>
      </c>
      <c r="C3019" s="31" t="s">
        <v>7088</v>
      </c>
      <c r="D3019" s="37" t="s">
        <v>14</v>
      </c>
      <c r="E3019" s="38">
        <v>2.0</v>
      </c>
      <c r="F3019" s="38">
        <v>18.0</v>
      </c>
      <c r="G3019" s="11">
        <v>125655.0</v>
      </c>
      <c r="H3019" s="34" t="str">
        <f>IFERROR(__xludf.DUMMYFUNCTION("LOWER(REGEXREPLACE(B3019&amp;"" ""&amp;C3019,""[^а-яa-z0-9 ]"","" ""))"),"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е"&amp;"лежка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f>
        <v>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v>
      </c>
    </row>
    <row r="3020">
      <c r="A3020" s="35" t="s">
        <v>7089</v>
      </c>
      <c r="B3020" s="31" t="s">
        <v>7090</v>
      </c>
      <c r="C3020" s="31"/>
      <c r="D3020" s="37" t="s">
        <v>14</v>
      </c>
      <c r="E3020" s="10"/>
      <c r="F3020" s="36"/>
      <c r="G3020" s="11"/>
      <c r="H3020" s="34" t="str">
        <f>IFERROR(__xludf.DUMMYFUNCTION("LOWER(REGEXREPLACE(B3020&amp;"" ""&amp;C3020,""[^а-яa-z0-9 ]"","" ""))")," етка для настольного тенниса ")</f>
        <v> етка для настольного тенниса </v>
      </c>
    </row>
    <row r="3021">
      <c r="A3021" s="35" t="s">
        <v>7091</v>
      </c>
      <c r="B3021" s="31" t="s">
        <v>7092</v>
      </c>
      <c r="C3021" s="31" t="s">
        <v>7093</v>
      </c>
      <c r="D3021" s="37" t="s">
        <v>14</v>
      </c>
      <c r="E3021" s="38">
        <v>2.0</v>
      </c>
      <c r="F3021" s="40">
        <v>0.54</v>
      </c>
      <c r="G3021" s="11">
        <v>8076.0</v>
      </c>
      <c r="H3021" s="34" t="str">
        <f>IFERROR(__xludf.DUMMYFUNCTION("LOWER(REGEXREPLACE(B3021&amp;"" ""&amp;C3021,""[^а-яa-z0-9 ]"","" ""))"),"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ысот"&amp;"а  15 25 см ")</f>
        <v>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ысота  15 25 см </v>
      </c>
    </row>
    <row r="3022">
      <c r="A3022" s="35" t="s">
        <v>7094</v>
      </c>
      <c r="B3022" s="31" t="s">
        <v>7095</v>
      </c>
      <c r="C3022" s="31"/>
      <c r="D3022" s="37" t="s">
        <v>14</v>
      </c>
      <c r="E3022" s="10"/>
      <c r="F3022" s="36"/>
      <c r="G3022" s="11"/>
      <c r="H3022" s="34" t="str">
        <f>IFERROR(__xludf.DUMMYFUNCTION("LOWER(REGEXREPLACE(B3022&amp;"" ""&amp;C3022,""[^а-яa-z0-9 ]"","" ""))")," олодка стартовая ")</f>
        <v> олодка стартовая </v>
      </c>
    </row>
    <row r="3023">
      <c r="A3023" s="35" t="s">
        <v>7096</v>
      </c>
      <c r="B3023" s="31" t="s">
        <v>7097</v>
      </c>
      <c r="C3023" s="31" t="s">
        <v>7098</v>
      </c>
      <c r="D3023" s="37" t="s">
        <v>14</v>
      </c>
      <c r="E3023" s="38">
        <v>2.0</v>
      </c>
      <c r="F3023" s="39">
        <v>4.1</v>
      </c>
      <c r="G3023" s="11">
        <v>38360.0</v>
      </c>
      <c r="H3023" s="34" t="str">
        <f>IFERROR(__xludf.DUMMYFUNCTION("LOWER(REGEXREPLACE(B3023&amp;"" ""&amp;C3023,""[^а-яa-z0-9 ]"","" ""))"),"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регулиро"&amp;"вки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f>
        <v>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v>
      </c>
    </row>
    <row r="3024">
      <c r="A3024" s="35" t="s">
        <v>7099</v>
      </c>
      <c r="B3024" s="31" t="s">
        <v>7100</v>
      </c>
      <c r="C3024" s="31"/>
      <c r="D3024" s="37" t="s">
        <v>14</v>
      </c>
      <c r="E3024" s="10"/>
      <c r="F3024" s="36"/>
      <c r="G3024" s="11"/>
      <c r="H3024" s="34" t="str">
        <f>IFERROR(__xludf.DUMMYFUNCTION("LOWER(REGEXREPLACE(B3024&amp;"" ""&amp;C3024,""[^а-яa-z0-9 ]"","" ""))")," ерчатки  боксерские  лапы  шлем ")</f>
        <v> ерчатки  боксерские  лапы  шлем </v>
      </c>
    </row>
    <row r="3025">
      <c r="A3025" s="35" t="s">
        <v>7101</v>
      </c>
      <c r="B3025" s="31" t="s">
        <v>7102</v>
      </c>
      <c r="C3025" s="31" t="s">
        <v>7103</v>
      </c>
      <c r="D3025" s="37" t="s">
        <v>14</v>
      </c>
      <c r="E3025" s="38">
        <v>2.0</v>
      </c>
      <c r="F3025" s="39">
        <v>0.7</v>
      </c>
      <c r="G3025" s="11">
        <v>17755.0</v>
      </c>
      <c r="H3025" s="34" t="str">
        <f>IFERROR(__xludf.DUMMYFUNCTION("LOWER(REGEXREPLACE(B3025&amp;"" ""&amp;C3025,""[^а-яa-z0-9 ]"","" ""))"),"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f>
        <v>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v>
      </c>
    </row>
    <row r="3026">
      <c r="A3026" s="35" t="s">
        <v>7104</v>
      </c>
      <c r="B3026" s="31" t="s">
        <v>7105</v>
      </c>
      <c r="C3026" s="31" t="s">
        <v>7106</v>
      </c>
      <c r="D3026" s="37" t="s">
        <v>14</v>
      </c>
      <c r="E3026" s="38">
        <v>2.0</v>
      </c>
      <c r="F3026" s="40">
        <v>0.85</v>
      </c>
      <c r="G3026" s="11">
        <v>51856.0</v>
      </c>
      <c r="H3026" s="34" t="str">
        <f>IFERROR(__xludf.DUMMYFUNCTION("LOWER(REGEXREPLACE(B3026&amp;"" ""&amp;C3026,""[^а-яa-z0-9 ]"","" ""))"),"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f>
        <v>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v>
      </c>
    </row>
    <row r="3027">
      <c r="A3027" s="35" t="s">
        <v>7107</v>
      </c>
      <c r="B3027" s="31" t="s">
        <v>7108</v>
      </c>
      <c r="C3027" s="31" t="s">
        <v>7109</v>
      </c>
      <c r="D3027" s="37" t="s">
        <v>14</v>
      </c>
      <c r="E3027" s="38">
        <v>2.0</v>
      </c>
      <c r="F3027" s="40">
        <v>0.55</v>
      </c>
      <c r="G3027" s="11">
        <v>13545.0</v>
      </c>
      <c r="H3027" s="34" t="str">
        <f>IFERROR(__xludf.DUMMYFUNCTION("LOWER(REGEXREPLACE(B3027&amp;"" ""&amp;C3027,""[^а-яa-z0-9 ]"","" ""))")," апы боксерские    001  апы боксерские    001   азмеры 32см x 21см   атериал верха   искусственная кожа  материал наполнителя   пенополиуретан ")</f>
        <v> апы боксерские    001  апы боксерские    001   азмеры 32см x 21см   атериал верха   искусственная кожа  материал наполнителя   пенополиуретан </v>
      </c>
    </row>
    <row r="3028">
      <c r="A3028" s="35" t="s">
        <v>7110</v>
      </c>
      <c r="B3028" s="31" t="s">
        <v>7111</v>
      </c>
      <c r="C3028" s="31" t="s">
        <v>7112</v>
      </c>
      <c r="D3028" s="37" t="s">
        <v>14</v>
      </c>
      <c r="E3028" s="38">
        <v>2.0</v>
      </c>
      <c r="F3028" s="40">
        <v>0.48</v>
      </c>
      <c r="G3028" s="11">
        <v>17565.0</v>
      </c>
      <c r="H3028" s="34" t="str">
        <f>IFERROR(__xludf.DUMMYFUNCTION("LOWER(REGEXREPLACE(B3028&amp;"" ""&amp;C3028,""[^а-яa-z0-9 ]"","" ""))")," лем боксерский     0238  из синтетической кожи  лем боксерский     0238   зготовлен из синтетической кожи ")</f>
        <v> лем боксерский     0238  из синтетической кожи  лем боксерский     0238   зготовлен из синтетической кожи </v>
      </c>
    </row>
    <row r="3029">
      <c r="A3029" s="35" t="s">
        <v>7113</v>
      </c>
      <c r="B3029" s="31" t="s">
        <v>7114</v>
      </c>
      <c r="C3029" s="31" t="s">
        <v>7115</v>
      </c>
      <c r="D3029" s="37" t="s">
        <v>14</v>
      </c>
      <c r="E3029" s="38">
        <v>2.0</v>
      </c>
      <c r="F3029" s="39">
        <v>0.3</v>
      </c>
      <c r="G3029" s="11">
        <v>8197.0</v>
      </c>
      <c r="H3029" s="34" t="str">
        <f>IFERROR(__xludf.DUMMYFUNCTION("LOWER(REGEXREPLACE(B3029&amp;"" ""&amp;C3029,""[^а-яa-z0-9 ]"","" ""))"),"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f>
        <v>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v>
      </c>
    </row>
    <row r="3030">
      <c r="A3030" s="35" t="s">
        <v>7116</v>
      </c>
      <c r="B3030" s="31" t="s">
        <v>7117</v>
      </c>
      <c r="C3030" s="31" t="s">
        <v>7118</v>
      </c>
      <c r="D3030" s="37" t="s">
        <v>14</v>
      </c>
      <c r="E3030" s="38">
        <v>2.0</v>
      </c>
      <c r="F3030" s="38">
        <v>1.0</v>
      </c>
      <c r="G3030" s="11">
        <v>29276.0</v>
      </c>
      <c r="H3030" s="34" t="str">
        <f>IFERROR(__xludf.DUMMYFUNCTION("LOWER(REGEXREPLACE(B3030&amp;"" ""&amp;C3030,""[^а-яa-z0-9 ]"","" ""))")," лем для рукопашного боя     001  лем для рукопашного боя     001   нутренняя сторона изготовлена из искусственной замши  внешняя из искусственной кожи ")</f>
        <v> лем для рукопашного боя     001  лем для рукопашного боя     001   нутренняя сторона изготовлена из искусственной замши  внешняя из искусственной кожи </v>
      </c>
    </row>
    <row r="3031">
      <c r="A3031" s="35" t="s">
        <v>7119</v>
      </c>
      <c r="B3031" s="31" t="s">
        <v>7120</v>
      </c>
      <c r="C3031" s="31" t="s">
        <v>7121</v>
      </c>
      <c r="D3031" s="37" t="s">
        <v>14</v>
      </c>
      <c r="E3031" s="38">
        <v>2.0</v>
      </c>
      <c r="F3031" s="38">
        <v>4.0</v>
      </c>
      <c r="G3031" s="11">
        <v>49045.0</v>
      </c>
      <c r="H3031" s="34" t="str">
        <f>IFERROR(__xludf.DUMMYFUNCTION("LOWER(REGEXREPLACE(B3031&amp;"" ""&amp;C3031,""[^а-яa-z0-9 ]"","" ""))")," акивара большая    003 из искусственной кожи  акивара большая    003   атериал   искусственная кожа  полиуретан    аполнитель поролон 22кг м    азмеры  680мм х 400мм х 100 мм ")</f>
        <v> акивара большая    003 из искусственной кожи  акивара большая    003   атериал   искусственная кожа  полиуретан    аполнитель поролон 22кг м    азмеры  680мм х 400мм х 100 мм </v>
      </c>
    </row>
    <row r="3032">
      <c r="A3032" s="35" t="s">
        <v>7122</v>
      </c>
      <c r="B3032" s="31" t="s">
        <v>7123</v>
      </c>
      <c r="C3032" s="31" t="s">
        <v>7124</v>
      </c>
      <c r="D3032" s="37" t="s">
        <v>14</v>
      </c>
      <c r="E3032" s="38">
        <v>2.0</v>
      </c>
      <c r="F3032" s="38">
        <v>2.0</v>
      </c>
      <c r="G3032" s="11">
        <v>26072.0</v>
      </c>
      <c r="H3032" s="34" t="str">
        <f>IFERROR(__xludf.DUMMYFUNCTION("LOWER(REGEXREPLACE(B3032&amp;"" ""&amp;C3032,""[^а-яa-z0-9 ]"","" ""))"),"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f>
        <v>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v>
      </c>
    </row>
    <row r="3033">
      <c r="A3033" s="35" t="s">
        <v>7125</v>
      </c>
      <c r="B3033" s="31" t="s">
        <v>7126</v>
      </c>
      <c r="C3033" s="31" t="s">
        <v>7127</v>
      </c>
      <c r="D3033" s="37" t="s">
        <v>14</v>
      </c>
      <c r="E3033" s="38">
        <v>2.0</v>
      </c>
      <c r="F3033" s="38">
        <v>10.0</v>
      </c>
      <c r="G3033" s="11">
        <v>94879.0</v>
      </c>
      <c r="H3033" s="34" t="str">
        <f>IFERROR(__xludf.DUMMYFUNCTION("LOWER(REGEXREPLACE(B3033&amp;"" ""&amp;C3033,""[^а-яa-z0-9 ]"","" ""))")," акивара апперкотная настенная     084  из натуральной кожи  акивара апперкотная настенная     084   атериал  натуральная кожа   абивка  изолон  синтипон  лоскут ")</f>
        <v> акивара апперкотная настенная     084  из натуральной кожи  акивара апперкотная настенная     084   атериал  натуральная кожа   абивка  изолон  синтипон  лоскут </v>
      </c>
    </row>
    <row r="3034">
      <c r="A3034" s="35" t="s">
        <v>7128</v>
      </c>
      <c r="B3034" s="31" t="s">
        <v>7129</v>
      </c>
      <c r="C3034" s="31"/>
      <c r="D3034" s="37" t="s">
        <v>14</v>
      </c>
      <c r="E3034" s="10"/>
      <c r="F3034" s="36"/>
      <c r="G3034" s="11"/>
      <c r="H3034" s="34" t="str">
        <f>IFERROR(__xludf.DUMMYFUNCTION("LOWER(REGEXREPLACE(B3034&amp;"" ""&amp;C3034,""[^а-яa-z0-9 ]"","" ""))")," ренажер спортивный ")</f>
        <v> ренажер спортивный </v>
      </c>
    </row>
    <row r="3035">
      <c r="A3035" s="35" t="s">
        <v>7130</v>
      </c>
      <c r="B3035" s="31" t="s">
        <v>7131</v>
      </c>
      <c r="C3035" s="31" t="s">
        <v>7132</v>
      </c>
      <c r="D3035" s="37" t="s">
        <v>14</v>
      </c>
      <c r="E3035" s="38">
        <v>2.0</v>
      </c>
      <c r="F3035" s="38">
        <v>170.0</v>
      </c>
      <c r="G3035" s="11">
        <v>1273163.0</v>
      </c>
      <c r="H3035" s="34" t="str">
        <f>IFERROR(__xludf.DUMMYFUNCTION("LOWER(REGEXREPLACE(B3035&amp;"" ""&amp;C3035,""[^а-яa-z0-9 ]"","" ""))"),"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f>
        <v>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v>
      </c>
    </row>
    <row r="3036">
      <c r="A3036" s="35" t="s">
        <v>7133</v>
      </c>
      <c r="B3036" s="9" t="s">
        <v>7134</v>
      </c>
      <c r="C3036" s="31" t="s">
        <v>7135</v>
      </c>
      <c r="D3036" s="37" t="s">
        <v>14</v>
      </c>
      <c r="E3036" s="38">
        <v>2.0</v>
      </c>
      <c r="F3036" s="38">
        <v>150.0</v>
      </c>
      <c r="G3036" s="11">
        <v>1105494.0</v>
      </c>
      <c r="H3036" s="34" t="str">
        <f>IFERROR(__xludf.DUMMYFUNCTION("LOWER(REGEXREPLACE(B3036&amp;"" ""&amp;C3036,""[^а-яa-z0-9 ]"","" ""))"),"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f>
        <v>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v>
      </c>
    </row>
    <row r="3037">
      <c r="A3037" s="35" t="s">
        <v>7136</v>
      </c>
      <c r="B3037" s="9" t="s">
        <v>7137</v>
      </c>
      <c r="C3037" s="31" t="s">
        <v>7138</v>
      </c>
      <c r="D3037" s="37" t="s">
        <v>14</v>
      </c>
      <c r="E3037" s="38">
        <v>2.0</v>
      </c>
      <c r="F3037" s="38">
        <v>140.0</v>
      </c>
      <c r="G3037" s="11">
        <v>1036131.0</v>
      </c>
      <c r="H3037" s="34" t="str">
        <f>IFERROR(__xludf.DUMMYFUNCTION("LOWER(REGEXREPLACE(B3037&amp;"" ""&amp;C3037,""[^а-яa-z0-9 ]"","" ""))")," ренажер  гибание ног лежа    03  габариты  1600мм х 1200мм х 1650мм  ренажер  гибание ног лежа    03   абариты 1600мм 1200мм 1650мм  искусственная кожа 18 группы толщины ")</f>
        <v> ренажер  гибание ног лежа    03  габариты  1600мм х 1200мм х 1650мм  ренажер  гибание ног лежа    03   абариты 1600мм 1200мм 1650мм  искусственная кожа 18 группы толщины </v>
      </c>
    </row>
    <row r="3038">
      <c r="A3038" s="35" t="s">
        <v>7139</v>
      </c>
      <c r="B3038" s="31" t="s">
        <v>7140</v>
      </c>
      <c r="C3038" s="31" t="s">
        <v>7141</v>
      </c>
      <c r="D3038" s="37" t="s">
        <v>14</v>
      </c>
      <c r="E3038" s="38">
        <v>2.0</v>
      </c>
      <c r="F3038" s="38">
        <v>165.0</v>
      </c>
      <c r="G3038" s="11">
        <v>1131979.0</v>
      </c>
      <c r="H3038" s="34" t="str">
        <f>IFERROR(__xludf.DUMMYFUNCTION("LOWER(REGEXREPLACE(B3038&amp;"" ""&amp;C3038,""[^а-яa-z0-9 ]"","" ""))"),"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f>
        <v>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v>
      </c>
    </row>
    <row r="3039">
      <c r="A3039" s="35" t="s">
        <v>7142</v>
      </c>
      <c r="B3039" s="9" t="s">
        <v>7143</v>
      </c>
      <c r="C3039" s="31" t="s">
        <v>7144</v>
      </c>
      <c r="D3039" s="37" t="s">
        <v>14</v>
      </c>
      <c r="E3039" s="38">
        <v>2.0</v>
      </c>
      <c r="F3039" s="38">
        <v>165.0</v>
      </c>
      <c r="G3039" s="11">
        <v>1138085.0</v>
      </c>
      <c r="H3039" s="34" t="str">
        <f>IFERROR(__xludf.DUMMYFUNCTION("LOWER(REGEXREPLACE(B3039&amp;"" ""&amp;C3039,""[^а-яa-z0-9 ]"","" ""))")," ренажер  им сидя от груди    05габариты  950мм х 1500мм х 1650мм   ренажер  им сидя от груди    05   абариты тренажера  950мм 1500мм 1650мм  материал  металл  кожзам  параллон   ")</f>
        <v> ренажер  им сидя от груди    05габариты  950мм х 1500мм х 1650мм   ренажер  им сидя от груди    05   абариты тренажера  950мм 1500мм 1650мм  материал  металл  кожзам  параллон   </v>
      </c>
    </row>
    <row r="3040">
      <c r="A3040" s="35" t="s">
        <v>7145</v>
      </c>
      <c r="B3040" s="9" t="s">
        <v>7146</v>
      </c>
      <c r="C3040" s="31" t="s">
        <v>7147</v>
      </c>
      <c r="D3040" s="37" t="s">
        <v>14</v>
      </c>
      <c r="E3040" s="38">
        <v>2.0</v>
      </c>
      <c r="F3040" s="38">
        <v>250.0</v>
      </c>
      <c r="G3040" s="11">
        <v>1683636.0</v>
      </c>
      <c r="H3040" s="34" t="str">
        <f>IFERROR(__xludf.DUMMYFUNCTION("LOWER(REGEXREPLACE(B3040&amp;"" ""&amp;C3040,""[^а-яa-z0-9 ]"","" ""))"),"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f>
        <v>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v>
      </c>
    </row>
    <row r="3041">
      <c r="A3041" s="35" t="s">
        <v>7148</v>
      </c>
      <c r="B3041" s="31" t="s">
        <v>7149</v>
      </c>
      <c r="C3041" s="31" t="s">
        <v>7150</v>
      </c>
      <c r="D3041" s="37" t="s">
        <v>14</v>
      </c>
      <c r="E3041" s="38">
        <v>2.0</v>
      </c>
      <c r="F3041" s="38">
        <v>130.0</v>
      </c>
      <c r="G3041" s="11">
        <v>1036092.0</v>
      </c>
      <c r="H3041" s="34" t="str">
        <f>IFERROR(__xludf.DUMMYFUNCTION("LOWER(REGEXREPLACE(B3041&amp;"" ""&amp;C3041,""[^а-яa-z0-9 ]"","" ""))"),"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комплекции"&amp;"   оковые упоры обеспечивают достаточную стабильность и устойчивость ")</f>
        <v>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   оковые упоры обеспечивают достаточную стабильность и устойчивость </v>
      </c>
    </row>
    <row r="3042">
      <c r="A3042" s="35" t="s">
        <v>7151</v>
      </c>
      <c r="B3042" s="9" t="s">
        <v>7152</v>
      </c>
      <c r="C3042" s="31" t="s">
        <v>7153</v>
      </c>
      <c r="D3042" s="37" t="s">
        <v>14</v>
      </c>
      <c r="E3042" s="38">
        <v>2.0</v>
      </c>
      <c r="F3042" s="38">
        <v>137.0</v>
      </c>
      <c r="G3042" s="11">
        <v>1068396.0</v>
      </c>
      <c r="H3042" s="34" t="str">
        <f>IFERROR(__xludf.DUMMYFUNCTION("LOWER(REGEXREPLACE(B3042&amp;"" ""&amp;C3042,""[^а-яa-z0-9 ]"","" ""))")," ренажер  азгибание спины    09  габариты  1200мм х 720мм х 1650мм  ренажер  азгибание спины    09  габариты тренажера  1200мм 720мм 1650мм  противовес составляет 54 кг ")</f>
        <v> ренажер  азгибание спины    09  габариты  1200мм х 720мм х 1650мм  ренажер  азгибание спины    09  габариты тренажера  1200мм 720мм 1650мм  противовес составляет 54 кг </v>
      </c>
    </row>
    <row r="3043">
      <c r="A3043" s="35" t="s">
        <v>7154</v>
      </c>
      <c r="B3043" s="9" t="s">
        <v>7155</v>
      </c>
      <c r="C3043" s="31" t="s">
        <v>7156</v>
      </c>
      <c r="D3043" s="37" t="s">
        <v>14</v>
      </c>
      <c r="E3043" s="38">
        <v>2.0</v>
      </c>
      <c r="F3043" s="38">
        <v>140.0</v>
      </c>
      <c r="G3043" s="11">
        <v>1061635.0</v>
      </c>
      <c r="H3043" s="34" t="str">
        <f>IFERROR(__xludf.DUMMYFUNCTION("LOWER(REGEXREPLACE(B3043&amp;"" ""&amp;C3043,""[^а-яa-z0-9 ]"","" ""))"),"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f>
        <v>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v>
      </c>
    </row>
    <row r="3044">
      <c r="A3044" s="35" t="s">
        <v>7157</v>
      </c>
      <c r="B3044" s="31" t="s">
        <v>7158</v>
      </c>
      <c r="C3044" s="31" t="s">
        <v>7159</v>
      </c>
      <c r="D3044" s="37" t="s">
        <v>14</v>
      </c>
      <c r="E3044" s="38">
        <v>2.0</v>
      </c>
      <c r="F3044" s="38">
        <v>135.0</v>
      </c>
      <c r="G3044" s="11">
        <v>1082175.0</v>
      </c>
      <c r="H3044" s="34" t="str">
        <f>IFERROR(__xludf.DUMMYFUNCTION("LOWER(REGEXREPLACE(B3044&amp;"" ""&amp;C3044,""[^а-яa-z0-9 ]"","" ""))"),"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еталлически"&amp;"й трос с полиуретановым покрытием  максимальная нагрузка   1000кг   окрытие рамы   орошковая покраска  наполнение подушек      ")</f>
        <v>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еталлический трос с полиуретановым покрытием  максимальная нагрузка   1000кг   окрытие рамы   орошковая покраска  наполнение подушек      </v>
      </c>
    </row>
    <row r="3045">
      <c r="A3045" s="35" t="s">
        <v>7160</v>
      </c>
      <c r="B3045" s="9" t="s">
        <v>7161</v>
      </c>
      <c r="C3045" s="31" t="s">
        <v>7162</v>
      </c>
      <c r="D3045" s="37" t="s">
        <v>14</v>
      </c>
      <c r="E3045" s="38">
        <v>2.0</v>
      </c>
      <c r="F3045" s="38">
        <v>150.0</v>
      </c>
      <c r="G3045" s="11">
        <v>1126053.0</v>
      </c>
      <c r="H3045" s="34" t="str">
        <f>IFERROR(__xludf.DUMMYFUNCTION("LOWER(REGEXREPLACE(B3045&amp;"" ""&amp;C3045,""[^а-яa-z0-9 ]"","" ""))")," ренажер  иловой тренажер  ulti  ip    12  габариты  950мм х 1500мм х 1650мм  ренажер  иловой тренажер  ulti  ip    12  габариты тренажера  950мм 1500мм 1650мм  вес стека  77 кг ")</f>
        <v> ренажер  иловой тренажер  ulti  ip    12  габариты  950мм х 1500мм х 1650мм  ренажер  иловой тренажер  ulti  ip    12  габариты тренажера  950мм 1500мм 1650мм  вес стека  77 кг </v>
      </c>
    </row>
    <row r="3046">
      <c r="A3046" s="35" t="s">
        <v>7163</v>
      </c>
      <c r="B3046" s="31" t="s">
        <v>7164</v>
      </c>
      <c r="C3046" s="31" t="s">
        <v>7165</v>
      </c>
      <c r="D3046" s="37" t="s">
        <v>14</v>
      </c>
      <c r="E3046" s="38">
        <v>2.0</v>
      </c>
      <c r="F3046" s="38">
        <v>140.0</v>
      </c>
      <c r="G3046" s="11">
        <v>1137988.0</v>
      </c>
      <c r="H3046" s="34" t="str">
        <f>IFERROR(__xludf.DUMMYFUNCTION("LOWER(REGEXREPLACE(B3046&amp;"" ""&amp;C3046,""[^а-яa-z0-9 ]"","" ""))"),"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f>
        <v>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v>
      </c>
    </row>
    <row r="3047">
      <c r="A3047" s="35" t="s">
        <v>7166</v>
      </c>
      <c r="B3047" s="31" t="s">
        <v>7167</v>
      </c>
      <c r="C3047" s="31" t="s">
        <v>7168</v>
      </c>
      <c r="D3047" s="37" t="s">
        <v>14</v>
      </c>
      <c r="E3047" s="38">
        <v>2.0</v>
      </c>
      <c r="F3047" s="38">
        <v>150.0</v>
      </c>
      <c r="G3047" s="11">
        <v>1139223.0</v>
      </c>
      <c r="H3047" s="34" t="str">
        <f>IFERROR(__xludf.DUMMYFUNCTION("LOWER(REGEXREPLACE(B3047&amp;"" ""&amp;C3047,""[^а-яa-z0-9 ]"","" ""))"),"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3мм"&amp;" 2 5 мм ")</f>
        <v>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 2 5 мм </v>
      </c>
    </row>
    <row r="3048">
      <c r="A3048" s="35" t="s">
        <v>7169</v>
      </c>
      <c r="B3048" s="31" t="s">
        <v>7170</v>
      </c>
      <c r="C3048" s="31" t="s">
        <v>7171</v>
      </c>
      <c r="D3048" s="37" t="s">
        <v>14</v>
      </c>
      <c r="E3048" s="38">
        <v>2.0</v>
      </c>
      <c r="F3048" s="38">
        <v>180.0</v>
      </c>
      <c r="G3048" s="11">
        <v>1462990.0</v>
      </c>
      <c r="H3048" s="34" t="str">
        <f>IFERROR(__xludf.DUMMYFUNCTION("LOWER(REGEXREPLACE(B3048&amp;"" ""&amp;C3048,""[^а-яa-z0-9 ]"","" ""))")," ренажер  ыгибание ног    15  габариты  1800мм х 1600мм х 1650мм  ренажер  ыгибание ног    15  габариты тренажера  1800мм х 1600мм х 1650мм  максимальный вес пользователя 180 кг")</f>
        <v> ренажер  ыгибание ног    15  габариты  1800мм х 1600мм х 1650мм  ренажер  ыгибание ног    15  габариты тренажера  1800мм х 1600мм х 1650мм  максимальный вес пользователя 180 кг</v>
      </c>
    </row>
    <row r="3049">
      <c r="A3049" s="35" t="s">
        <v>7172</v>
      </c>
      <c r="B3049" s="31" t="s">
        <v>7173</v>
      </c>
      <c r="C3049" s="31" t="s">
        <v>7174</v>
      </c>
      <c r="D3049" s="37" t="s">
        <v>14</v>
      </c>
      <c r="E3049" s="38">
        <v>2.0</v>
      </c>
      <c r="F3049" s="38">
        <v>115.0</v>
      </c>
      <c r="G3049" s="11">
        <v>1061538.0</v>
      </c>
      <c r="H3049" s="34" t="str">
        <f>IFERROR(__xludf.DUMMYFUNCTION("LOWER(REGEXREPLACE(B3049&amp;"" ""&amp;C3049,""[^а-яa-z0-9 ]"","" ""))")," ренажер  ицепс машина    16  габариты  950мм х 1200мм х 1650мм  ренажер  ицепс машина    16  абариты тренажера  950мм 1200мм 1650мм  максимальный вес пользователя  200 кг ")</f>
        <v> ренажер  ицепс машина    16  габариты  950мм х 1200мм х 1650мм  ренажер  ицепс машина    16  абариты тренажера  950мм 1200мм 1650мм  максимальный вес пользователя  200 кг </v>
      </c>
    </row>
    <row r="3050">
      <c r="A3050" s="35" t="s">
        <v>7175</v>
      </c>
      <c r="B3050" s="31" t="s">
        <v>7176</v>
      </c>
      <c r="C3050" s="31" t="s">
        <v>7177</v>
      </c>
      <c r="D3050" s="37" t="s">
        <v>14</v>
      </c>
      <c r="E3050" s="38">
        <v>2.0</v>
      </c>
      <c r="F3050" s="38">
        <v>135.0</v>
      </c>
      <c r="G3050" s="11">
        <v>1088687.0</v>
      </c>
      <c r="H3050" s="34" t="str">
        <f>IFERROR(__xludf.DUMMYFUNCTION("LOWER(REGEXREPLACE(B3050&amp;"" ""&amp;C3050,""[^а-яa-z0-9 ]"","" ""))"),"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и"&amp;"зносостойкой двухслойной полимерной краской ")</f>
        <v>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износостойкой двухслойной полимерной краской </v>
      </c>
    </row>
    <row r="3051">
      <c r="A3051" s="35" t="s">
        <v>7178</v>
      </c>
      <c r="B3051" s="31" t="s">
        <v>7179</v>
      </c>
      <c r="C3051" s="31" t="s">
        <v>7180</v>
      </c>
      <c r="D3051" s="37" t="s">
        <v>14</v>
      </c>
      <c r="E3051" s="38">
        <v>2.0</v>
      </c>
      <c r="F3051" s="38">
        <v>115.0</v>
      </c>
      <c r="G3051" s="11">
        <v>1061538.0</v>
      </c>
      <c r="H3051" s="34" t="str">
        <f>IFERROR(__xludf.DUMMYFUNCTION("LOWER(REGEXREPLACE(B3051&amp;"" ""&amp;C3051,""[^а-яa-z0-9 ]"","" ""))"),"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двухс"&amp;"лойной порошковой окраски деталей ")</f>
        <v>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двухслойной порошковой окраски деталей </v>
      </c>
    </row>
    <row r="3052">
      <c r="A3052" s="35" t="s">
        <v>7181</v>
      </c>
      <c r="B3052" s="31" t="s">
        <v>7182</v>
      </c>
      <c r="C3052" s="31" t="s">
        <v>7183</v>
      </c>
      <c r="D3052" s="37" t="s">
        <v>14</v>
      </c>
      <c r="E3052" s="38">
        <v>2.0</v>
      </c>
      <c r="F3052" s="38">
        <v>150.0</v>
      </c>
      <c r="G3052" s="11">
        <v>1100842.0</v>
      </c>
      <c r="H3052" s="34" t="str">
        <f>IFERROR(__xludf.DUMMYFUNCTION("LOWER(REGEXREPLACE(B3052&amp;"" ""&amp;C3052,""[^а-яa-z0-9 ]"","" ""))"),"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50"&amp;" мм ")</f>
        <v>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 мм </v>
      </c>
    </row>
    <row r="3053">
      <c r="A3053" s="35" t="s">
        <v>7184</v>
      </c>
      <c r="B3053" s="31" t="s">
        <v>7185</v>
      </c>
      <c r="C3053" s="31" t="s">
        <v>7186</v>
      </c>
      <c r="D3053" s="37" t="s">
        <v>14</v>
      </c>
      <c r="E3053" s="38">
        <v>2.0</v>
      </c>
      <c r="F3053" s="38">
        <v>140.0</v>
      </c>
      <c r="G3053" s="11">
        <v>1105455.0</v>
      </c>
      <c r="H3053" s="34" t="str">
        <f>IFERROR(__xludf.DUMMYFUNCTION("LOWER(REGEXREPLACE(B3053&amp;"" ""&amp;C3053,""[^а-яa-z0-9 ]"","" ""))"),"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f>
        <v>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v>
      </c>
    </row>
    <row r="3054">
      <c r="A3054" s="35" t="s">
        <v>7187</v>
      </c>
      <c r="B3054" s="31" t="s">
        <v>7188</v>
      </c>
      <c r="C3054" s="31" t="s">
        <v>7189</v>
      </c>
      <c r="D3054" s="37" t="s">
        <v>14</v>
      </c>
      <c r="E3054" s="38">
        <v>2.0</v>
      </c>
      <c r="F3054" s="38">
        <v>130.0</v>
      </c>
      <c r="G3054" s="11">
        <v>1133159.0</v>
      </c>
      <c r="H3054" s="34" t="str">
        <f>IFERROR(__xludf.DUMMYFUNCTION("LOWER(REGEXREPLACE(B3054&amp;"" ""&amp;C3054,""[^а-яa-z0-9 ]"","" ""))"),"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f>
        <v>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v>
      </c>
    </row>
    <row r="3055">
      <c r="A3055" s="35" t="s">
        <v>7190</v>
      </c>
      <c r="B3055" s="31" t="s">
        <v>7191</v>
      </c>
      <c r="C3055" s="31" t="s">
        <v>7192</v>
      </c>
      <c r="D3055" s="37" t="s">
        <v>14</v>
      </c>
      <c r="E3055" s="38">
        <v>2.0</v>
      </c>
      <c r="F3055" s="38">
        <v>120.0</v>
      </c>
      <c r="G3055" s="11">
        <v>1222389.0</v>
      </c>
      <c r="H3055" s="34" t="str">
        <f>IFERROR(__xludf.DUMMYFUNCTION("LOWER(REGEXREPLACE(B3055&amp;"" ""&amp;C3055,""[^а-яa-z0-9 ]"","" ""))"),"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регулировко"&amp;"й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f>
        <v>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v>
      </c>
    </row>
    <row r="3056">
      <c r="A3056" s="35" t="s">
        <v>7193</v>
      </c>
      <c r="B3056" s="31" t="s">
        <v>7194</v>
      </c>
      <c r="C3056" s="31" t="s">
        <v>7195</v>
      </c>
      <c r="D3056" s="37" t="s">
        <v>14</v>
      </c>
      <c r="E3056" s="38">
        <v>2.0</v>
      </c>
      <c r="F3056" s="38">
        <v>45.0</v>
      </c>
      <c r="G3056" s="11">
        <v>418867.0</v>
      </c>
      <c r="H3056" s="34" t="str">
        <f>IFERROR(__xludf.DUMMYFUNCTION("LOWER(REGEXREPLACE(B3056&amp;"" ""&amp;C3056,""[^а-яa-z0-9 ]"","" ""))"),"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м"&amp;"м   бивка мягкой части скамьи  винилискожа   аксимальный вес пользователя  до 150 кг   аксимальная нагрузка  200 кг ")</f>
        <v>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мм   бивка мягкой части скамьи  винилискожа   аксимальный вес пользователя  до 150 кг   аксимальная нагрузка  200 кг </v>
      </c>
    </row>
    <row r="3057">
      <c r="A3057" s="35" t="s">
        <v>7196</v>
      </c>
      <c r="B3057" s="31" t="s">
        <v>7197</v>
      </c>
      <c r="C3057" s="31" t="s">
        <v>7198</v>
      </c>
      <c r="D3057" s="37" t="s">
        <v>14</v>
      </c>
      <c r="E3057" s="38">
        <v>2.0</v>
      </c>
      <c r="F3057" s="38">
        <v>37.0</v>
      </c>
      <c r="G3057" s="11">
        <v>350117.0</v>
      </c>
      <c r="H3057" s="34" t="str">
        <f>IFERROR(__xludf.DUMMYFUNCTION("LOWER(REGEXREPLACE(B3057&amp;"" ""&amp;C3057,""[^а-яa-z0-9 ]"","" ""))"),"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изготов"&amp;"лена из стальной профильной трубы  размером  51х76х 2 5 мм  60х60х 2 5 мм   аксимальный вес пользователя  до 150 кг   аксимальная нагрузка  200 кг ")</f>
        <v>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изготовлена из стальной профильной трубы  размером  51х76х 2 5 мм  60х60х 2 5 мм   аксимальный вес пользователя  до 150 кг   аксимальная нагрузка  200 кг </v>
      </c>
    </row>
    <row r="3058">
      <c r="A3058" s="35" t="s">
        <v>7199</v>
      </c>
      <c r="B3058" s="31" t="s">
        <v>7200</v>
      </c>
      <c r="C3058" s="31" t="s">
        <v>7201</v>
      </c>
      <c r="D3058" s="37" t="s">
        <v>14</v>
      </c>
      <c r="E3058" s="38">
        <v>2.0</v>
      </c>
      <c r="F3058" s="39">
        <v>27.5</v>
      </c>
      <c r="G3058" s="11">
        <v>154548.0</v>
      </c>
      <c r="H3058" s="34" t="str">
        <f>IFERROR(__xludf.DUMMYFUNCTION("LOWER(REGEXREPLACE(B3058&amp;"" ""&amp;C3058,""[^а-яa-z0-9 ]"","" ""))"),"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пользовате"&amp;"ля  до 150 кг ")</f>
        <v>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пользователя  до 150 кг </v>
      </c>
    </row>
    <row r="3059">
      <c r="A3059" s="35" t="s">
        <v>7202</v>
      </c>
      <c r="B3059" s="9" t="s">
        <v>7203</v>
      </c>
      <c r="C3059" s="31" t="s">
        <v>7204</v>
      </c>
      <c r="D3059" s="37" t="s">
        <v>14</v>
      </c>
      <c r="E3059" s="38">
        <v>2.0</v>
      </c>
      <c r="F3059" s="38">
        <v>40.0</v>
      </c>
      <c r="G3059" s="11">
        <v>210727.0</v>
      </c>
      <c r="H3059" s="34" t="str">
        <f>IFERROR(__xludf.DUMMYFUNCTION("LOWER(REGEXREPLACE(B3059&amp;"" ""&amp;C3059,""[^а-яa-z0-9 ]"","" ""))"),"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f>
        <v>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v>
      </c>
    </row>
    <row r="3060">
      <c r="A3060" s="35" t="s">
        <v>7205</v>
      </c>
      <c r="B3060" s="31" t="s">
        <v>7206</v>
      </c>
      <c r="C3060" s="31" t="s">
        <v>7207</v>
      </c>
      <c r="D3060" s="37" t="s">
        <v>14</v>
      </c>
      <c r="E3060" s="38">
        <v>2.0</v>
      </c>
      <c r="F3060" s="38">
        <v>42.0</v>
      </c>
      <c r="G3060" s="11">
        <v>260185.0</v>
      </c>
      <c r="H3060" s="34" t="str">
        <f>IFERROR(__xludf.DUMMYFUNCTION("LOWER(REGEXREPLACE(B3060&amp;"" ""&amp;C3060,""[^а-яa-z0-9 ]"","" ""))"),"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егули"&amp;"ровка сиденья  8 положений регулировки наклона сиденья ")</f>
        <v>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егулировка сиденья  8 положений регулировки наклона сиденья </v>
      </c>
    </row>
    <row r="3061">
      <c r="A3061" s="35" t="s">
        <v>7208</v>
      </c>
      <c r="B3061" s="31" t="s">
        <v>7209</v>
      </c>
      <c r="C3061" s="31"/>
      <c r="D3061" s="37" t="s">
        <v>14</v>
      </c>
      <c r="E3061" s="38">
        <v>2.0</v>
      </c>
      <c r="F3061" s="38">
        <v>50.0</v>
      </c>
      <c r="G3061" s="11">
        <v>289669.0</v>
      </c>
      <c r="H3061" s="34" t="str">
        <f>IFERROR(__xludf.DUMMYFUNCTION("LOWER(REGEXREPLACE(B3061&amp;"" ""&amp;C3061,""[^а-яa-z0-9 ]"","" ""))")," ногофункциональная скамья    57  габариты  1350мм х 660мм х 1320мм ")</f>
        <v> ногофункциональная скамья    57  габариты  1350мм х 660мм х 1320мм </v>
      </c>
    </row>
    <row r="3062">
      <c r="A3062" s="35" t="s">
        <v>7210</v>
      </c>
      <c r="B3062" s="31" t="s">
        <v>7211</v>
      </c>
      <c r="C3062" s="31" t="s">
        <v>7212</v>
      </c>
      <c r="D3062" s="37" t="s">
        <v>14</v>
      </c>
      <c r="E3062" s="38">
        <v>2.0</v>
      </c>
      <c r="F3062" s="38">
        <v>80.0</v>
      </c>
      <c r="G3062" s="11">
        <v>647508.0</v>
      </c>
      <c r="H3062" s="34" t="str">
        <f>IFERROR(__xludf.DUMMYFUNCTION("LOWER(REGEXREPLACE(B3062&amp;"" ""&amp;C3062,""[^а-яa-z0-9 ]"","" ""))"),"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грифов"&amp;"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f>
        <v>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v>
      </c>
    </row>
    <row r="3063">
      <c r="A3063" s="35" t="s">
        <v>7213</v>
      </c>
      <c r="B3063" s="9" t="s">
        <v>7214</v>
      </c>
      <c r="C3063" s="31" t="s">
        <v>7215</v>
      </c>
      <c r="D3063" s="37" t="s">
        <v>14</v>
      </c>
      <c r="E3063" s="38">
        <v>2.0</v>
      </c>
      <c r="F3063" s="38">
        <v>29.0</v>
      </c>
      <c r="G3063" s="11">
        <v>210461.0</v>
      </c>
      <c r="H3063" s="34" t="str">
        <f>IFERROR(__xludf.DUMMYFUNCTION("LOWER(REGEXREPLACE(B3063&amp;"" ""&amp;C3063,""[^а-яa-z0-9 ]"","" ""))"),"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f>
        <v>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v>
      </c>
    </row>
    <row r="3064">
      <c r="A3064" s="35" t="s">
        <v>7216</v>
      </c>
      <c r="B3064" s="31" t="s">
        <v>7217</v>
      </c>
      <c r="C3064" s="31" t="s">
        <v>7218</v>
      </c>
      <c r="D3064" s="37" t="s">
        <v>14</v>
      </c>
      <c r="E3064" s="38">
        <v>2.0</v>
      </c>
      <c r="F3064" s="38">
        <v>65.0</v>
      </c>
      <c r="G3064" s="11">
        <v>292806.0</v>
      </c>
      <c r="H3064" s="34" t="str">
        <f>IFERROR(__xludf.DUMMYFUNCTION("LOWER(REGEXREPLACE(B3064&amp;"" ""&amp;C3064,""[^а-яa-z0-9 ]"","" ""))"),"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профиль"&amp;"ной  рамы  50 х 100 мм   олщина стенки  3 2 5 мм   аксимальный вес пользователя  150 кг   абариты  1350мм х 660мм х 980мм")</f>
        <v>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профильной  рамы  50 х 100 мм   олщина стенки  3 2 5 мм   аксимальный вес пользователя  150 кг   абариты  1350мм х 660мм х 980мм</v>
      </c>
    </row>
    <row r="3065">
      <c r="A3065" s="35" t="s">
        <v>7219</v>
      </c>
      <c r="B3065" s="31" t="s">
        <v>7220</v>
      </c>
      <c r="C3065" s="31" t="s">
        <v>7221</v>
      </c>
      <c r="D3065" s="37" t="s">
        <v>14</v>
      </c>
      <c r="E3065" s="38">
        <v>2.0</v>
      </c>
      <c r="F3065" s="38">
        <v>18.0</v>
      </c>
      <c r="G3065" s="11">
        <v>154511.0</v>
      </c>
      <c r="H3065" s="34" t="str">
        <f>IFERROR(__xludf.DUMMYFUNCTION("LOWER(REGEXREPLACE(B3065&amp;"" ""&amp;C3065,""[^а-яa-z0-9 ]"","" ""))"),"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f>
        <v>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v>
      </c>
    </row>
    <row r="3066">
      <c r="A3066" s="35" t="s">
        <v>7222</v>
      </c>
      <c r="B3066" s="31" t="s">
        <v>7223</v>
      </c>
      <c r="C3066" s="31" t="s">
        <v>7224</v>
      </c>
      <c r="D3066" s="37" t="s">
        <v>14</v>
      </c>
      <c r="E3066" s="38">
        <v>2.0</v>
      </c>
      <c r="F3066" s="38">
        <v>49.0</v>
      </c>
      <c r="G3066" s="11">
        <v>350164.0</v>
      </c>
      <c r="H3066" s="34" t="str">
        <f>IFERROR(__xludf.DUMMYFUNCTION("LOWER(REGEXREPLACE(B3066&amp;"" ""&amp;C3066,""[^а-яa-z0-9 ]"","" ""))"),"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f>
        <v>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v>
      </c>
    </row>
    <row r="3067">
      <c r="A3067" s="35" t="s">
        <v>7225</v>
      </c>
      <c r="B3067" s="31" t="s">
        <v>7226</v>
      </c>
      <c r="C3067" s="31" t="s">
        <v>7227</v>
      </c>
      <c r="D3067" s="37" t="s">
        <v>14</v>
      </c>
      <c r="E3067" s="38">
        <v>2.0</v>
      </c>
      <c r="F3067" s="38">
        <v>183.0</v>
      </c>
      <c r="G3067" s="11">
        <v>1929988.0</v>
      </c>
      <c r="H3067" s="34" t="str">
        <f>IFERROR(__xludf.DUMMYFUNCTION("LOWER(REGEXREPLACE(B3067&amp;"" ""&amp;C3067,""[^а-яa-z0-9 ]"","" ""))"),"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170"&amp;" кг ")</f>
        <v>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 кг </v>
      </c>
    </row>
    <row r="3068">
      <c r="A3068" s="35" t="s">
        <v>7228</v>
      </c>
      <c r="B3068" s="31" t="s">
        <v>7229</v>
      </c>
      <c r="C3068" s="31" t="s">
        <v>7230</v>
      </c>
      <c r="D3068" s="37" t="s">
        <v>14</v>
      </c>
      <c r="E3068" s="38">
        <v>2.0</v>
      </c>
      <c r="F3068" s="38">
        <v>113.0</v>
      </c>
      <c r="G3068" s="11">
        <v>923855.0</v>
      </c>
      <c r="H3068" s="34" t="str">
        <f>IFERROR(__xludf.DUMMYFUNCTION("LOWER(REGEXREPLACE(B3068&amp;"" ""&amp;C3068,""[^а-яa-z0-9 ]"","" ""))"),"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f>
        <v>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v>
      </c>
    </row>
    <row r="3069">
      <c r="A3069" s="35" t="s">
        <v>7231</v>
      </c>
      <c r="B3069" s="31" t="s">
        <v>7232</v>
      </c>
      <c r="C3069" s="31"/>
      <c r="D3069" s="37" t="s">
        <v>14</v>
      </c>
      <c r="E3069" s="38">
        <v>2.0</v>
      </c>
      <c r="F3069" s="38">
        <v>15.0</v>
      </c>
      <c r="G3069" s="11">
        <v>48231.0</v>
      </c>
      <c r="H3069" s="34" t="str">
        <f>IFERROR(__xludf.DUMMYFUNCTION("LOWER(REGEXREPLACE(B3069&amp;"" ""&amp;C3069,""[^а-яa-z0-9 ]"","" ""))")," теп платформа размерами 950 х 350 х 150 мм    931 ")</f>
        <v> теп платформа размерами 950 х 350 х 150 мм    931 </v>
      </c>
    </row>
    <row r="3070">
      <c r="A3070" s="35" t="s">
        <v>7233</v>
      </c>
      <c r="B3070" s="31" t="s">
        <v>7234</v>
      </c>
      <c r="C3070" s="31" t="s">
        <v>7235</v>
      </c>
      <c r="D3070" s="37" t="s">
        <v>14</v>
      </c>
      <c r="E3070" s="38">
        <v>2.0</v>
      </c>
      <c r="F3070" s="38">
        <v>330.0</v>
      </c>
      <c r="G3070" s="11">
        <v>3166768.0</v>
      </c>
      <c r="H3070" s="34" t="str">
        <f>IFERROR(__xludf.DUMMYFUNCTION("LOWER(REGEXREPLACE(B3070&amp;"" ""&amp;C3070,""[^а-яa-z0-9 ]"","" ""))"),"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опу"&amp;"стимый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"&amp;"  ipod  стерео ")</f>
        <v>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ipod  стерео </v>
      </c>
    </row>
    <row r="3071">
      <c r="A3071" s="35" t="s">
        <v>7236</v>
      </c>
      <c r="B3071" s="31" t="s">
        <v>7237</v>
      </c>
      <c r="C3071" s="31" t="s">
        <v>7238</v>
      </c>
      <c r="D3071" s="37" t="s">
        <v>14</v>
      </c>
      <c r="E3071" s="38">
        <v>2.0</v>
      </c>
      <c r="F3071" s="38">
        <v>113.0</v>
      </c>
      <c r="G3071" s="11">
        <v>1419512.0</v>
      </c>
      <c r="H3071" s="34" t="str">
        <f>IFERROR(__xludf.DUMMYFUNCTION("LOWER(REGEXREPLACE(B3071&amp;"" ""&amp;C3071,""[^а-яa-z0-9 ]"","" ""))"),"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кг"&amp;" ")</f>
        <v>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 </v>
      </c>
    </row>
    <row r="3072">
      <c r="A3072" s="35" t="s">
        <v>7239</v>
      </c>
      <c r="B3072" s="31" t="s">
        <v>7240</v>
      </c>
      <c r="C3072" s="31" t="s">
        <v>7241</v>
      </c>
      <c r="D3072" s="37" t="s">
        <v>14</v>
      </c>
      <c r="E3072" s="38">
        <v>2.0</v>
      </c>
      <c r="F3072" s="38">
        <v>52.0</v>
      </c>
      <c r="G3072" s="11">
        <v>495984.0</v>
      </c>
      <c r="H3072" s="34" t="str">
        <f>IFERROR(__xludf.DUMMYFUNCTION("LOWER(REGEXREPLACE(B3072&amp;"" ""&amp;C3072,""[^а-яa-z0-9 ]"","" ""))"),"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о"&amp;"тображающим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и"&amp;"спользованием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"&amp;"кожухи  металлические педали с антискользящим покрытием  сиденье из синтетической кожи с мягким наполнителем ")</f>
        <v>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 </v>
      </c>
    </row>
    <row r="3073">
      <c r="A3073" s="35" t="s">
        <v>7242</v>
      </c>
      <c r="B3073" s="31" t="s">
        <v>7243</v>
      </c>
      <c r="C3073" s="31" t="s">
        <v>7244</v>
      </c>
      <c r="D3073" s="37" t="s">
        <v>14</v>
      </c>
      <c r="E3073" s="38">
        <v>2.0</v>
      </c>
      <c r="F3073" s="38">
        <v>46.0</v>
      </c>
      <c r="G3073" s="11">
        <v>1069194.0</v>
      </c>
      <c r="H3073" s="34" t="str">
        <f>IFERROR(__xludf.DUMMYFUNCTION("LOWER(REGEXREPLACE(B3073&amp;"" ""&amp;C3073,""[^а-яa-z0-9 ]"","" ""))"),"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воздушно"&amp;"го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дл"&amp;"я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"&amp;"и вентилятора  сиденье из плотного полиуретана  пластиковые платформы с резиновыми ремнями ")</f>
        <v>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 </v>
      </c>
    </row>
    <row r="3074">
      <c r="A3074" s="35" t="s">
        <v>7245</v>
      </c>
      <c r="B3074" s="31" t="s">
        <v>7246</v>
      </c>
      <c r="C3074" s="31" t="s">
        <v>7247</v>
      </c>
      <c r="D3074" s="37" t="s">
        <v>14</v>
      </c>
      <c r="E3074" s="38">
        <v>2.0</v>
      </c>
      <c r="F3074" s="38">
        <v>6.0</v>
      </c>
      <c r="G3074" s="11">
        <v>36525.0</v>
      </c>
      <c r="H3074" s="34" t="str">
        <f>IFERROR(__xludf.DUMMYFUNCTION("LOWER(REGEXREPLACE(B3074&amp;"" ""&amp;C3074,""[^а-яa-z0-9 ]"","" ""))")," тепбол  осу  атериал изготовления  купол   резиновый  ж сткое основание из ударопрочного     пластика  противоскользящее покрытие  размеры 0 8х0 8х0 05м")</f>
        <v> тепбол  осу  атериал изготовления  купол   резиновый  ж сткое основание из ударопрочного     пластика  противоскользящее покрытие  размеры 0 8х0 8х0 05м</v>
      </c>
    </row>
    <row r="3075">
      <c r="A3075" s="35" t="s">
        <v>7248</v>
      </c>
      <c r="B3075" s="31" t="s">
        <v>7249</v>
      </c>
      <c r="C3075" s="31"/>
      <c r="D3075" s="37" t="s">
        <v>14</v>
      </c>
      <c r="E3075" s="10"/>
      <c r="F3075" s="36"/>
      <c r="G3075" s="11"/>
      <c r="H3075" s="34" t="str">
        <f>IFERROR(__xludf.DUMMYFUNCTION("LOWER(REGEXREPLACE(B3075&amp;"" ""&amp;C3075,""[^а-яa-z0-9 ]"","" ""))")," рифы и диски для штанги ")</f>
        <v> рифы и диски для штанги </v>
      </c>
    </row>
    <row r="3076">
      <c r="A3076" s="35" t="s">
        <v>7250</v>
      </c>
      <c r="B3076" s="31" t="s">
        <v>7251</v>
      </c>
      <c r="C3076" s="31" t="s">
        <v>7252</v>
      </c>
      <c r="D3076" s="37" t="s">
        <v>14</v>
      </c>
      <c r="E3076" s="38">
        <v>2.0</v>
      </c>
      <c r="F3076" s="38">
        <v>21.0</v>
      </c>
      <c r="G3076" s="11">
        <v>103043.0</v>
      </c>
      <c r="H3076" s="34" t="str">
        <f>IFERROR(__xludf.DUMMYFUNCTION("LOWER(REGEXREPLACE(B3076&amp;"" ""&amp;C3076,""[^а-яa-z0-9 ]"","" ""))")," риф для штанги олимпийский    2250  длина 2200мм  риф для штанги олимпийский    2250  хромированный  длина 2200мм  диаметр  50 мм  максимальная нагрузка 220 кг ")</f>
        <v> риф для штанги олимпийский    2250  длина 2200мм  риф для штанги олимпийский    2250  хромированный  длина 2200мм  диаметр  50 мм  максимальная нагрузка 220 кг </v>
      </c>
    </row>
    <row r="3077">
      <c r="A3077" s="35" t="s">
        <v>7253</v>
      </c>
      <c r="B3077" s="31" t="s">
        <v>7254</v>
      </c>
      <c r="C3077" s="31" t="s">
        <v>7255</v>
      </c>
      <c r="D3077" s="37" t="s">
        <v>14</v>
      </c>
      <c r="E3077" s="38">
        <v>2.0</v>
      </c>
      <c r="F3077" s="39">
        <v>12.5</v>
      </c>
      <c r="G3077" s="11">
        <v>53644.0</v>
      </c>
      <c r="H3077" s="34" t="str">
        <f>IFERROR(__xludf.DUMMYFUNCTION("LOWER(REGEXREPLACE(B3077&amp;"" ""&amp;C3077,""[^а-яa-z0-9 ]"","" ""))")," зогнутый гриф    050  длина 1200мм  зогнутый гриф    050   риф и замки хромированные   лина грифа 1200мм  масса с замками 12 5 кг ")</f>
        <v> зогнутый гриф    050  длина 1200мм  зогнутый гриф    050   риф и замки хромированные   лина грифа 1200мм  масса с замками 12 5 кг </v>
      </c>
    </row>
    <row r="3078">
      <c r="A3078" s="35" t="s">
        <v>7256</v>
      </c>
      <c r="B3078" s="31" t="s">
        <v>7257</v>
      </c>
      <c r="C3078" s="31" t="s">
        <v>7258</v>
      </c>
      <c r="D3078" s="37" t="s">
        <v>14</v>
      </c>
      <c r="E3078" s="38">
        <v>2.0</v>
      </c>
      <c r="F3078" s="39">
        <v>2.5</v>
      </c>
      <c r="G3078" s="11">
        <v>15395.0</v>
      </c>
      <c r="H3078" s="34" t="str">
        <f>IFERROR(__xludf.DUMMYFUNCTION("LOWER(REGEXREPLACE(B3078&amp;"" ""&amp;C3078,""[^а-яa-z0-9 ]"","" ""))"),"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"&amp;"черный ")</f>
        <v>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черный </v>
      </c>
    </row>
    <row r="3079">
      <c r="A3079" s="35" t="s">
        <v>7259</v>
      </c>
      <c r="B3079" s="31" t="s">
        <v>7260</v>
      </c>
      <c r="C3079" s="31" t="s">
        <v>7261</v>
      </c>
      <c r="D3079" s="37" t="s">
        <v>14</v>
      </c>
      <c r="E3079" s="38">
        <v>2.0</v>
      </c>
      <c r="F3079" s="38">
        <v>5.0</v>
      </c>
      <c r="G3079" s="11">
        <v>30887.0</v>
      </c>
      <c r="H3079" s="34" t="str">
        <f>IFERROR(__xludf.DUMMYFUNCTION("LOWER(REGEXREPLACE(B3079&amp;"" ""&amp;C3079,""[^а-яa-z0-9 ]"","" ""))"),"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отве"&amp;"рстия   50 мм   вет   черный ")</f>
        <v>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отверстия   50 мм   вет   черный </v>
      </c>
    </row>
    <row r="3080">
      <c r="A3080" s="35" t="s">
        <v>7262</v>
      </c>
      <c r="B3080" s="31" t="s">
        <v>7263</v>
      </c>
      <c r="C3080" s="31" t="s">
        <v>7264</v>
      </c>
      <c r="D3080" s="37" t="s">
        <v>14</v>
      </c>
      <c r="E3080" s="38">
        <v>2.0</v>
      </c>
      <c r="F3080" s="39">
        <v>7.5</v>
      </c>
      <c r="G3080" s="11">
        <v>46184.0</v>
      </c>
      <c r="H3080" s="34" t="str">
        <f>IFERROR(__xludf.DUMMYFUNCTION("LOWER(REGEXREPLACE(B3080&amp;"" ""&amp;C3080,""[^а-яa-z0-9 ]"","" ""))"),"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"&amp;"отверстия   50 мм   вет   черный ")</f>
        <v>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отверстия   50 мм   вет   черный </v>
      </c>
    </row>
    <row r="3081">
      <c r="A3081" s="35" t="s">
        <v>7265</v>
      </c>
      <c r="B3081" s="31" t="s">
        <v>7266</v>
      </c>
      <c r="C3081" s="31" t="s">
        <v>7267</v>
      </c>
      <c r="D3081" s="37" t="s">
        <v>14</v>
      </c>
      <c r="E3081" s="38">
        <v>2.0</v>
      </c>
      <c r="F3081" s="38">
        <v>10.0</v>
      </c>
      <c r="G3081" s="11">
        <v>62233.0</v>
      </c>
      <c r="H3081" s="34" t="str">
        <f>IFERROR(__xludf.DUMMYFUNCTION("LOWER(REGEXREPLACE(B3081&amp;"" ""&amp;C3081,""[^а-яa-z0-9 ]"","" ""))"),"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отв"&amp;"ерстия   50 мм   вет   черный ")</f>
        <v>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отверстия   50 мм   вет   черный </v>
      </c>
    </row>
    <row r="3082">
      <c r="A3082" s="35" t="s">
        <v>7268</v>
      </c>
      <c r="B3082" s="31" t="s">
        <v>7269</v>
      </c>
      <c r="C3082" s="31" t="s">
        <v>7270</v>
      </c>
      <c r="D3082" s="37" t="s">
        <v>14</v>
      </c>
      <c r="E3082" s="38">
        <v>2.0</v>
      </c>
      <c r="F3082" s="38">
        <v>15.0</v>
      </c>
      <c r="G3082" s="11">
        <v>92368.0</v>
      </c>
      <c r="H3082" s="34" t="str">
        <f>IFERROR(__xludf.DUMMYFUNCTION("LOWER(REGEXREPLACE(B3082&amp;"" ""&amp;C3082,""[^а-яa-z0-9 ]"","" ""))"),"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"&amp;"  50 мм   вет   черный ")</f>
        <v>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50 мм   вет   черный </v>
      </c>
    </row>
    <row r="3083">
      <c r="A3083" s="35" t="s">
        <v>7271</v>
      </c>
      <c r="B3083" s="31" t="s">
        <v>7272</v>
      </c>
      <c r="C3083" s="31" t="s">
        <v>7273</v>
      </c>
      <c r="D3083" s="37" t="s">
        <v>14</v>
      </c>
      <c r="E3083" s="38">
        <v>2.0</v>
      </c>
      <c r="F3083" s="38">
        <v>20.0</v>
      </c>
      <c r="G3083" s="11">
        <v>123158.0</v>
      </c>
      <c r="H3083" s="34" t="str">
        <f>IFERROR(__xludf.DUMMYFUNCTION("LOWER(REGEXREPLACE(B3083&amp;"" ""&amp;C3083,""[^а-яa-z0-9 ]"","" ""))"),"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от"&amp;"верстия   50 мм   вет   черный ")</f>
        <v>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отверстия   50 мм   вет   черный </v>
      </c>
    </row>
    <row r="3084">
      <c r="A3084" s="35" t="s">
        <v>7274</v>
      </c>
      <c r="B3084" s="31" t="s">
        <v>7275</v>
      </c>
      <c r="C3084" s="31" t="s">
        <v>7276</v>
      </c>
      <c r="D3084" s="37" t="s">
        <v>14</v>
      </c>
      <c r="E3084" s="38">
        <v>2.0</v>
      </c>
      <c r="F3084" s="38">
        <v>25.0</v>
      </c>
      <c r="G3084" s="11">
        <v>155584.0</v>
      </c>
      <c r="H3084" s="34" t="str">
        <f>IFERROR(__xludf.DUMMYFUNCTION("LOWER(REGEXREPLACE(B3084&amp;"" ""&amp;C3084,""[^а-яa-z0-9 ]"","" ""))"),"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от"&amp;"верстия   50 мм   вет   черный ")</f>
        <v>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отверстия   50 мм   вет   черный </v>
      </c>
    </row>
    <row r="3085">
      <c r="A3085" s="35" t="s">
        <v>7277</v>
      </c>
      <c r="B3085" s="9" t="s">
        <v>7278</v>
      </c>
      <c r="C3085" s="31" t="s">
        <v>7279</v>
      </c>
      <c r="D3085" s="37" t="s">
        <v>14</v>
      </c>
      <c r="E3085" s="38">
        <v>2.0</v>
      </c>
      <c r="F3085" s="38">
        <v>1.0</v>
      </c>
      <c r="G3085" s="11">
        <v>69963.0</v>
      </c>
      <c r="H3085" s="34" t="str">
        <f>IFERROR(__xludf.DUMMYFUNCTION("LOWER(REGEXREPLACE(B3085&amp;"" ""&amp;C3085,""[^а-яa-z0-9 ]"","" ""))"),"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разраба"&amp;"тывая разные группы мышц ")</f>
        <v>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разрабатывая разные группы мышц </v>
      </c>
    </row>
    <row r="3086">
      <c r="A3086" s="35" t="s">
        <v>7280</v>
      </c>
      <c r="B3086" s="31" t="s">
        <v>7281</v>
      </c>
      <c r="C3086" s="31"/>
      <c r="D3086" s="36"/>
      <c r="E3086" s="10"/>
      <c r="F3086" s="36"/>
      <c r="G3086" s="11"/>
      <c r="H3086" s="34" t="str">
        <f>IFERROR(__xludf.DUMMYFUNCTION("LOWER(REGEXREPLACE(B3086&amp;"" ""&amp;C3086,""[^а-яa-z0-9 ]"","" ""))")," етка заградительная ")</f>
        <v> етка заградительная </v>
      </c>
    </row>
    <row r="3087">
      <c r="A3087" s="35" t="s">
        <v>7282</v>
      </c>
      <c r="B3087" s="31" t="s">
        <v>7283</v>
      </c>
      <c r="C3087" s="31" t="s">
        <v>7284</v>
      </c>
      <c r="D3087" s="37" t="s">
        <v>6754</v>
      </c>
      <c r="E3087" s="38">
        <v>1.0</v>
      </c>
      <c r="F3087" s="40">
        <v>0.95</v>
      </c>
      <c r="G3087" s="11">
        <v>5182.0</v>
      </c>
      <c r="H3087" s="34" t="str">
        <f>IFERROR(__xludf.DUMMYFUNCTION("LOWER(REGEXREPLACE(B3087&amp;"" ""&amp;C3087,""[^а-яa-z0-9 ]"","" ""))"),"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f>
        <v>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v>
      </c>
    </row>
    <row r="3088">
      <c r="A3088" s="35" t="s">
        <v>7285</v>
      </c>
      <c r="B3088" s="31" t="s">
        <v>7286</v>
      </c>
      <c r="C3088" s="31" t="s">
        <v>7287</v>
      </c>
      <c r="D3088" s="37" t="s">
        <v>6754</v>
      </c>
      <c r="E3088" s="38">
        <v>1.0</v>
      </c>
      <c r="F3088" s="39">
        <v>0.8</v>
      </c>
      <c r="G3088" s="11">
        <v>6442.0</v>
      </c>
      <c r="H3088" s="34" t="str">
        <f>IFERROR(__xludf.DUMMYFUNCTION("LOWER(REGEXREPLACE(B3088&amp;"" ""&amp;C3088,""[^а-яa-z0-9 ]"","" ""))"),"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f>
        <v>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v>
      </c>
    </row>
    <row r="3089">
      <c r="A3089" s="35" t="s">
        <v>7288</v>
      </c>
      <c r="B3089" s="31" t="s">
        <v>7289</v>
      </c>
      <c r="C3089" s="31" t="s">
        <v>7290</v>
      </c>
      <c r="D3089" s="37" t="s">
        <v>6754</v>
      </c>
      <c r="E3089" s="38">
        <v>1.0</v>
      </c>
      <c r="F3089" s="38">
        <v>18.0</v>
      </c>
      <c r="G3089" s="11">
        <v>21193.0</v>
      </c>
      <c r="H3089" s="34" t="str">
        <f>IFERROR(__xludf.DUMMYFUNCTION("LOWER(REGEXREPLACE(B3089&amp;"" ""&amp;C3089,""[^а-яa-z0-9 ]"","" ""))"),"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f>
        <v>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v>
      </c>
    </row>
    <row r="3090">
      <c r="A3090" s="35" t="s">
        <v>7291</v>
      </c>
      <c r="B3090" s="31" t="s">
        <v>7292</v>
      </c>
      <c r="C3090" s="31" t="s">
        <v>7293</v>
      </c>
      <c r="D3090" s="37" t="s">
        <v>14</v>
      </c>
      <c r="E3090" s="38">
        <v>2.0</v>
      </c>
      <c r="F3090" s="40">
        <v>0.18</v>
      </c>
      <c r="G3090" s="11">
        <v>56710.0</v>
      </c>
      <c r="H3090" s="34" t="str">
        <f>IFERROR(__xludf.DUMMYFUNCTION("LOWER(REGEXREPLACE(B3090&amp;"" ""&amp;C3090,""[^а-яa-z0-9 ]"","" ""))"),"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"&amp;"  силенный профиль с ребрами жесткости   абаритные размеры  длина  не менее 210мм  ширина  не менее 60мм  высота  не менее 160мм")</f>
        <v>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силенный профиль с ребрами жесткости   абаритные размеры  длина  не менее 210мм  ширина  не менее 60мм  высота  не менее 160мм</v>
      </c>
    </row>
    <row r="3091">
      <c r="A3091" s="35" t="s">
        <v>7294</v>
      </c>
      <c r="B3091" s="31" t="s">
        <v>7295</v>
      </c>
      <c r="C3091" s="31"/>
      <c r="D3091" s="37" t="s">
        <v>14</v>
      </c>
      <c r="E3091" s="10"/>
      <c r="F3091" s="36"/>
      <c r="G3091" s="11"/>
      <c r="H3091" s="34" t="str">
        <f>IFERROR(__xludf.DUMMYFUNCTION("LOWER(REGEXREPLACE(B3091&amp;"" ""&amp;C3091,""[^а-яa-z0-9 ]"","" ""))")," енек для равновесия ")</f>
        <v> енек для равновесия </v>
      </c>
    </row>
    <row r="3092">
      <c r="A3092" s="35" t="s">
        <v>7296</v>
      </c>
      <c r="B3092" s="9" t="s">
        <v>7297</v>
      </c>
      <c r="C3092" s="31" t="s">
        <v>7298</v>
      </c>
      <c r="D3092" s="37" t="s">
        <v>14</v>
      </c>
      <c r="E3092" s="38">
        <v>2.0</v>
      </c>
      <c r="F3092" s="38">
        <v>3.0</v>
      </c>
      <c r="G3092" s="11">
        <v>29238.0</v>
      </c>
      <c r="H3092" s="34" t="str">
        <f>IFERROR(__xludf.DUMMYFUNCTION("LOWER(REGEXREPLACE(B3092&amp;"" ""&amp;C3092,""[^а-яa-z0-9 ]"","" ""))")," енек для равновесия  размеры  диаметр 220мм  высота 200мм  еньки для равновесия   атериал фанера ")</f>
        <v> енек для равновесия  размеры  диаметр 220мм  высота 200мм  еньки для равновесия   атериал фанера </v>
      </c>
    </row>
    <row r="3093">
      <c r="A3093" s="35" t="s">
        <v>7299</v>
      </c>
      <c r="B3093" s="9" t="s">
        <v>7300</v>
      </c>
      <c r="C3093" s="31" t="s">
        <v>7298</v>
      </c>
      <c r="D3093" s="37" t="s">
        <v>14</v>
      </c>
      <c r="E3093" s="38">
        <v>2.0</v>
      </c>
      <c r="F3093" s="38">
        <v>4.0</v>
      </c>
      <c r="G3093" s="11">
        <v>35987.0</v>
      </c>
      <c r="H3093" s="34" t="str">
        <f>IFERROR(__xludf.DUMMYFUNCTION("LOWER(REGEXREPLACE(B3093&amp;"" ""&amp;C3093,""[^а-яa-z0-9 ]"","" ""))")," енек для равновесия  размеры  диаметр 220мм  высота 250мм  еньки для равновесия   атериал фанера ")</f>
        <v> енек для равновесия  размеры  диаметр 220мм  высота 250мм  еньки для равновесия   атериал фанера </v>
      </c>
    </row>
    <row r="3094">
      <c r="A3094" s="35" t="s">
        <v>7301</v>
      </c>
      <c r="B3094" s="9" t="s">
        <v>7302</v>
      </c>
      <c r="C3094" s="31" t="s">
        <v>7298</v>
      </c>
      <c r="D3094" s="37" t="s">
        <v>14</v>
      </c>
      <c r="E3094" s="38">
        <v>2.0</v>
      </c>
      <c r="F3094" s="38">
        <v>5.0</v>
      </c>
      <c r="G3094" s="11">
        <v>40487.0</v>
      </c>
      <c r="H3094" s="34" t="str">
        <f>IFERROR(__xludf.DUMMYFUNCTION("LOWER(REGEXREPLACE(B3094&amp;"" ""&amp;C3094,""[^а-яa-z0-9 ]"","" ""))")," енек для равновесия  размеры  диаметр 220мм  высота 300мм  еньки для равновесия   атериал фанера ")</f>
        <v> енек для равновесия  размеры  диаметр 220мм  высота 300мм  еньки для равновесия   атериал фанера </v>
      </c>
    </row>
    <row r="3095">
      <c r="A3095" s="35" t="s">
        <v>7303</v>
      </c>
      <c r="B3095" s="31" t="s">
        <v>7304</v>
      </c>
      <c r="C3095" s="31"/>
      <c r="D3095" s="37" t="s">
        <v>14</v>
      </c>
      <c r="E3095" s="10"/>
      <c r="F3095" s="36"/>
      <c r="G3095" s="11"/>
      <c r="H3095" s="34" t="str">
        <f>IFERROR(__xludf.DUMMYFUNCTION("LOWER(REGEXREPLACE(B3095&amp;"" ""&amp;C3095,""[^а-яa-z0-9 ]"","" ""))")," борудование для единоборств ")</f>
        <v> борудование для единоборств </v>
      </c>
    </row>
    <row r="3096">
      <c r="A3096" s="35" t="s">
        <v>7305</v>
      </c>
      <c r="B3096" s="31" t="s">
        <v>7306</v>
      </c>
      <c r="C3096" s="31" t="s">
        <v>7307</v>
      </c>
      <c r="D3096" s="37" t="s">
        <v>14</v>
      </c>
      <c r="E3096" s="38">
        <v>2.0</v>
      </c>
      <c r="F3096" s="38">
        <v>730.0</v>
      </c>
      <c r="G3096" s="11">
        <v>4197677.0</v>
      </c>
      <c r="H3096" s="34" t="str">
        <f>IFERROR(__xludf.DUMMYFUNCTION("LOWER(REGEXREPLACE(B3096&amp;"" ""&amp;C3096,""[^а-яa-z0-9 ]"","" ""))"),"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покрывало"&amp;"  антискользящее       угловые подушки  канаты в чехлах  перемычки  растяжки канатов  защита растяжек канатов  крепеж ")</f>
        <v>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7">
      <c r="A3097" s="35" t="s">
        <v>7308</v>
      </c>
      <c r="B3097" s="31" t="s">
        <v>7309</v>
      </c>
      <c r="C3097" s="31" t="s">
        <v>7310</v>
      </c>
      <c r="D3097" s="37" t="s">
        <v>14</v>
      </c>
      <c r="E3097" s="38">
        <v>2.0</v>
      </c>
      <c r="F3097" s="38">
        <v>950.0</v>
      </c>
      <c r="G3097" s="11">
        <v>3885818.0</v>
      </c>
      <c r="H3097" s="34" t="str">
        <f>IFERROR(__xludf.DUMMYFUNCTION("LOWER(REGEXREPLACE(B3097&amp;"" ""&amp;C3097,""[^а-яa-z0-9 ]"","" ""))"),"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покр"&amp;"ывало  антискользящее       угловые подушки  канаты в чехлах  перемычки  растяжки канатов  защита растяжек канатов  крепеж ")</f>
        <v>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8">
      <c r="A3098" s="35" t="s">
        <v>7311</v>
      </c>
      <c r="B3098" s="31" t="s">
        <v>7312</v>
      </c>
      <c r="C3098" s="31" t="s">
        <v>7313</v>
      </c>
      <c r="D3098" s="37" t="s">
        <v>14</v>
      </c>
      <c r="E3098" s="38">
        <v>2.0</v>
      </c>
      <c r="F3098" s="38">
        <v>950.0</v>
      </c>
      <c r="G3098" s="11">
        <v>3508180.0</v>
      </c>
      <c r="H3098" s="34" t="str">
        <f>IFERROR(__xludf.DUMMYFUNCTION("LOWER(REGEXREPLACE(B3098&amp;"" ""&amp;C3098,""[^а-яa-z0-9 ]"","" ""))"),"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чехл"&amp;"ах  перемычки  растяжки канатов  защита растяжек канатов  крепеж ")</f>
        <v>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9">
      <c r="A3099" s="35" t="s">
        <v>7314</v>
      </c>
      <c r="B3099" s="31" t="s">
        <v>7315</v>
      </c>
      <c r="C3099" s="31" t="s">
        <v>7316</v>
      </c>
      <c r="D3099" s="37" t="s">
        <v>14</v>
      </c>
      <c r="E3099" s="38">
        <v>2.0</v>
      </c>
      <c r="F3099" s="38">
        <v>1100.0</v>
      </c>
      <c r="G3099" s="11">
        <v>5060906.0</v>
      </c>
      <c r="H3099" s="34" t="str">
        <f>IFERROR(__xludf.DUMMYFUNCTION("LOWER(REGEXREPLACE(B3099&amp;"" ""&amp;C3099,""[^а-яa-z0-9 ]"","" ""))"),"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покры"&amp;"вало  антискользящее       угловые подушки  канаты в чехлах  перемычки  растяжки канатов  защита растяжек канатов  крепеж ")</f>
        <v>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0">
      <c r="A3100" s="35" t="s">
        <v>7317</v>
      </c>
      <c r="B3100" s="31" t="s">
        <v>7318</v>
      </c>
      <c r="C3100" s="31" t="s">
        <v>7319</v>
      </c>
      <c r="D3100" s="37" t="s">
        <v>14</v>
      </c>
      <c r="E3100" s="38">
        <v>2.0</v>
      </c>
      <c r="F3100" s="38">
        <v>850.0</v>
      </c>
      <c r="G3100" s="11">
        <v>4400351.0</v>
      </c>
      <c r="H3100" s="34" t="str">
        <f>IFERROR(__xludf.DUMMYFUNCTION("LOWER(REGEXREPLACE(B3100&amp;"" ""&amp;C3100,""[^а-яa-z0-9 ]"","" ""))"),"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п"&amp;"окрывало  антискользящее       угловые подушки  канаты в чехлах  перемычки  растяжки канатов  защита растяжек канатов  крепеж ")</f>
        <v>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1">
      <c r="A3101" s="35" t="s">
        <v>7320</v>
      </c>
      <c r="B3101" s="31" t="s">
        <v>7321</v>
      </c>
      <c r="C3101" s="31" t="s">
        <v>7322</v>
      </c>
      <c r="D3101" s="37" t="s">
        <v>14</v>
      </c>
      <c r="E3101" s="38">
        <v>2.0</v>
      </c>
      <c r="F3101" s="38">
        <v>1050.0</v>
      </c>
      <c r="G3101" s="11">
        <v>4001601.0</v>
      </c>
      <c r="H3101" s="34" t="str">
        <f>IFERROR(__xludf.DUMMYFUNCTION("LOWER(REGEXREPLACE(B3101&amp;"" ""&amp;C3101,""[^а-яa-z0-9 ]"","" ""))"),"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антискол"&amp;"ьзящее       угловые подушки  канаты в чехлах  перемычки  растяжки канатов  защита растяжек канатов  крепеж ")</f>
        <v>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2">
      <c r="A3102" s="35" t="s">
        <v>7323</v>
      </c>
      <c r="B3102" s="31" t="s">
        <v>7324</v>
      </c>
      <c r="C3102" s="31" t="s">
        <v>7325</v>
      </c>
      <c r="D3102" s="37" t="s">
        <v>14</v>
      </c>
      <c r="E3102" s="38">
        <v>2.0</v>
      </c>
      <c r="F3102" s="38">
        <v>1180.0</v>
      </c>
      <c r="G3102" s="11">
        <v>7133961.0</v>
      </c>
      <c r="H3102" s="34" t="str">
        <f>IFERROR(__xludf.DUMMYFUNCTION("LOWER(REGEXREPLACE(B3102&amp;"" ""&amp;C3102,""[^а-яa-z0-9 ]"","" ""))"),"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антискольз"&amp;"ящее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р"&amp;"ос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"&amp;" 6 1х6 1 м   ри лестницы   бъем  13 м3")</f>
        <v>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6 1х6 1 м   ри лестницы   бъем  13 м3</v>
      </c>
    </row>
    <row r="3103">
      <c r="A3103" s="35" t="s">
        <v>7326</v>
      </c>
      <c r="B3103" s="31" t="s">
        <v>7327</v>
      </c>
      <c r="C3103" s="31" t="s">
        <v>7328</v>
      </c>
      <c r="D3103" s="37" t="s">
        <v>14</v>
      </c>
      <c r="E3103" s="38">
        <v>2.0</v>
      </c>
      <c r="F3103" s="38">
        <v>850.0</v>
      </c>
      <c r="G3103" s="11">
        <v>6998498.0</v>
      </c>
      <c r="H3103" s="34" t="str">
        <f>IFERROR(__xludf.DUMMYFUNCTION("LOWER(REGEXREPLACE(B3103&amp;"" ""&amp;C3103,""[^а-яa-z0-9 ]"","" ""))"),"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"&amp;"потому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f>
        <v>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v>
      </c>
    </row>
    <row r="3104">
      <c r="A3104" s="35" t="s">
        <v>7329</v>
      </c>
      <c r="B3104" s="31" t="s">
        <v>7330</v>
      </c>
      <c r="C3104" s="31" t="s">
        <v>7331</v>
      </c>
      <c r="D3104" s="37" t="s">
        <v>14</v>
      </c>
      <c r="E3104" s="38">
        <v>2.0</v>
      </c>
      <c r="F3104" s="38">
        <v>950.0</v>
      </c>
      <c r="G3104" s="11">
        <v>8537811.0</v>
      </c>
      <c r="H3104" s="34" t="str">
        <f>IFERROR(__xludf.DUMMYFUNCTION("LOWER(REGEXREPLACE(B3104&amp;"" ""&amp;C3104,""[^а-яa-z0-9 ]"","" ""))"),"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f>
        <v>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v>
      </c>
    </row>
    <row r="3105">
      <c r="A3105" s="35" t="s">
        <v>7332</v>
      </c>
      <c r="B3105" s="31" t="s">
        <v>7333</v>
      </c>
      <c r="C3105" s="31" t="s">
        <v>7334</v>
      </c>
      <c r="D3105" s="37" t="s">
        <v>14</v>
      </c>
      <c r="E3105" s="38">
        <v>2.0</v>
      </c>
      <c r="F3105" s="38">
        <v>1150.0</v>
      </c>
      <c r="G3105" s="11">
        <v>1.0217435E7</v>
      </c>
      <c r="H3105" s="34" t="str">
        <f>IFERROR(__xludf.DUMMYFUNCTION("LOWER(REGEXREPLACE(B3105&amp;"" ""&amp;C3105,""[^а-яa-z0-9 ]"","" ""))"),"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f>
        <v>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v>
      </c>
    </row>
    <row r="3106">
      <c r="A3106" s="35" t="s">
        <v>7335</v>
      </c>
      <c r="B3106" s="31" t="s">
        <v>7336</v>
      </c>
      <c r="C3106" s="31" t="s">
        <v>7337</v>
      </c>
      <c r="D3106" s="37" t="s">
        <v>14</v>
      </c>
      <c r="E3106" s="38">
        <v>2.0</v>
      </c>
      <c r="F3106" s="38">
        <v>1300.0</v>
      </c>
      <c r="G3106" s="11">
        <v>1.2736254E7</v>
      </c>
      <c r="H3106" s="34" t="str">
        <f>IFERROR(__xludf.DUMMYFUNCTION("LOWER(REGEXREPLACE(B3106&amp;"" ""&amp;C3106,""[^а-яa-z0-9 ]"","" ""))"),"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f>
        <v>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v>
      </c>
    </row>
    <row r="3107">
      <c r="A3107" s="35" t="s">
        <v>7338</v>
      </c>
      <c r="B3107" s="31" t="s">
        <v>7339</v>
      </c>
      <c r="C3107" s="31"/>
      <c r="D3107" s="37" t="s">
        <v>14</v>
      </c>
      <c r="E3107" s="10"/>
      <c r="F3107" s="36"/>
      <c r="G3107" s="11"/>
      <c r="H3107" s="34" t="str">
        <f>IFERROR(__xludf.DUMMYFUNCTION("LOWER(REGEXREPLACE(B3107&amp;"" ""&amp;C3107,""[^а-яa-z0-9 ]"","" ""))")," иря ")</f>
        <v> иря </v>
      </c>
    </row>
    <row r="3108">
      <c r="A3108" s="35" t="s">
        <v>7340</v>
      </c>
      <c r="B3108" s="31" t="s">
        <v>7341</v>
      </c>
      <c r="C3108" s="31" t="s">
        <v>7342</v>
      </c>
      <c r="D3108" s="37" t="s">
        <v>14</v>
      </c>
      <c r="E3108" s="38">
        <v>2.0</v>
      </c>
      <c r="F3108" s="38">
        <v>8.0</v>
      </c>
      <c r="G3108" s="11">
        <v>26060.0</v>
      </c>
      <c r="H3108" s="34" t="str">
        <f>IFERROR(__xludf.DUMMYFUNCTION("LOWER(REGEXREPLACE(B3108&amp;"" ""&amp;C3108,""[^а-яa-z0-9 ]"","" ""))"),"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f>
        <v>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v>
      </c>
    </row>
    <row r="3109">
      <c r="A3109" s="35" t="s">
        <v>7343</v>
      </c>
      <c r="B3109" s="31" t="s">
        <v>7344</v>
      </c>
      <c r="C3109" s="31" t="s">
        <v>7345</v>
      </c>
      <c r="D3109" s="37" t="s">
        <v>14</v>
      </c>
      <c r="E3109" s="38">
        <v>2.0</v>
      </c>
      <c r="F3109" s="38">
        <v>12.0</v>
      </c>
      <c r="G3109" s="11">
        <v>39092.0</v>
      </c>
      <c r="H3109" s="34" t="str">
        <f>IFERROR(__xludf.DUMMYFUNCTION("LOWER(REGEXREPLACE(B3109&amp;"" ""&amp;C3109,""[^а-яa-z0-9 ]"","" ""))"),"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f>
        <v>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v>
      </c>
    </row>
    <row r="3110">
      <c r="A3110" s="35" t="s">
        <v>7346</v>
      </c>
      <c r="B3110" s="31" t="s">
        <v>7347</v>
      </c>
      <c r="C3110" s="31" t="s">
        <v>7348</v>
      </c>
      <c r="D3110" s="37" t="s">
        <v>14</v>
      </c>
      <c r="E3110" s="38">
        <v>2.0</v>
      </c>
      <c r="F3110" s="38">
        <v>16.0</v>
      </c>
      <c r="G3110" s="11">
        <v>52122.0</v>
      </c>
      <c r="H3110" s="34" t="str">
        <f>IFERROR(__xludf.DUMMYFUNCTION("LOWER(REGEXREPLACE(B3110&amp;"" ""&amp;C3110,""[^а-яa-z0-9 ]"","" ""))"),"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f>
        <v>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v>
      </c>
    </row>
    <row r="3111">
      <c r="A3111" s="35" t="s">
        <v>7349</v>
      </c>
      <c r="B3111" s="31" t="s">
        <v>7350</v>
      </c>
      <c r="C3111" s="31" t="s">
        <v>7351</v>
      </c>
      <c r="D3111" s="37" t="s">
        <v>14</v>
      </c>
      <c r="E3111" s="38">
        <v>2.0</v>
      </c>
      <c r="F3111" s="38">
        <v>20.0</v>
      </c>
      <c r="G3111" s="11">
        <v>65152.0</v>
      </c>
      <c r="H3111" s="34" t="str">
        <f>IFERROR(__xludf.DUMMYFUNCTION("LOWER(REGEXREPLACE(B3111&amp;"" ""&amp;C3111,""[^а-яa-z0-9 ]"","" ""))"),"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f>
        <v>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v>
      </c>
    </row>
    <row r="3112">
      <c r="A3112" s="35" t="s">
        <v>7352</v>
      </c>
      <c r="B3112" s="31" t="s">
        <v>7353</v>
      </c>
      <c r="C3112" s="31" t="s">
        <v>7354</v>
      </c>
      <c r="D3112" s="37" t="s">
        <v>14</v>
      </c>
      <c r="E3112" s="38">
        <v>2.0</v>
      </c>
      <c r="F3112" s="38">
        <v>24.0</v>
      </c>
      <c r="G3112" s="11">
        <v>78182.0</v>
      </c>
      <c r="H3112" s="34" t="str">
        <f>IFERROR(__xludf.DUMMYFUNCTION("LOWER(REGEXREPLACE(B3112&amp;"" ""&amp;C3112,""[^а-яa-z0-9 ]"","" ""))"),"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f>
        <v>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v>
      </c>
    </row>
    <row r="3113">
      <c r="A3113" s="35" t="s">
        <v>7355</v>
      </c>
      <c r="B3113" s="31" t="s">
        <v>7356</v>
      </c>
      <c r="C3113" s="31" t="s">
        <v>7357</v>
      </c>
      <c r="D3113" s="37" t="s">
        <v>14</v>
      </c>
      <c r="E3113" s="38">
        <v>2.0</v>
      </c>
      <c r="F3113" s="38">
        <v>32.0</v>
      </c>
      <c r="G3113" s="11">
        <v>104243.0</v>
      </c>
      <c r="H3113" s="34" t="str">
        <f>IFERROR(__xludf.DUMMYFUNCTION("LOWER(REGEXREPLACE(B3113&amp;"" ""&amp;C3113,""[^а-яa-z0-9 ]"","" ""))"),"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f>
        <v>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v>
      </c>
    </row>
    <row r="3114">
      <c r="A3114" s="35" t="s">
        <v>7358</v>
      </c>
      <c r="B3114" s="31" t="s">
        <v>7359</v>
      </c>
      <c r="C3114" s="31"/>
      <c r="D3114" s="37" t="s">
        <v>14</v>
      </c>
      <c r="E3114" s="10"/>
      <c r="F3114" s="36"/>
      <c r="G3114" s="11"/>
      <c r="H3114" s="34" t="str">
        <f>IFERROR(__xludf.DUMMYFUNCTION("LOWER(REGEXREPLACE(B3114&amp;"" ""&amp;C3114,""[^а-яa-z0-9 ]"","" ""))")," нвентарь для плавания ")</f>
        <v> нвентарь для плавания </v>
      </c>
    </row>
    <row r="3115">
      <c r="A3115" s="35" t="s">
        <v>7360</v>
      </c>
      <c r="B3115" s="9" t="s">
        <v>7361</v>
      </c>
      <c r="C3115" s="31" t="s">
        <v>7362</v>
      </c>
      <c r="D3115" s="37" t="s">
        <v>14</v>
      </c>
      <c r="E3115" s="38">
        <v>2.0</v>
      </c>
      <c r="F3115" s="39">
        <v>0.3</v>
      </c>
      <c r="G3115" s="11">
        <v>12168.0</v>
      </c>
      <c r="H3115" s="34" t="str">
        <f>IFERROR(__xludf.DUMMYFUNCTION("LOWER(REGEXREPLACE(B3115&amp;"" ""&amp;C3115,""[^а-яa-z0-9 ]"","" ""))"),"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поверхн"&amp;"ости воды для отрабатывания техники движения ногами   атериал изготовления  вспененный полиэтилен       или     пена   л гкий  водонепроницаемый и плавучий материал ")</f>
        <v>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поверхности воды для отрабатывания техники движения ногами   атериал изготовления  вспененный полиэтилен       или     пена   л гкий  водонепроницаемый и плавучий материал </v>
      </c>
    </row>
    <row r="3116">
      <c r="A3116" s="35" t="s">
        <v>7363</v>
      </c>
      <c r="B3116" s="31" t="s">
        <v>7364</v>
      </c>
      <c r="C3116" s="31" t="s">
        <v>7365</v>
      </c>
      <c r="D3116" s="37" t="s">
        <v>14</v>
      </c>
      <c r="E3116" s="38">
        <v>2.0</v>
      </c>
      <c r="F3116" s="40">
        <v>0.15</v>
      </c>
      <c r="G3116" s="11">
        <v>4563.0</v>
      </c>
      <c r="H3116" s="34" t="str">
        <f>IFERROR(__xludf.DUMMYFUNCTION("LOWER(REGEXREPLACE(B3116&amp;"" ""&amp;C3116,""[^а-яa-z0-9 ]"","" ""))"),"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овер"&amp;"хность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фик"&amp;"сацию лопаток на руках  а их расположение каждый спортсмен может настроить индивидуально ")</f>
        <v>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фиксацию лопаток на руках  а их расположение каждый спортсмен может настроить индивидуально </v>
      </c>
    </row>
    <row r="3117">
      <c r="A3117" s="35" t="s">
        <v>7366</v>
      </c>
      <c r="B3117" s="31" t="s">
        <v>7367</v>
      </c>
      <c r="C3117" s="31" t="s">
        <v>7368</v>
      </c>
      <c r="D3117" s="37" t="s">
        <v>14</v>
      </c>
      <c r="E3117" s="38">
        <v>2.0</v>
      </c>
      <c r="F3117" s="40">
        <v>0.01</v>
      </c>
      <c r="G3117" s="11">
        <v>23278.0</v>
      </c>
      <c r="H3117" s="34" t="str">
        <f>IFERROR(__xludf.DUMMYFUNCTION("LOWER(REGEXREPLACE(B3117&amp;"" ""&amp;C3117,""[^а-яa-z0-9 ]"","" ""))"),"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м"&amp;"ягкими неопреновыми вставками  пластиковые регулировочные пряжки ")</f>
        <v>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мягкими неопреновыми вставками  пластиковые регулировочные пряжки </v>
      </c>
    </row>
    <row r="3118">
      <c r="A3118" s="35" t="s">
        <v>7369</v>
      </c>
      <c r="B3118" s="9" t="s">
        <v>7370</v>
      </c>
      <c r="C3118" s="31" t="s">
        <v>7371</v>
      </c>
      <c r="D3118" s="37" t="s">
        <v>14</v>
      </c>
      <c r="E3118" s="38">
        <v>2.0</v>
      </c>
      <c r="F3118" s="39">
        <v>0.3</v>
      </c>
      <c r="G3118" s="11">
        <v>29810.0</v>
      </c>
      <c r="H3118" s="34" t="str">
        <f>IFERROR(__xludf.DUMMYFUNCTION("LOWER(REGEXREPLACE(B3118&amp;"" ""&amp;C3118,""[^а-яa-z0-9 ]"","" ""))"),"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19">
      <c r="A3119" s="35" t="s">
        <v>7372</v>
      </c>
      <c r="B3119" s="9" t="s">
        <v>7373</v>
      </c>
      <c r="C3119" s="31" t="s">
        <v>7371</v>
      </c>
      <c r="D3119" s="37" t="s">
        <v>14</v>
      </c>
      <c r="E3119" s="38">
        <v>2.0</v>
      </c>
      <c r="F3119" s="39">
        <v>0.4</v>
      </c>
      <c r="G3119" s="11">
        <v>123191.0</v>
      </c>
      <c r="H3119" s="34" t="str">
        <f>IFERROR(__xludf.DUMMYFUNCTION("LOWER(REGEXREPLACE(B3119&amp;"" ""&amp;C3119,""[^а-яa-z0-9 ]"","" ""))"),"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20">
      <c r="A3120" s="35" t="s">
        <v>7374</v>
      </c>
      <c r="B3120" s="31" t="s">
        <v>7375</v>
      </c>
      <c r="C3120" s="31" t="s">
        <v>7376</v>
      </c>
      <c r="D3120" s="37" t="s">
        <v>14</v>
      </c>
      <c r="E3120" s="38">
        <v>2.0</v>
      </c>
      <c r="F3120" s="38">
        <v>2.0</v>
      </c>
      <c r="G3120" s="11">
        <v>25863.0</v>
      </c>
      <c r="H3120" s="34" t="str">
        <f>IFERROR(__xludf.DUMMYFUNCTION("LOWER(REGEXREPLACE(B3120&amp;"" ""&amp;C3120,""[^а-яa-z0-9 ]"","" ""))"),"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и"&amp;" закрытая пятка обеспечивают удобную посадку ")</f>
        <v>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 закрытая пятка обеспечивают удобную посадку </v>
      </c>
    </row>
    <row r="3121">
      <c r="A3121" s="35" t="s">
        <v>7377</v>
      </c>
      <c r="B3121" s="31" t="s">
        <v>7378</v>
      </c>
      <c r="C3121" s="31" t="s">
        <v>7379</v>
      </c>
      <c r="D3121" s="37" t="s">
        <v>14</v>
      </c>
      <c r="E3121" s="38">
        <v>2.0</v>
      </c>
      <c r="F3121" s="39">
        <v>0.3</v>
      </c>
      <c r="G3121" s="11">
        <v>6693.0</v>
      </c>
      <c r="H3121" s="34" t="str">
        <f>IFERROR(__xludf.DUMMYFUNCTION("LOWER(REGEXREPLACE(B3121&amp;"" ""&amp;C3121,""[^а-яa-z0-9 ]"","" ""))"),"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этилен"&amp;"винилацетат    л гкий  плавучий  водонепроницаемый и устойчивый к деформации ")</f>
        <v>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этиленвинилацетат    л гкий  плавучий  водонепроницаемый и устойчивый к деформации </v>
      </c>
    </row>
    <row r="3122">
      <c r="A3122" s="35" t="s">
        <v>7380</v>
      </c>
      <c r="B3122" s="31" t="s">
        <v>7381</v>
      </c>
      <c r="C3122" s="31" t="s">
        <v>7382</v>
      </c>
      <c r="D3122" s="37" t="s">
        <v>14</v>
      </c>
      <c r="E3122" s="38">
        <v>2.0</v>
      </c>
      <c r="F3122" s="39">
        <v>1.2</v>
      </c>
      <c r="G3122" s="11">
        <v>11564.0</v>
      </c>
      <c r="H3122" s="34" t="str">
        <f>IFERROR(__xludf.DUMMYFUNCTION("LOWER(REGEXREPLACE(B3122&amp;"" ""&amp;C3122,""[^а-яa-z0-9 ]"","" ""))"),"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оказа"&amp;"вшемуся в воде   меются светоотражающие полоски и веревка для удержания ")</f>
        <v>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оказавшемуся в воде   меются светоотражающие полоски и веревка для удержания </v>
      </c>
    </row>
    <row r="3123">
      <c r="A3123" s="35" t="s">
        <v>7383</v>
      </c>
      <c r="B3123" s="31" t="s">
        <v>941</v>
      </c>
      <c r="C3123" s="31"/>
      <c r="D3123" s="36"/>
      <c r="E3123" s="10"/>
      <c r="F3123" s="36"/>
      <c r="G3123" s="11"/>
      <c r="H3123" s="34" t="str">
        <f>IFERROR(__xludf.DUMMYFUNCTION("LOWER(REGEXREPLACE(B3123&amp;"" ""&amp;C3123,""[^а-яa-z0-9 ]"","" ""))")," узыкальные инструменты и оборудование ")</f>
        <v> узыкальные инструменты и оборудование </v>
      </c>
    </row>
    <row r="3124">
      <c r="A3124" s="35" t="s">
        <v>7384</v>
      </c>
      <c r="B3124" s="31" t="s">
        <v>7385</v>
      </c>
      <c r="C3124" s="31"/>
      <c r="D3124" s="37" t="s">
        <v>14</v>
      </c>
      <c r="E3124" s="10"/>
      <c r="F3124" s="36"/>
      <c r="G3124" s="11">
        <v>418661.0</v>
      </c>
      <c r="H3124" s="34" t="str">
        <f>IFERROR(__xludf.DUMMYFUNCTION("LOWER(REGEXREPLACE(B3124&amp;"" ""&amp;C3124,""[^а-яa-z0-9 ]"","" ""))")," ифровое пианино ")</f>
        <v> ифровое пианино </v>
      </c>
    </row>
    <row r="3125">
      <c r="A3125" s="35" t="s">
        <v>7386</v>
      </c>
      <c r="B3125" s="31" t="s">
        <v>7387</v>
      </c>
      <c r="C3125" s="31"/>
      <c r="D3125" s="37" t="s">
        <v>14</v>
      </c>
      <c r="E3125" s="10"/>
      <c r="F3125" s="36"/>
      <c r="G3125" s="11"/>
      <c r="H3125" s="34" t="str">
        <f>IFERROR(__xludf.DUMMYFUNCTION("LOWER(REGEXREPLACE(B3125&amp;"" ""&amp;C3125,""[^а-яa-z0-9 ]"","" ""))")," оска классная   отный стан  ")</f>
        <v> оска классная   отный стан  </v>
      </c>
    </row>
    <row r="3126">
      <c r="A3126" s="35" t="s">
        <v>7388</v>
      </c>
      <c r="B3126" s="31" t="s">
        <v>7389</v>
      </c>
      <c r="C3126" s="31" t="s">
        <v>7390</v>
      </c>
      <c r="D3126" s="37" t="s">
        <v>14</v>
      </c>
      <c r="E3126" s="38">
        <v>2.0</v>
      </c>
      <c r="F3126" s="38">
        <v>5.0</v>
      </c>
      <c r="G3126" s="11">
        <v>167215.0</v>
      </c>
      <c r="H3126" s="34" t="str">
        <f>IFERROR(__xludf.DUMMYFUNCTION("LOWER(REGEXREPLACE(B3126&amp;"" ""&amp;C3126,""[^а-яa-z0-9 ]"","" ""))"),"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f>
        <v>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v>
      </c>
    </row>
    <row r="3127">
      <c r="A3127" s="35" t="s">
        <v>7391</v>
      </c>
      <c r="B3127" s="31" t="s">
        <v>7392</v>
      </c>
      <c r="C3127" s="31"/>
      <c r="D3127" s="37" t="s">
        <v>14</v>
      </c>
      <c r="E3127" s="10"/>
      <c r="F3127" s="36"/>
      <c r="G3127" s="11">
        <v>55179.0</v>
      </c>
      <c r="H3127" s="34" t="str">
        <f>IFERROR(__xludf.DUMMYFUNCTION("LOWER(REGEXREPLACE(B3127&amp;"" ""&amp;C3127,""[^а-яa-z0-9 ]"","" ""))")," тул к фортепиано ")</f>
        <v> тул к фортепиано </v>
      </c>
    </row>
    <row r="3128">
      <c r="A3128" s="35" t="s">
        <v>7393</v>
      </c>
      <c r="B3128" s="31" t="s">
        <v>1683</v>
      </c>
      <c r="C3128" s="31"/>
      <c r="D3128" s="36"/>
      <c r="E3128" s="10"/>
      <c r="F3128" s="36"/>
      <c r="G3128" s="11"/>
      <c r="H3128" s="34" t="str">
        <f>IFERROR(__xludf.DUMMYFUNCTION("LOWER(REGEXREPLACE(B3128&amp;"" ""&amp;C3128,""[^а-яa-z0-9 ]"","" ""))")," ебель ")</f>
        <v> ебель </v>
      </c>
    </row>
    <row r="3129">
      <c r="A3129" s="35" t="s">
        <v>7394</v>
      </c>
      <c r="B3129" s="31" t="s">
        <v>7395</v>
      </c>
      <c r="C3129" s="31"/>
      <c r="D3129" s="37" t="s">
        <v>14</v>
      </c>
      <c r="E3129" s="10"/>
      <c r="F3129" s="36"/>
      <c r="G3129" s="11"/>
      <c r="H3129" s="34" t="str">
        <f>IFERROR(__xludf.DUMMYFUNCTION("LOWER(REGEXREPLACE(B3129&amp;"" ""&amp;C3129,""[^а-яa-z0-9 ]"","" ""))")," тол компьютерный ")</f>
        <v> тол компьютерный </v>
      </c>
    </row>
    <row r="3130">
      <c r="A3130" s="35" t="s">
        <v>7396</v>
      </c>
      <c r="B3130" s="31" t="s">
        <v>7397</v>
      </c>
      <c r="C3130" s="31" t="s">
        <v>7398</v>
      </c>
      <c r="D3130" s="37" t="s">
        <v>14</v>
      </c>
      <c r="E3130" s="10"/>
      <c r="F3130" s="36"/>
      <c r="G3130" s="11">
        <v>23062.0</v>
      </c>
      <c r="H3130" s="34" t="str">
        <f>IFERROR(__xludf.DUMMYFUNCTION("LOWER(REGEXREPLACE(B3130&amp;"" ""&amp;C3130,""[^а-яa-z0-9 ]"","" ""))"),"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f>
        <v>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v>
      </c>
    </row>
    <row r="3131">
      <c r="A3131" s="35" t="s">
        <v>7399</v>
      </c>
      <c r="B3131" s="31" t="s">
        <v>7400</v>
      </c>
      <c r="C3131" s="31" t="s">
        <v>7401</v>
      </c>
      <c r="D3131" s="37" t="s">
        <v>14</v>
      </c>
      <c r="E3131" s="10"/>
      <c r="F3131" s="36"/>
      <c r="G3131" s="11">
        <v>26686.0</v>
      </c>
      <c r="H3131" s="34" t="str">
        <f>IFERROR(__xludf.DUMMYFUNCTION("LOWER(REGEXREPLACE(B3131&amp;"" ""&amp;C3131,""[^а-яa-z0-9 ]"","" ""))"),"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по"&amp;"дпятники ")</f>
        <v>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подпятники </v>
      </c>
    </row>
    <row r="3132">
      <c r="A3132" s="35" t="s">
        <v>7402</v>
      </c>
      <c r="B3132" s="31" t="s">
        <v>7403</v>
      </c>
      <c r="C3132" s="31" t="s">
        <v>7404</v>
      </c>
      <c r="D3132" s="37" t="s">
        <v>14</v>
      </c>
      <c r="E3132" s="10"/>
      <c r="F3132" s="36"/>
      <c r="G3132" s="11">
        <v>45129.0</v>
      </c>
      <c r="H3132" s="34" t="str">
        <f>IFERROR(__xludf.DUMMYFUNCTION("LOWER(REGEXREPLACE(B3132&amp;"" ""&amp;C3132,""[^а-яa-z0-9 ]"","" ""))"),"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f>
        <v>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v>
      </c>
    </row>
    <row r="3133">
      <c r="A3133" s="35" t="s">
        <v>7405</v>
      </c>
      <c r="B3133" s="31" t="s">
        <v>7406</v>
      </c>
      <c r="C3133" s="31" t="s">
        <v>7406</v>
      </c>
      <c r="D3133" s="37" t="s">
        <v>14</v>
      </c>
      <c r="E3133" s="38">
        <v>2.0</v>
      </c>
      <c r="F3133" s="38">
        <v>40.0</v>
      </c>
      <c r="G3133" s="11">
        <v>50369.0</v>
      </c>
      <c r="H3133" s="34" t="str">
        <f>IFERROR(__xludf.DUMMYFUNCTION("LOWER(REGEXREPLACE(B3133&amp;"" ""&amp;C3133,""[^а-яa-z0-9 ]"","" ""))"),"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f>
        <v>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v>
      </c>
    </row>
    <row r="3134">
      <c r="A3134" s="35" t="s">
        <v>7407</v>
      </c>
      <c r="B3134" s="31" t="s">
        <v>7408</v>
      </c>
      <c r="C3134" s="31" t="s">
        <v>7409</v>
      </c>
      <c r="D3134" s="37" t="s">
        <v>14</v>
      </c>
      <c r="E3134" s="38">
        <v>2.0</v>
      </c>
      <c r="F3134" s="38">
        <v>20.0</v>
      </c>
      <c r="G3134" s="11">
        <v>25492.0</v>
      </c>
      <c r="H3134" s="34" t="str">
        <f>IFERROR(__xludf.DUMMYFUNCTION("LOWER(REGEXREPLACE(B3134&amp;"" ""&amp;C3134,""[^а-яa-z0-9 ]"","" ""))"),"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f>
        <v>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v>
      </c>
    </row>
    <row r="3135">
      <c r="A3135" s="35" t="s">
        <v>7410</v>
      </c>
      <c r="B3135" s="31" t="s">
        <v>7411</v>
      </c>
      <c r="C3135" s="31" t="s">
        <v>7412</v>
      </c>
      <c r="D3135" s="37" t="s">
        <v>14</v>
      </c>
      <c r="E3135" s="38">
        <v>2.0</v>
      </c>
      <c r="F3135" s="38">
        <v>20.0</v>
      </c>
      <c r="G3135" s="11">
        <v>67524.0</v>
      </c>
      <c r="H3135" s="34" t="str">
        <f>IFERROR(__xludf.DUMMYFUNCTION("LOWER(REGEXREPLACE(B3135&amp;"" ""&amp;C3135,""[^а-яa-z0-9 ]"","" ""))"),"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облиц"&amp;"ованы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f>
        <v>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v>
      </c>
    </row>
    <row r="3136">
      <c r="A3136" s="35" t="s">
        <v>7413</v>
      </c>
      <c r="B3136" s="31" t="s">
        <v>7414</v>
      </c>
      <c r="C3136" s="31" t="s">
        <v>7415</v>
      </c>
      <c r="D3136" s="37" t="s">
        <v>14</v>
      </c>
      <c r="E3136" s="38">
        <v>2.0</v>
      </c>
      <c r="F3136" s="38">
        <v>53.0</v>
      </c>
      <c r="G3136" s="11">
        <v>126825.0</v>
      </c>
      <c r="H3136" s="34" t="str">
        <f>IFERROR(__xludf.DUMMYFUNCTION("LOWER(REGEXREPLACE(B3136&amp;"" ""&amp;C3136,""[^а-яa-z0-9 ]"","" ""))"),"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дв"&amp;"е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правой"&amp;"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f>
        <v>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v>
      </c>
    </row>
    <row r="3137">
      <c r="A3137" s="35" t="s">
        <v>7416</v>
      </c>
      <c r="B3137" s="31" t="s">
        <v>7417</v>
      </c>
      <c r="C3137" s="31" t="s">
        <v>7418</v>
      </c>
      <c r="D3137" s="37" t="s">
        <v>14</v>
      </c>
      <c r="E3137" s="38">
        <v>2.0</v>
      </c>
      <c r="F3137" s="38">
        <v>41.0</v>
      </c>
      <c r="G3137" s="11">
        <v>90178.0</v>
      </c>
      <c r="H3137" s="34" t="str">
        <f>IFERROR(__xludf.DUMMYFUNCTION("LOWER(REGEXREPLACE(B3137&amp;"" ""&amp;C3137,""[^а-яa-z0-9 ]"","" ""))"),"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дву"&amp;"мя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"&amp;"  ромки деталей облицованы полимерным кромочным материалом        толщиной 1 5 мм   а металлической основе с лицевой стороны имеется крючок для портфелей ")</f>
        <v>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ромки деталей облицованы полимерным кромочным материалом        толщиной 1 5 мм   а металлической основе с лицевой стороны имеется крючок для портфелей </v>
      </c>
    </row>
    <row r="3138">
      <c r="A3138" s="35" t="s">
        <v>7419</v>
      </c>
      <c r="B3138" s="31" t="s">
        <v>7420</v>
      </c>
      <c r="C3138" s="31" t="s">
        <v>7421</v>
      </c>
      <c r="D3138" s="37" t="s">
        <v>14</v>
      </c>
      <c r="E3138" s="38">
        <v>2.0</v>
      </c>
      <c r="F3138" s="39">
        <v>33.2</v>
      </c>
      <c r="G3138" s="11">
        <v>38187.0</v>
      </c>
      <c r="H3138" s="34" t="str">
        <f>IFERROR(__xludf.DUMMYFUNCTION("LOWER(REGEXREPLACE(B3138&amp;"" ""&amp;C3138,""[^а-яa-z0-9 ]"","" ""))"),"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f>
        <v>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v>
      </c>
    </row>
    <row r="3139">
      <c r="A3139" s="35" t="s">
        <v>7422</v>
      </c>
      <c r="B3139" s="31" t="s">
        <v>7423</v>
      </c>
      <c r="C3139" s="31" t="s">
        <v>7424</v>
      </c>
      <c r="D3139" s="37" t="s">
        <v>14</v>
      </c>
      <c r="E3139" s="38">
        <v>2.0</v>
      </c>
      <c r="F3139" s="38">
        <v>28.0</v>
      </c>
      <c r="G3139" s="11">
        <v>54656.0</v>
      </c>
      <c r="H3139" s="34" t="str">
        <f>IFERROR(__xludf.DUMMYFUNCTION("LOWER(REGEXREPLACE(B3139&amp;"" ""&amp;C3139,""[^а-яa-z0-9 ]"","" ""))"),"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"&amp;"аркас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полк"&amp;"а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f>
        <v>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v>
      </c>
    </row>
    <row r="3140">
      <c r="A3140" s="35" t="s">
        <v>7425</v>
      </c>
      <c r="B3140" s="31" t="s">
        <v>7426</v>
      </c>
      <c r="C3140" s="31" t="s">
        <v>7427</v>
      </c>
      <c r="D3140" s="37" t="s">
        <v>14</v>
      </c>
      <c r="E3140" s="38">
        <v>2.0</v>
      </c>
      <c r="F3140" s="38">
        <v>52.0</v>
      </c>
      <c r="G3140" s="11">
        <v>73520.0</v>
      </c>
      <c r="H3140" s="34" t="str">
        <f>IFERROR(__xludf.DUMMYFUNCTION("LOWER(REGEXREPLACE(B3140&amp;"" ""&amp;C3140,""[^а-яa-z0-9 ]"","" ""))"),"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ящкио"&amp;"в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испо"&amp;"льзованием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имею"&amp;"т полимерные не регулируемые подпятники   азмеры 1400х650х750 мм")</f>
        <v>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азмеры 1400х650х750 мм</v>
      </c>
    </row>
    <row r="3141">
      <c r="A3141" s="35" t="s">
        <v>7428</v>
      </c>
      <c r="B3141" s="31" t="s">
        <v>7429</v>
      </c>
      <c r="C3141" s="31"/>
      <c r="D3141" s="37" t="s">
        <v>14</v>
      </c>
      <c r="E3141" s="10"/>
      <c r="F3141" s="36"/>
      <c r="G3141" s="11"/>
      <c r="H3141" s="34" t="str">
        <f>IFERROR(__xludf.DUMMYFUNCTION("LOWER(REGEXREPLACE(B3141&amp;"" ""&amp;C3141,""[^а-яa-z0-9 ]"","" ""))")," тол для преподавателя однотумбовый ")</f>
        <v> тол для преподавателя однотумбовый </v>
      </c>
    </row>
    <row r="3142">
      <c r="A3142" s="35" t="s">
        <v>7430</v>
      </c>
      <c r="B3142" s="31" t="s">
        <v>7431</v>
      </c>
      <c r="C3142" s="31" t="s">
        <v>7432</v>
      </c>
      <c r="D3142" s="37" t="s">
        <v>14</v>
      </c>
      <c r="E3142" s="10"/>
      <c r="F3142" s="36"/>
      <c r="G3142" s="11">
        <v>126907.0</v>
      </c>
      <c r="H3142" s="34" t="str">
        <f>IFERROR(__xludf.DUMMYFUNCTION("LOWER(REGEXREPLACE(B3142&amp;"" ""&amp;C3142,""[^а-яa-z0-9 ]"","" ""))"),"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f>
        <v>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v>
      </c>
    </row>
    <row r="3143">
      <c r="A3143" s="35" t="s">
        <v>7433</v>
      </c>
      <c r="B3143" s="31" t="s">
        <v>7434</v>
      </c>
      <c r="C3143" s="31" t="s">
        <v>7435</v>
      </c>
      <c r="D3143" s="37" t="s">
        <v>14</v>
      </c>
      <c r="E3143" s="10"/>
      <c r="F3143" s="36"/>
      <c r="G3143" s="11">
        <v>145943.0</v>
      </c>
      <c r="H3143" s="34" t="str">
        <f>IFERROR(__xludf.DUMMYFUNCTION("LOWER(REGEXREPLACE(B3143&amp;"" ""&amp;C3143,""[^а-яa-z0-9 ]"","" ""))"),"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толешни"&amp;"ца      22мм  основание металлокаркас")</f>
        <v>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толешница      22мм  основание металлокаркас</v>
      </c>
    </row>
    <row r="3144">
      <c r="A3144" s="35" t="s">
        <v>7436</v>
      </c>
      <c r="B3144" s="31" t="s">
        <v>7437</v>
      </c>
      <c r="C3144" s="31" t="s">
        <v>7437</v>
      </c>
      <c r="D3144" s="37" t="s">
        <v>14</v>
      </c>
      <c r="E3144" s="38">
        <v>2.0</v>
      </c>
      <c r="F3144" s="38">
        <v>60.0</v>
      </c>
      <c r="G3144" s="11">
        <v>145059.0</v>
      </c>
      <c r="H3144" s="34" t="str">
        <f>IFERROR(__xludf.DUMMYFUNCTION("LOWER(REGEXREPLACE(B3144&amp;"" ""&amp;C3144,""[^а-яa-z0-9 ]"","" ""))"),"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f>
        <v>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v>
      </c>
    </row>
    <row r="3145">
      <c r="A3145" s="35" t="s">
        <v>7438</v>
      </c>
      <c r="B3145" s="31" t="s">
        <v>7439</v>
      </c>
      <c r="C3145" s="31" t="s">
        <v>7440</v>
      </c>
      <c r="D3145" s="37" t="s">
        <v>14</v>
      </c>
      <c r="E3145" s="10"/>
      <c r="F3145" s="36"/>
      <c r="G3145" s="11">
        <v>103778.0</v>
      </c>
      <c r="H3145" s="34" t="str">
        <f>IFERROR(__xludf.DUMMYFUNCTION("LOWER(REGEXREPLACE(B3145&amp;"" ""&amp;C3145,""[^а-яa-z0-9 ]"","" ""))")," тол преподавателя 1500х700х750 мм с мобильной тумбой   атериал       тол преподавателя 1500х700х750 мм с мобильной тумбой   атериал      16мм   толешница      32мм ")</f>
        <v> тол преподавателя 1500х700х750 мм с мобильной тумбой   атериал       тол преподавателя 1500х700х750 мм с мобильной тумбой   атериал      16мм   толешница      32мм </v>
      </c>
    </row>
    <row r="3146">
      <c r="A3146" s="35" t="s">
        <v>7441</v>
      </c>
      <c r="B3146" s="31" t="s">
        <v>7442</v>
      </c>
      <c r="C3146" s="31" t="s">
        <v>7443</v>
      </c>
      <c r="D3146" s="37" t="s">
        <v>14</v>
      </c>
      <c r="E3146" s="10"/>
      <c r="F3146" s="36"/>
      <c r="G3146" s="11">
        <v>176530.0</v>
      </c>
      <c r="H3146" s="34" t="str">
        <f>IFERROR(__xludf.DUMMYFUNCTION("LOWER(REGEXREPLACE(B3146&amp;"" ""&amp;C3146,""[^а-яa-z0-9 ]"","" ""))"),"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f>
        <v>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v>
      </c>
    </row>
    <row r="3147">
      <c r="A3147" s="35" t="s">
        <v>7444</v>
      </c>
      <c r="B3147" s="31" t="s">
        <v>7445</v>
      </c>
      <c r="C3147" s="31" t="s">
        <v>7446</v>
      </c>
      <c r="D3147" s="37" t="s">
        <v>14</v>
      </c>
      <c r="E3147" s="38">
        <v>2.0</v>
      </c>
      <c r="F3147" s="38">
        <v>30.0</v>
      </c>
      <c r="G3147" s="11">
        <v>127590.0</v>
      </c>
      <c r="H3147" s="34" t="str">
        <f>IFERROR(__xludf.DUMMYFUNCTION("LOWER(REGEXREPLACE(B3147&amp;"" ""&amp;C3147,""[^а-яa-z0-9 ]"","" ""))"),"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толщино"&amp;"й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царгой"&amp;"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f>
        <v>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v>
      </c>
    </row>
    <row r="3148">
      <c r="A3148" s="35" t="s">
        <v>7447</v>
      </c>
      <c r="B3148" s="31" t="s">
        <v>7448</v>
      </c>
      <c r="C3148" s="31" t="s">
        <v>7449</v>
      </c>
      <c r="D3148" s="37" t="s">
        <v>14</v>
      </c>
      <c r="E3148" s="38">
        <v>2.0</v>
      </c>
      <c r="F3148" s="38">
        <v>50.0</v>
      </c>
      <c r="G3148" s="11">
        <v>308514.0</v>
      </c>
      <c r="H3148" s="34" t="str">
        <f>IFERROR(__xludf.DUMMYFUNCTION("LOWER(REGEXREPLACE(B3148&amp;"" ""&amp;C3148,""[^а-яa-z0-9 ]"","" ""))"),"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запек"&amp;"ания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f>
        <v>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v>
      </c>
    </row>
    <row r="3149">
      <c r="A3149" s="35" t="s">
        <v>7450</v>
      </c>
      <c r="B3149" s="31" t="s">
        <v>7451</v>
      </c>
      <c r="C3149" s="31" t="s">
        <v>7452</v>
      </c>
      <c r="D3149" s="37" t="s">
        <v>14</v>
      </c>
      <c r="E3149" s="38">
        <v>2.0</v>
      </c>
      <c r="F3149" s="38">
        <v>38.0</v>
      </c>
      <c r="G3149" s="11">
        <v>148530.0</v>
      </c>
      <c r="H3149" s="34" t="str">
        <f>IFERROR(__xludf.DUMMYFUNCTION("LOWER(REGEXREPLACE(B3149&amp;"" ""&amp;C3149,""[^а-яa-z0-9 ]"","" ""))"),"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стен"&amp;"ки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"&amp;"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f>
        <v>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v>
      </c>
    </row>
    <row r="3150">
      <c r="A3150" s="35" t="s">
        <v>7453</v>
      </c>
      <c r="B3150" s="31" t="s">
        <v>7454</v>
      </c>
      <c r="C3150" s="31" t="s">
        <v>7455</v>
      </c>
      <c r="D3150" s="37" t="s">
        <v>14</v>
      </c>
      <c r="E3150" s="38">
        <v>2.0</v>
      </c>
      <c r="F3150" s="39">
        <v>51.6</v>
      </c>
      <c r="G3150" s="11">
        <v>56721.0</v>
      </c>
      <c r="H3150" s="34" t="str">
        <f>IFERROR(__xludf.DUMMYFUNCTION("LOWER(REGEXREPLACE(B3150&amp;"" ""&amp;C3150,""[^а-яa-z0-9 ]"","" ""))"),"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"&amp;"кромкой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напр"&amp;"авляющие   умба устанавливается на колесные опоры   учки металлические ")</f>
        <v>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151">
      <c r="A3151" s="35" t="s">
        <v>7456</v>
      </c>
      <c r="B3151" s="31" t="s">
        <v>7457</v>
      </c>
      <c r="C3151" s="31" t="s">
        <v>7458</v>
      </c>
      <c r="D3151" s="37" t="s">
        <v>14</v>
      </c>
      <c r="E3151" s="38">
        <v>2.0</v>
      </c>
      <c r="F3151" s="38">
        <v>118.0</v>
      </c>
      <c r="G3151" s="11">
        <v>126359.0</v>
      </c>
      <c r="H3151" s="34" t="str">
        <f>IFERROR(__xludf.DUMMYFUNCTION("LOWER(REGEXREPLACE(B3151&amp;"" ""&amp;C3151,""[^а-яa-z0-9 ]"","" ""))"),"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1600"&amp;"х600х750мм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подпятники"&amp;"  предотвращающие повреждение поверхности напольных покрытий ")</f>
        <v>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  предотвращающие повреждение поверхности напольных покрытий </v>
      </c>
    </row>
    <row r="3152">
      <c r="A3152" s="35" t="s">
        <v>7459</v>
      </c>
      <c r="B3152" s="31" t="s">
        <v>7460</v>
      </c>
      <c r="C3152" s="31" t="s">
        <v>7461</v>
      </c>
      <c r="D3152" s="37" t="s">
        <v>14</v>
      </c>
      <c r="E3152" s="38">
        <v>2.0</v>
      </c>
      <c r="F3152" s="38">
        <v>54.0</v>
      </c>
      <c r="G3152" s="11">
        <v>121678.0</v>
      </c>
      <c r="H3152" s="34" t="str">
        <f>IFERROR(__xludf.DUMMYFUNCTION("LOWER(REGEXREPLACE(B3152&amp;"" ""&amp;C3152,""[^а-яa-z0-9 ]"","" ""))"),"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"&amp;"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регулируем"&amp;"ых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сеч"&amp;"ением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ширин"&amp;"а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f>
        <v>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v>
      </c>
    </row>
    <row r="3153">
      <c r="A3153" s="35" t="s">
        <v>7462</v>
      </c>
      <c r="B3153" s="31" t="s">
        <v>7463</v>
      </c>
      <c r="C3153" s="31"/>
      <c r="D3153" s="37" t="s">
        <v>14</v>
      </c>
      <c r="E3153" s="10"/>
      <c r="F3153" s="36"/>
      <c r="G3153" s="11"/>
      <c r="H3153" s="34" t="str">
        <f>IFERROR(__xludf.DUMMYFUNCTION("LOWER(REGEXREPLACE(B3153&amp;"" ""&amp;C3153,""[^а-яa-z0-9 ]"","" ""))")," тол однотумбовый ")</f>
        <v> тол однотумбовый </v>
      </c>
    </row>
    <row r="3154">
      <c r="A3154" s="35" t="s">
        <v>7464</v>
      </c>
      <c r="B3154" s="31" t="s">
        <v>7465</v>
      </c>
      <c r="C3154" s="31" t="s">
        <v>7466</v>
      </c>
      <c r="D3154" s="37" t="s">
        <v>14</v>
      </c>
      <c r="E3154" s="10"/>
      <c r="F3154" s="36"/>
      <c r="G3154" s="11">
        <v>41657.0</v>
      </c>
      <c r="H3154" s="34" t="str">
        <f>IFERROR(__xludf.DUMMYFUNCTION("LOWER(REGEXREPLACE(B3154&amp;"" ""&amp;C3154,""[^а-яa-z0-9 ]"","" ""))")," тол однотумбовый с 3 ящиками и нишей   азмер 1200х650х750 мм  тол однотумбовый с 3 ящиками и нишей   азмер 1200х650х750 мм       16мм ")</f>
        <v> тол однотумбовый с 3 ящиками и нишей   азмер 1200х650х750 мм  тол однотумбовый с 3 ящиками и нишей   азмер 1200х650х750 мм       16мм </v>
      </c>
    </row>
    <row r="3155">
      <c r="A3155" s="35" t="s">
        <v>7467</v>
      </c>
      <c r="B3155" s="31" t="s">
        <v>7468</v>
      </c>
      <c r="C3155" s="31" t="s">
        <v>7469</v>
      </c>
      <c r="D3155" s="37" t="s">
        <v>14</v>
      </c>
      <c r="E3155" s="10"/>
      <c r="F3155" s="36"/>
      <c r="G3155" s="11">
        <v>42177.0</v>
      </c>
      <c r="H3155" s="34" t="str">
        <f>IFERROR(__xludf.DUMMYFUNCTION("LOWER(REGEXREPLACE(B3155&amp;"" ""&amp;C3155,""[^а-яa-z0-9 ]"","" ""))")," тол однотумбовый с 3 направляющими выдвижными ящиками   азмер 1400х700х750 мм  тол однотумбовый с 3 направляющими выдвижными ящиками   азмер 1400х700х750 мм       16мм")</f>
        <v> тол однотумбовый с 3 направляющими выдвижными ящиками   азмер 1400х700х750 мм  тол однотумбовый с 3 направляющими выдвижными ящиками   азмер 1400х700х750 мм       16мм</v>
      </c>
    </row>
    <row r="3156">
      <c r="A3156" s="35" t="s">
        <v>7470</v>
      </c>
      <c r="B3156" s="31" t="s">
        <v>7471</v>
      </c>
      <c r="C3156" s="31" t="s">
        <v>7472</v>
      </c>
      <c r="D3156" s="37" t="s">
        <v>14</v>
      </c>
      <c r="E3156" s="10"/>
      <c r="F3156" s="36"/>
      <c r="G3156" s="11">
        <v>36932.0</v>
      </c>
      <c r="H3156" s="34" t="str">
        <f>IFERROR(__xludf.DUMMYFUNCTION("LOWER(REGEXREPLACE(B3156&amp;"" ""&amp;C3156,""[^а-яa-z0-9 ]"","" ""))"),"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f>
        <v>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v>
      </c>
    </row>
    <row r="3157">
      <c r="A3157" s="35" t="s">
        <v>7473</v>
      </c>
      <c r="B3157" s="31" t="s">
        <v>7474</v>
      </c>
      <c r="C3157" s="31" t="s">
        <v>7475</v>
      </c>
      <c r="D3157" s="37" t="s">
        <v>14</v>
      </c>
      <c r="E3157" s="38">
        <v>2.0</v>
      </c>
      <c r="F3157" s="38">
        <v>20.0</v>
      </c>
      <c r="G3157" s="11">
        <v>35124.0</v>
      </c>
      <c r="H3157" s="34" t="str">
        <f>IFERROR(__xludf.DUMMYFUNCTION("LOWER(REGEXREPLACE(B3157&amp;"" ""&amp;C3157,""[^а-яa-z0-9 ]"","" ""))")," тол однотумбовый с 2 выдвижными ящиками       16 мм  размер 1200х600х760мм  тол однотумбовым с 2 выдвижными полками       16 мм  размер 1200х600х760мм")</f>
        <v> тол однотумбовый с 2 выдвижными ящиками       16 мм  размер 1200х600х760мм  тол однотумбовым с 2 выдвижными полками       16 мм  размер 1200х600х760мм</v>
      </c>
    </row>
    <row r="3158">
      <c r="A3158" s="35" t="s">
        <v>7476</v>
      </c>
      <c r="B3158" s="31" t="s">
        <v>7477</v>
      </c>
      <c r="C3158" s="31" t="s">
        <v>7478</v>
      </c>
      <c r="D3158" s="37" t="s">
        <v>14</v>
      </c>
      <c r="E3158" s="38">
        <v>2.0</v>
      </c>
      <c r="F3158" s="38">
        <v>25.0</v>
      </c>
      <c r="G3158" s="11">
        <v>54053.0</v>
      </c>
      <c r="H3158" s="34" t="str">
        <f>IFERROR(__xludf.DUMMYFUNCTION("LOWER(REGEXREPLACE(B3158&amp;"" ""&amp;C3158,""[^а-яa-z0-9 ]"","" ""))"),"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f>
        <v>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v>
      </c>
    </row>
    <row r="3159">
      <c r="A3159" s="35" t="s">
        <v>7479</v>
      </c>
      <c r="B3159" s="31" t="s">
        <v>7480</v>
      </c>
      <c r="C3159" s="31" t="s">
        <v>7481</v>
      </c>
      <c r="D3159" s="37" t="s">
        <v>14</v>
      </c>
      <c r="E3159" s="38">
        <v>2.0</v>
      </c>
      <c r="F3159" s="38">
        <v>48.0</v>
      </c>
      <c r="G3159" s="11">
        <v>72399.0</v>
      </c>
      <c r="H3159" s="34" t="str">
        <f>IFERROR(__xludf.DUMMYFUNCTION("LOWER(REGEXREPLACE(B3159&amp;"" ""&amp;C3159,""[^а-яa-z0-9 ]"","" ""))"),"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им"&amp;"еет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f>
        <v>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v>
      </c>
    </row>
    <row r="3160">
      <c r="A3160" s="35" t="s">
        <v>7482</v>
      </c>
      <c r="B3160" s="31" t="s">
        <v>7483</v>
      </c>
      <c r="C3160" s="31" t="s">
        <v>7484</v>
      </c>
      <c r="D3160" s="37" t="s">
        <v>14</v>
      </c>
      <c r="E3160" s="38">
        <v>2.0</v>
      </c>
      <c r="F3160" s="38">
        <v>49.0</v>
      </c>
      <c r="G3160" s="11">
        <v>79148.0</v>
      </c>
      <c r="H3160" s="34" t="str">
        <f>IFERROR(__xludf.DUMMYFUNCTION("LOWER(REGEXREPLACE(B3160&amp;"" ""&amp;C3160,""[^а-яa-z0-9 ]"","" ""))"),"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выдвижн"&amp;"ой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р"&amp;"учка на 128 мм  без острых углов   навес мебельный типа      ")</f>
        <v>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на 128 мм  без острых углов   навес мебельный типа      </v>
      </c>
    </row>
    <row r="3161">
      <c r="A3161" s="35" t="s">
        <v>7485</v>
      </c>
      <c r="B3161" s="31" t="s">
        <v>7486</v>
      </c>
      <c r="C3161" s="31" t="s">
        <v>7487</v>
      </c>
      <c r="D3161" s="37" t="s">
        <v>14</v>
      </c>
      <c r="E3161" s="38">
        <v>2.0</v>
      </c>
      <c r="F3161" s="38">
        <v>46.0</v>
      </c>
      <c r="G3161" s="11">
        <v>52553.0</v>
      </c>
      <c r="H3161" s="34" t="str">
        <f>IFERROR(__xludf.DUMMYFUNCTION("LOWER(REGEXREPLACE(B3161&amp;"" ""&amp;C3161,""[^а-яa-z0-9 ]"","" ""))"),"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к"&amp;"ласса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эксцентрико"&amp;"вой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1200х680х7"&amp;"50 мм")</f>
        <v>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1200х680х750 мм</v>
      </c>
    </row>
    <row r="3162">
      <c r="A3162" s="35" t="s">
        <v>7488</v>
      </c>
      <c r="B3162" s="31" t="s">
        <v>7489</v>
      </c>
      <c r="C3162" s="31" t="s">
        <v>7490</v>
      </c>
      <c r="D3162" s="37" t="s">
        <v>14</v>
      </c>
      <c r="E3162" s="38">
        <v>2.0</v>
      </c>
      <c r="F3162" s="39">
        <v>32.9</v>
      </c>
      <c r="G3162" s="11">
        <v>35830.0</v>
      </c>
      <c r="H3162" s="34" t="str">
        <f>IFERROR(__xludf.DUMMYFUNCTION("LOWER(REGEXREPLACE(B3162&amp;"" ""&amp;C3162,""[^а-яa-z0-9 ]"","" ""))"),"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толщино"&amp;"й 2мм   редусмотрены 2 выдвижных ящика на шариковых направляющих  редусмотрен замок на верхнем ящике   учки металлические ")</f>
        <v>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толщиной 2мм   редусмотрены 2 выдвижных ящика на шариковых направляющих  редусмотрен замок на верхнем ящике   учки металлические </v>
      </c>
    </row>
    <row r="3163">
      <c r="A3163" s="35" t="s">
        <v>7491</v>
      </c>
      <c r="B3163" s="31" t="s">
        <v>7492</v>
      </c>
      <c r="C3163" s="31" t="s">
        <v>7493</v>
      </c>
      <c r="D3163" s="37" t="s">
        <v>14</v>
      </c>
      <c r="E3163" s="38">
        <v>2.0</v>
      </c>
      <c r="F3163" s="39">
        <v>31.5</v>
      </c>
      <c r="G3163" s="11">
        <v>30275.0</v>
      </c>
      <c r="H3163" s="34" t="str">
        <f>IFERROR(__xludf.DUMMYFUNCTION("LOWER(REGEXREPLACE(B3163&amp;"" ""&amp;C3163,""[^а-яa-z0-9 ]"","" ""))"),"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"&amp;" кромкой     толщиной 2мм ")</f>
        <v>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кромкой     толщиной 2мм </v>
      </c>
    </row>
    <row r="3164">
      <c r="A3164" s="35" t="s">
        <v>7494</v>
      </c>
      <c r="B3164" s="31" t="s">
        <v>7495</v>
      </c>
      <c r="C3164" s="31" t="s">
        <v>7495</v>
      </c>
      <c r="D3164" s="37" t="s">
        <v>14</v>
      </c>
      <c r="E3164" s="38">
        <v>2.0</v>
      </c>
      <c r="F3164" s="38">
        <v>17.0</v>
      </c>
      <c r="G3164" s="11">
        <v>33598.0</v>
      </c>
      <c r="H3164" s="34" t="str">
        <f>IFERROR(__xludf.DUMMYFUNCTION("LOWER(REGEXREPLACE(B3164&amp;"" ""&amp;C3164,""[^а-яa-z0-9 ]"","" ""))")," тол однотумбовый с 2 выдвижными ящиками и нишей       16 мм  размер 1200х600х750мм  тол однотумбовый с 2 выдвижными ящиками и нишей       16 мм  размер 1200х600х750мм")</f>
        <v> тол однотумбовый с 2 выдвижными ящиками и нишей       16 мм  размер 1200х600х750мм  тол однотумбовый с 2 выдвижными ящиками и нишей       16 мм  размер 1200х600х750мм</v>
      </c>
    </row>
    <row r="3165">
      <c r="A3165" s="35" t="s">
        <v>7496</v>
      </c>
      <c r="B3165" s="31" t="s">
        <v>7497</v>
      </c>
      <c r="C3165" s="31" t="s">
        <v>7497</v>
      </c>
      <c r="D3165" s="37" t="s">
        <v>14</v>
      </c>
      <c r="E3165" s="38">
        <v>2.0</v>
      </c>
      <c r="F3165" s="38">
        <v>19.0</v>
      </c>
      <c r="G3165" s="11">
        <v>41749.0</v>
      </c>
      <c r="H3165" s="34" t="str">
        <f>IFERROR(__xludf.DUMMYFUNCTION("LOWER(REGEXREPLACE(B3165&amp;"" ""&amp;C3165,""[^а-яa-z0-9 ]"","" ""))")," тол однотумбовый с 3 направляющими выдвижными ящиками   азмер 1500х700х750 мм       16мм  тол однотумбовый с 3 направляющими выдвижными ящиками   азмер 1500х700х750 мм       16мм")</f>
        <v> тол однотумбовый с 3 направляющими выдвижными ящиками   азмер 1500х700х750 мм       16мм  тол однотумбовый с 3 направляющими выдвижными ящиками   азмер 1500х700х750 мм       16мм</v>
      </c>
    </row>
    <row r="3166">
      <c r="A3166" s="35" t="s">
        <v>7498</v>
      </c>
      <c r="B3166" s="31" t="s">
        <v>7499</v>
      </c>
      <c r="C3166" s="31" t="s">
        <v>7500</v>
      </c>
      <c r="D3166" s="37" t="s">
        <v>14</v>
      </c>
      <c r="E3166" s="38">
        <v>2.0</v>
      </c>
      <c r="F3166" s="38">
        <v>64.0</v>
      </c>
      <c r="G3166" s="11">
        <v>104182.0</v>
      </c>
      <c r="H3166" s="34" t="str">
        <f>IFERROR(__xludf.DUMMYFUNCTION("LOWER(REGEXREPLACE(B3166&amp;"" ""&amp;C3166,""[^а-яa-z0-9 ]"","" ""))"),"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над"&amp;"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се"&amp;"бя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пластиковой"&amp;"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габари"&amp;"тные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п"&amp;"рямоугольного сечения 50х25х1 2 мм ")</f>
        <v>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прямоугольного сечения 50х25х1 2 мм </v>
      </c>
    </row>
    <row r="3167">
      <c r="A3167" s="35" t="s">
        <v>7501</v>
      </c>
      <c r="B3167" s="31" t="s">
        <v>7502</v>
      </c>
      <c r="C3167" s="31" t="s">
        <v>7503</v>
      </c>
      <c r="D3167" s="37" t="s">
        <v>14</v>
      </c>
      <c r="E3167" s="38">
        <v>2.0</v>
      </c>
      <c r="F3167" s="38">
        <v>54.0</v>
      </c>
      <c r="G3167" s="11">
        <v>105873.0</v>
      </c>
      <c r="H3167" s="34" t="str">
        <f>IFERROR(__xludf.DUMMYFUNCTION("LOWER(REGEXREPLACE(B3167&amp;"" ""&amp;C3167,""[^а-яa-z0-9 ]"","" ""))"),"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толщин"&amp;"ой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предусмо"&amp;"трены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голо"&amp;"вкой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"&amp;"глубина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мм"&amp;"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f>
        <v>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v>
      </c>
    </row>
    <row r="3168">
      <c r="A3168" s="35" t="s">
        <v>7504</v>
      </c>
      <c r="B3168" s="31" t="s">
        <v>7505</v>
      </c>
      <c r="C3168" s="31" t="s">
        <v>7506</v>
      </c>
      <c r="D3168" s="37" t="s">
        <v>14</v>
      </c>
      <c r="E3168" s="38">
        <v>2.0</v>
      </c>
      <c r="F3168" s="38">
        <v>61.0</v>
      </c>
      <c r="G3168" s="11">
        <v>143140.0</v>
      </c>
      <c r="H3168" s="34" t="str">
        <f>IFERROR(__xludf.DUMMYFUNCTION("LOWER(REGEXREPLACE(B3168&amp;"" ""&amp;C3168,""[^а-яa-z0-9 ]"","" ""))"),"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метал"&amp;"локаркас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"&amp;"мм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двухсекционна"&amp;"я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помощью"&amp;" конфирматов 6 3х50 и эксцентриковых стяжек   етля для дверок должна быть внешняя с европланкой и функцией  softclose  ")</f>
        <v>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 конфирматов 6 3х50 и эксцентриковых стяжек   етля для дверок должна быть внешняя с европланкой и функцией  softclose  </v>
      </c>
    </row>
    <row r="3169">
      <c r="A3169" s="35" t="s">
        <v>7507</v>
      </c>
      <c r="B3169" s="31" t="s">
        <v>7508</v>
      </c>
      <c r="C3169" s="31"/>
      <c r="D3169" s="36"/>
      <c r="E3169" s="10"/>
      <c r="F3169" s="36"/>
      <c r="G3169" s="11"/>
      <c r="H3169" s="34" t="str">
        <f>IFERROR(__xludf.DUMMYFUNCTION("LOWER(REGEXREPLACE(B3169&amp;"" ""&amp;C3169,""[^а-яa-z0-9 ]"","" ""))")," тол руководителя ")</f>
        <v> тол руководителя </v>
      </c>
    </row>
    <row r="3170">
      <c r="A3170" s="35" t="s">
        <v>7509</v>
      </c>
      <c r="B3170" s="9" t="s">
        <v>7510</v>
      </c>
      <c r="C3170" s="31" t="s">
        <v>7511</v>
      </c>
      <c r="D3170" s="37" t="s">
        <v>68</v>
      </c>
      <c r="E3170" s="10"/>
      <c r="F3170" s="38">
        <v>121.0</v>
      </c>
      <c r="G3170" s="11">
        <v>143140.0</v>
      </c>
      <c r="H3170" s="34" t="str">
        <f>IFERROR(__xludf.DUMMYFUNCTION("LOWER(REGEXREPLACE(B3170&amp;"" ""&amp;C3170,""[^а-яa-z0-9 ]"","" ""))"),"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"&amp;"корпус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ни"&amp;"жней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f>
        <v>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v>
      </c>
    </row>
    <row r="3171">
      <c r="A3171" s="35" t="s">
        <v>7512</v>
      </c>
      <c r="B3171" s="31" t="s">
        <v>7513</v>
      </c>
      <c r="C3171" s="31" t="s">
        <v>7513</v>
      </c>
      <c r="D3171" s="37" t="s">
        <v>14</v>
      </c>
      <c r="E3171" s="10"/>
      <c r="F3171" s="36"/>
      <c r="G3171" s="11">
        <v>147455.0</v>
      </c>
      <c r="H3171" s="34" t="str">
        <f>IFERROR(__xludf.DUMMYFUNCTION("LOWER(REGEXREPLACE(B3171&amp;"" ""&amp;C3171,""[^а-яa-z0-9 ]"","" ""))"),"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f>
        <v>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v>
      </c>
    </row>
    <row r="3172">
      <c r="A3172" s="35" t="s">
        <v>7514</v>
      </c>
      <c r="B3172" s="31" t="s">
        <v>7515</v>
      </c>
      <c r="C3172" s="31" t="s">
        <v>7515</v>
      </c>
      <c r="D3172" s="37" t="s">
        <v>14</v>
      </c>
      <c r="E3172" s="10"/>
      <c r="F3172" s="36"/>
      <c r="G3172" s="11">
        <v>272011.0</v>
      </c>
      <c r="H3172" s="34" t="str">
        <f>IFERROR(__xludf.DUMMYFUNCTION("LOWER(REGEXREPLACE(B3172&amp;"" ""&amp;C3172,""[^а-яa-z0-9 ]"","" ""))"),"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f>
        <v>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v>
      </c>
    </row>
    <row r="3173">
      <c r="A3173" s="35" t="s">
        <v>7516</v>
      </c>
      <c r="B3173" s="31" t="s">
        <v>7517</v>
      </c>
      <c r="C3173" s="31" t="s">
        <v>7518</v>
      </c>
      <c r="D3173" s="37" t="s">
        <v>14</v>
      </c>
      <c r="E3173" s="38">
        <v>2.0</v>
      </c>
      <c r="F3173" s="38">
        <v>125.0</v>
      </c>
      <c r="G3173" s="11">
        <v>374838.0</v>
      </c>
      <c r="H3173" s="34" t="str">
        <f>IFERROR(__xludf.DUMMYFUNCTION("LOWER(REGEXREPLACE(B3173&amp;"" ""&amp;C3173,""[^а-яa-z0-9 ]"","" ""))"),"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м"&amp;"м")</f>
        <v>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мм</v>
      </c>
    </row>
    <row r="3174">
      <c r="A3174" s="35" t="s">
        <v>7519</v>
      </c>
      <c r="B3174" s="31" t="s">
        <v>7520</v>
      </c>
      <c r="C3174" s="31" t="s">
        <v>7520</v>
      </c>
      <c r="D3174" s="37" t="s">
        <v>14</v>
      </c>
      <c r="E3174" s="10"/>
      <c r="F3174" s="36"/>
      <c r="G3174" s="11">
        <v>517234.0</v>
      </c>
      <c r="H3174" s="34" t="str">
        <f>IFERROR(__xludf.DUMMYFUNCTION("LOWER(REGEXREPLACE(B3174&amp;"" ""&amp;C3174,""[^а-яa-z0-9 ]"","" ""))"),"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f>
        <v>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v>
      </c>
    </row>
    <row r="3175">
      <c r="A3175" s="35" t="s">
        <v>7521</v>
      </c>
      <c r="B3175" s="31" t="s">
        <v>7522</v>
      </c>
      <c r="C3175" s="31" t="s">
        <v>7523</v>
      </c>
      <c r="D3175" s="37" t="s">
        <v>14</v>
      </c>
      <c r="E3175" s="10"/>
      <c r="F3175" s="36"/>
      <c r="G3175" s="11">
        <v>639167.0</v>
      </c>
      <c r="H3175" s="34" t="str">
        <f>IFERROR(__xludf.DUMMYFUNCTION("LOWER(REGEXREPLACE(B3175&amp;"" ""&amp;C3175,""[^а-яa-z0-9 ]"","" ""))"),"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м"&amp;"м")</f>
        <v>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мм</v>
      </c>
    </row>
    <row r="3176">
      <c r="A3176" s="35" t="s">
        <v>7524</v>
      </c>
      <c r="B3176" s="31" t="s">
        <v>7525</v>
      </c>
      <c r="C3176" s="31" t="s">
        <v>7526</v>
      </c>
      <c r="D3176" s="37" t="s">
        <v>14</v>
      </c>
      <c r="E3176" s="38">
        <v>2.0</v>
      </c>
      <c r="F3176" s="38">
        <v>45.0</v>
      </c>
      <c r="G3176" s="11">
        <v>249155.0</v>
      </c>
      <c r="H3176" s="34" t="str">
        <f>IFERROR(__xludf.DUMMYFUNCTION("LOWER(REGEXREPLACE(B3176&amp;"" ""&amp;C3176,""[^а-яa-z0-9 ]"","" ""))")," тол для конференций 2500х1100х750мм       16мм  азмер  2500х1100х750мм   олщина  16мм   атериал      ")</f>
        <v> тол для конференций 2500х1100х750мм       16мм  азмер  2500х1100х750мм   олщина  16мм   атериал      </v>
      </c>
    </row>
    <row r="3177">
      <c r="A3177" s="35" t="s">
        <v>7527</v>
      </c>
      <c r="B3177" s="31" t="s">
        <v>7528</v>
      </c>
      <c r="C3177" s="31" t="s">
        <v>7529</v>
      </c>
      <c r="D3177" s="37" t="s">
        <v>14</v>
      </c>
      <c r="E3177" s="38">
        <v>2.0</v>
      </c>
      <c r="F3177" s="38">
        <v>75.0</v>
      </c>
      <c r="G3177" s="11">
        <v>214681.0</v>
      </c>
      <c r="H3177" s="34" t="str">
        <f>IFERROR(__xludf.DUMMYFUNCTION("LOWER(REGEXREPLACE(B3177&amp;"" ""&amp;C3177,""[^а-яa-z0-9 ]"","" ""))"),"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"&amp;"имеет эргономичную форму   урнитура  конфирматы  стяжка типа     ")</f>
        <v>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имеет эргономичную форму   урнитура  конфирматы  стяжка типа     </v>
      </c>
    </row>
    <row r="3178">
      <c r="A3178" s="35" t="s">
        <v>7530</v>
      </c>
      <c r="B3178" s="31" t="s">
        <v>7531</v>
      </c>
      <c r="C3178" s="31" t="s">
        <v>7532</v>
      </c>
      <c r="D3178" s="37" t="s">
        <v>14</v>
      </c>
      <c r="E3178" s="38">
        <v>2.0</v>
      </c>
      <c r="F3178" s="38">
        <v>46.0</v>
      </c>
      <c r="G3178" s="11">
        <v>59981.0</v>
      </c>
      <c r="H3178" s="34" t="str">
        <f>IFERROR(__xludf.DUMMYFUNCTION("LOWER(REGEXREPLACE(B3178&amp;"" ""&amp;C3178,""[^а-яa-z0-9 ]"","" ""))")," тол приставной 1600х600х750 мм  атериал       16 мм  столешница 32 мм   ромки деталей облицованы полимерным кромочным материалам        толщиной 1 5 мм   тяжка типа      ")</f>
        <v> тол приставной 1600х600х750 мм  атериал       16 мм  столешница 32 мм   ромки деталей облицованы полимерным кромочным материалам        толщиной 1 5 мм   тяжка типа      </v>
      </c>
    </row>
    <row r="3179">
      <c r="A3179" s="35" t="s">
        <v>7533</v>
      </c>
      <c r="B3179" s="31" t="s">
        <v>7534</v>
      </c>
      <c r="C3179" s="31" t="s">
        <v>7532</v>
      </c>
      <c r="D3179" s="37" t="s">
        <v>14</v>
      </c>
      <c r="E3179" s="38">
        <v>2.0</v>
      </c>
      <c r="F3179" s="38">
        <v>72.0</v>
      </c>
      <c r="G3179" s="11">
        <v>103608.0</v>
      </c>
      <c r="H3179" s="34" t="str">
        <f>IFERROR(__xludf.DUMMYFUNCTION("LOWER(REGEXREPLACE(B3179&amp;"" ""&amp;C3179,""[^а-яa-z0-9 ]"","" ""))")," тол для совещаний 2400х800х750 мм  атериал       16 мм  столешница 32 мм   ромки деталей облицованы полимерным кромочным материалам        толщиной 1 5 мм   тяжка типа      ")</f>
        <v> тол для совещаний 2400х800х750 мм  атериал       16 мм  столешница 32 мм   ромки деталей облицованы полимерным кромочным материалам        толщиной 1 5 мм   тяжка типа      </v>
      </c>
    </row>
    <row r="3180">
      <c r="A3180" s="35" t="s">
        <v>7535</v>
      </c>
      <c r="B3180" s="31" t="s">
        <v>7536</v>
      </c>
      <c r="C3180" s="31" t="s">
        <v>7537</v>
      </c>
      <c r="D3180" s="37" t="s">
        <v>14</v>
      </c>
      <c r="E3180" s="38">
        <v>2.0</v>
      </c>
      <c r="F3180" s="38">
        <v>64.0</v>
      </c>
      <c r="G3180" s="11">
        <v>206725.0</v>
      </c>
      <c r="H3180" s="34" t="str">
        <f>IFERROR(__xludf.DUMMYFUNCTION("LOWER(REGEXREPLACE(B3180&amp;"" ""&amp;C3180,""[^а-яa-z0-9 ]"","" ""))"),"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толешниц"&amp;"а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соединяетс"&amp;"я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металл"&amp;"ические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ла"&amp;"стиковык ножки стола высотой 50 мм")</f>
        <v>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ластиковык ножки стола высотой 50 мм</v>
      </c>
    </row>
    <row r="3181">
      <c r="A3181" s="35" t="s">
        <v>7538</v>
      </c>
      <c r="B3181" s="9" t="s">
        <v>7539</v>
      </c>
      <c r="C3181" s="31" t="s">
        <v>7540</v>
      </c>
      <c r="D3181" s="37" t="s">
        <v>14</v>
      </c>
      <c r="E3181" s="38">
        <v>2.0</v>
      </c>
      <c r="F3181" s="39">
        <v>27.8</v>
      </c>
      <c r="G3181" s="11">
        <v>27627.0</v>
      </c>
      <c r="H3181" s="34" t="str">
        <f>IFERROR(__xludf.DUMMYFUNCTION("LOWER(REGEXREPLACE(B3181&amp;"" ""&amp;C3181,""[^а-яa-z0-9 ]"","" ""))")," тол приставной  размеры не менее 1100х500х700мм  толешница из      32мм  каркас выполнен из      16мм   орцы облицованы  кромкой     толщиной 2мм ")</f>
        <v> тол приставной  размеры не менее 1100х500х700мм  толешница из      32мм  каркас выполнен из      16мм   орцы облицованы  кромкой     толщиной 2мм </v>
      </c>
    </row>
    <row r="3182">
      <c r="A3182" s="35" t="s">
        <v>7541</v>
      </c>
      <c r="B3182" s="9" t="s">
        <v>7542</v>
      </c>
      <c r="C3182" s="31" t="s">
        <v>7543</v>
      </c>
      <c r="D3182" s="37" t="s">
        <v>14</v>
      </c>
      <c r="E3182" s="38">
        <v>2.0</v>
      </c>
      <c r="F3182" s="39">
        <v>61.8</v>
      </c>
      <c r="G3182" s="11">
        <v>113456.0</v>
      </c>
      <c r="H3182" s="34" t="str">
        <f>IFERROR(__xludf.DUMMYFUNCTION("LOWER(REGEXREPLACE(B3182&amp;"" ""&amp;C3182,""[^а-яa-z0-9 ]"","" ""))"),"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f>
        <v>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v>
      </c>
    </row>
    <row r="3183">
      <c r="A3183" s="35" t="s">
        <v>7544</v>
      </c>
      <c r="B3183" s="9" t="s">
        <v>7545</v>
      </c>
      <c r="C3183" s="31" t="s">
        <v>7546</v>
      </c>
      <c r="D3183" s="37" t="s">
        <v>14</v>
      </c>
      <c r="E3183" s="38">
        <v>2.0</v>
      </c>
      <c r="F3183" s="38">
        <v>34.0</v>
      </c>
      <c r="G3183" s="11">
        <v>139590.0</v>
      </c>
      <c r="H3183" s="34" t="str">
        <f>IFERROR(__xludf.DUMMYFUNCTION("LOWER(REGEXREPLACE(B3183&amp;"" ""&amp;C3183,""[^а-яa-z0-9 ]"","" ""))"),"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пласти"&amp;"ковые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пласт"&amp;"иковыми заглушками для предотвращения повреждения пользователей   абариты 2300х900х750мм ")</f>
        <v>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2300х900х750мм </v>
      </c>
    </row>
    <row r="3184">
      <c r="A3184" s="35" t="s">
        <v>7547</v>
      </c>
      <c r="B3184" s="9" t="s">
        <v>7548</v>
      </c>
      <c r="C3184" s="31" t="s">
        <v>7549</v>
      </c>
      <c r="D3184" s="37" t="s">
        <v>14</v>
      </c>
      <c r="E3184" s="38">
        <v>2.0</v>
      </c>
      <c r="F3184" s="38">
        <v>36.0</v>
      </c>
      <c r="G3184" s="11">
        <v>149671.0</v>
      </c>
      <c r="H3184" s="34" t="str">
        <f>IFERROR(__xludf.DUMMYFUNCTION("LOWER(REGEXREPLACE(B3184&amp;"" ""&amp;C3184,""[^а-яa-z0-9 ]"","" ""))"),"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пласт"&amp;"иковые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плас"&amp;"тиковыми заглушками для предотвращения повреждения пользователей   абариты 2300х1200х750мм ")</f>
        <v>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2300х1200х750мм </v>
      </c>
    </row>
    <row r="3185">
      <c r="A3185" s="35" t="s">
        <v>7550</v>
      </c>
      <c r="B3185" s="31" t="s">
        <v>7551</v>
      </c>
      <c r="C3185" s="31" t="s">
        <v>7551</v>
      </c>
      <c r="D3185" s="37" t="s">
        <v>14</v>
      </c>
      <c r="E3185" s="38">
        <v>2.0</v>
      </c>
      <c r="F3185" s="38">
        <v>40.0</v>
      </c>
      <c r="G3185" s="11">
        <v>67217.0</v>
      </c>
      <c r="H3185" s="34" t="str">
        <f>IFERROR(__xludf.DUMMYFUNCTION("LOWER(REGEXREPLACE(B3185&amp;"" ""&amp;C3185,""[^а-яa-z0-9 ]"","" ""))"),"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f>
        <v>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v>
      </c>
    </row>
    <row r="3186">
      <c r="A3186" s="35" t="s">
        <v>7552</v>
      </c>
      <c r="B3186" s="31" t="s">
        <v>7553</v>
      </c>
      <c r="C3186" s="31" t="s">
        <v>7554</v>
      </c>
      <c r="D3186" s="37" t="s">
        <v>14</v>
      </c>
      <c r="E3186" s="38">
        <v>2.0</v>
      </c>
      <c r="F3186" s="38">
        <v>146.0</v>
      </c>
      <c r="G3186" s="11">
        <v>178126.0</v>
      </c>
      <c r="H3186" s="34" t="str">
        <f>IFERROR(__xludf.DUMMYFUNCTION("LOWER(REGEXREPLACE(B3186&amp;"" ""&amp;C3186,""[^а-яa-z0-9 ]"","" ""))"),"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с"&amp;"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1200х"&amp;"600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не"&amp;" менее 2 мм   аждый стол должен иметь по 2 опоры    основании опор должны быть пластиковые подпятники ")</f>
        <v>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7">
      <c r="A3187" s="35" t="s">
        <v>7555</v>
      </c>
      <c r="B3187" s="31" t="s">
        <v>7556</v>
      </c>
      <c r="C3187" s="31" t="s">
        <v>7557</v>
      </c>
      <c r="D3187" s="37" t="s">
        <v>14</v>
      </c>
      <c r="E3187" s="38">
        <v>2.0</v>
      </c>
      <c r="F3187" s="38">
        <v>208.0</v>
      </c>
      <c r="G3187" s="11">
        <v>217348.0</v>
      </c>
      <c r="H3187" s="34" t="str">
        <f>IFERROR(__xludf.DUMMYFUNCTION("LOWER(REGEXREPLACE(B3187&amp;"" ""&amp;C3187,""[^а-яa-z0-9 ]"","" ""))"),"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сто"&amp;"лешниц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до"&amp;"лжен иметь по 2 опоры    основании опор должны быть пластиковые подпятники ")</f>
        <v>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8">
      <c r="A3188" s="35" t="s">
        <v>7558</v>
      </c>
      <c r="B3188" s="31" t="s">
        <v>7559</v>
      </c>
      <c r="C3188" s="31" t="s">
        <v>7560</v>
      </c>
      <c r="D3188" s="37" t="s">
        <v>14</v>
      </c>
      <c r="E3188" s="38">
        <v>2.0</v>
      </c>
      <c r="F3188" s="38">
        <v>244.0</v>
      </c>
      <c r="G3188" s="11">
        <v>262527.0</v>
      </c>
      <c r="H3188" s="34" t="str">
        <f>IFERROR(__xludf.DUMMYFUNCTION("LOWER(REGEXREPLACE(B3188&amp;"" ""&amp;C3188,""[^а-яa-z0-9 ]"","" ""))"),"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стол"&amp;"ешниц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дол"&amp;"жен иметь по 2 опоры    основании опор должны быть пластиковые подпятники ")</f>
        <v>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9">
      <c r="A3189" s="35" t="s">
        <v>7561</v>
      </c>
      <c r="B3189" s="31" t="s">
        <v>7562</v>
      </c>
      <c r="C3189" s="31" t="s">
        <v>7563</v>
      </c>
      <c r="D3189" s="37" t="s">
        <v>14</v>
      </c>
      <c r="E3189" s="38">
        <v>2.0</v>
      </c>
      <c r="F3189" s="38">
        <v>123.0</v>
      </c>
      <c r="G3189" s="11">
        <v>109617.0</v>
      </c>
      <c r="H3189" s="34" t="str">
        <f>IFERROR(__xludf.DUMMYFUNCTION("LOWER(REGEXREPLACE(B3189&amp;"" ""&amp;C3189,""[^а-яa-z0-9 ]"","" ""))"),"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располо"&amp;"жены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должн"&amp;"ы быть пластиковые подпятники ")</f>
        <v>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190">
      <c r="A3190" s="35" t="s">
        <v>7564</v>
      </c>
      <c r="B3190" s="31" t="s">
        <v>7565</v>
      </c>
      <c r="C3190" s="31" t="s">
        <v>7566</v>
      </c>
      <c r="D3190" s="37" t="s">
        <v>14</v>
      </c>
      <c r="E3190" s="38">
        <v>2.0</v>
      </c>
      <c r="F3190" s="38">
        <v>59.0</v>
      </c>
      <c r="G3190" s="11">
        <v>446236.0</v>
      </c>
      <c r="H3190" s="34" t="str">
        <f>IFERROR(__xludf.DUMMYFUNCTION("LOWER(REGEXREPLACE(B3190&amp;"" ""&amp;C3190,""[^а-яa-z0-9 ]"","" ""))"),"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труб"&amp;"ы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"&amp;"усилителя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f>
        <v>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1">
      <c r="A3191" s="35" t="s">
        <v>7567</v>
      </c>
      <c r="B3191" s="31" t="s">
        <v>7568</v>
      </c>
      <c r="C3191" s="31" t="s">
        <v>7569</v>
      </c>
      <c r="D3191" s="37" t="s">
        <v>14</v>
      </c>
      <c r="E3191" s="38">
        <v>2.0</v>
      </c>
      <c r="F3191" s="38">
        <v>62.0</v>
      </c>
      <c r="G3191" s="11">
        <v>91183.0</v>
      </c>
      <c r="H3191" s="34" t="str">
        <f>IFERROR(__xludf.DUMMYFUNCTION("LOWER(REGEXREPLACE(B3191&amp;"" ""&amp;C3191,""[^а-яa-z0-9 ]"","" ""))"),"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металлокарка"&amp;"с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равн"&amp;"ом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регу"&amp;"лируемые опоры ")</f>
        <v>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2">
      <c r="A3192" s="35" t="s">
        <v>7570</v>
      </c>
      <c r="B3192" s="31" t="s">
        <v>7571</v>
      </c>
      <c r="C3192" s="31"/>
      <c r="D3192" s="37" t="s">
        <v>14</v>
      </c>
      <c r="E3192" s="10"/>
      <c r="F3192" s="36"/>
      <c r="G3192" s="11"/>
      <c r="H3192" s="34" t="str">
        <f>IFERROR(__xludf.DUMMYFUNCTION("LOWER(REGEXREPLACE(B3192&amp;"" ""&amp;C3192,""[^а-яa-z0-9 ]"","" ""))")," тол преподавателя ")</f>
        <v> тол преподавателя </v>
      </c>
    </row>
    <row r="3193">
      <c r="A3193" s="35" t="s">
        <v>7572</v>
      </c>
      <c r="B3193" s="9" t="s">
        <v>7573</v>
      </c>
      <c r="C3193" s="31" t="s">
        <v>7574</v>
      </c>
      <c r="D3193" s="37" t="s">
        <v>14</v>
      </c>
      <c r="E3193" s="10"/>
      <c r="F3193" s="36"/>
      <c r="G3193" s="11">
        <v>40960.0</v>
      </c>
      <c r="H3193" s="34" t="str">
        <f>IFERROR(__xludf.DUMMYFUNCTION("LOWER(REGEXREPLACE(B3193&amp;"" ""&amp;C3193,""[^а-яa-z0-9 ]"","" ""))")," тол преподавателя 1200х600х750 мм марки    07 19  тол однотумбовый   аркас цельносварная рамочная конструкция   толешница и тумба из      16 мм   азмеры  1200х600х750мм ")</f>
        <v> тол преподавателя 1200х600х750 мм марки    07 19  тол однотумбовый   аркас цельносварная рамочная конструкция   толешница и тумба из      16 мм   азмеры  1200х600х750мм </v>
      </c>
    </row>
    <row r="3194">
      <c r="A3194" s="35" t="s">
        <v>7575</v>
      </c>
      <c r="B3194" s="9" t="s">
        <v>7576</v>
      </c>
      <c r="C3194" s="31" t="s">
        <v>7574</v>
      </c>
      <c r="D3194" s="37" t="s">
        <v>14</v>
      </c>
      <c r="E3194" s="10"/>
      <c r="F3194" s="36"/>
      <c r="G3194" s="11">
        <v>46082.0</v>
      </c>
      <c r="H3194" s="34" t="str">
        <f>IFERROR(__xludf.DUMMYFUNCTION("LOWER(REGEXREPLACE(B3194&amp;"" ""&amp;C3194,""[^а-яa-z0-9 ]"","" ""))")," тол преподавателя 1200х600х750 мм марки    07 18  тол однотумбовый   аркас цельносварная рамочная конструкция   толешница и тумба из      16 мм   азмеры  1200х600х750мм ")</f>
        <v> тол преподавателя 1200х600х750 мм марки    07 18  тол однотумбовый   аркас цельносварная рамочная конструкция   толешница и тумба из      16 мм   азмеры  1200х600х750мм </v>
      </c>
    </row>
    <row r="3195">
      <c r="A3195" s="35" t="s">
        <v>7577</v>
      </c>
      <c r="B3195" s="9" t="s">
        <v>7578</v>
      </c>
      <c r="C3195" s="31" t="s">
        <v>7579</v>
      </c>
      <c r="D3195" s="37" t="s">
        <v>14</v>
      </c>
      <c r="E3195" s="10"/>
      <c r="F3195" s="38">
        <v>16.0</v>
      </c>
      <c r="G3195" s="11">
        <v>83794.0</v>
      </c>
      <c r="H3195" s="34" t="str">
        <f>IFERROR(__xludf.DUMMYFUNCTION("LOWER(REGEXREPLACE(B3195&amp;"" ""&amp;C3195,""[^а-яa-z0-9 ]"","" ""))")," тол преподавателя размер с     кромкой 1350х650х750 мм  тол преподавателя с     кромкой размер 1350х650х750 мм на 2 х металлических боковинах   снование металлокаркас")</f>
        <v> тол преподавателя размер с     кромкой 1350х650х750 мм  тол преподавателя с     кромкой размер 1350х650х750 мм на 2 х металлических боковинах   снование металлокаркас</v>
      </c>
    </row>
    <row r="3196">
      <c r="A3196" s="35" t="s">
        <v>7580</v>
      </c>
      <c r="B3196" s="9" t="s">
        <v>7581</v>
      </c>
      <c r="C3196" s="31" t="s">
        <v>7582</v>
      </c>
      <c r="D3196" s="37" t="s">
        <v>14</v>
      </c>
      <c r="E3196" s="10"/>
      <c r="F3196" s="38">
        <v>16.0</v>
      </c>
      <c r="G3196" s="11">
        <v>115181.0</v>
      </c>
      <c r="H3196" s="34" t="str">
        <f>IFERROR(__xludf.DUMMYFUNCTION("LOWER(REGEXREPLACE(B3196&amp;"" ""&amp;C3196,""[^а-яa-z0-9 ]"","" ""))"),"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опорам"&amp;"и  изготовленные из плоскоовальной трубы 50х25х1 4 мм и круглой трубы диаметром 25х1 4 мм основного стола устанавливается царга")</f>
        <v>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опорами  изготовленные из плоскоовальной трубы 50х25х1 4 мм и круглой трубы диаметром 25х1 4 мм основного стола устанавливается царга</v>
      </c>
    </row>
    <row r="3197">
      <c r="A3197" s="35" t="s">
        <v>7583</v>
      </c>
      <c r="B3197" s="31" t="s">
        <v>7584</v>
      </c>
      <c r="C3197" s="31" t="s">
        <v>7585</v>
      </c>
      <c r="D3197" s="37" t="s">
        <v>14</v>
      </c>
      <c r="E3197" s="38">
        <v>2.0</v>
      </c>
      <c r="F3197" s="38">
        <v>19.0</v>
      </c>
      <c r="G3197" s="11">
        <v>95587.0</v>
      </c>
      <c r="H3197" s="34" t="str">
        <f>IFERROR(__xludf.DUMMYFUNCTION("LOWER(REGEXREPLACE(B3197&amp;"" ""&amp;C3197,""[^а-яa-z0-9 ]"","" ""))"),"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изготовл"&amp;"ен из профильной трубы 40х40мм  покрытие полимернопорошковое ")</f>
        <v>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40х40мм  покрытие полимернопорошковое </v>
      </c>
    </row>
    <row r="3198">
      <c r="A3198" s="35" t="s">
        <v>7586</v>
      </c>
      <c r="B3198" s="31" t="s">
        <v>7587</v>
      </c>
      <c r="C3198" s="31" t="s">
        <v>7588</v>
      </c>
      <c r="D3198" s="37" t="s">
        <v>14</v>
      </c>
      <c r="E3198" s="38">
        <v>2.0</v>
      </c>
      <c r="F3198" s="38">
        <v>19.0</v>
      </c>
      <c r="G3198" s="11">
        <v>100090.0</v>
      </c>
      <c r="H3198" s="34" t="str">
        <f>IFERROR(__xludf.DUMMYFUNCTION("LOWER(REGEXREPLACE(B3198&amp;"" ""&amp;C3198,""[^а-яa-z0-9 ]"","" ""))"),"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изготовле"&amp;"н из профильной трубы 60х15мм  покрытие полимернопорошковое ")</f>
        <v>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60х15мм  покрытие полимернопорошковое </v>
      </c>
    </row>
    <row r="3199">
      <c r="A3199" s="35" t="s">
        <v>7589</v>
      </c>
      <c r="B3199" s="31" t="s">
        <v>7590</v>
      </c>
      <c r="C3199" s="31" t="s">
        <v>7591</v>
      </c>
      <c r="D3199" s="37" t="s">
        <v>14</v>
      </c>
      <c r="E3199" s="38">
        <v>2.0</v>
      </c>
      <c r="F3199" s="38">
        <v>19.0</v>
      </c>
      <c r="G3199" s="11">
        <v>115571.0</v>
      </c>
      <c r="H3199" s="34" t="str">
        <f>IFERROR(__xludf.DUMMYFUNCTION("LOWER(REGEXREPLACE(B3199&amp;"" ""&amp;C3199,""[^а-яa-z0-9 ]"","" ""))"),"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ф"&amp;"ормальдегид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f>
        <v>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v>
      </c>
    </row>
    <row r="3200">
      <c r="A3200" s="35" t="s">
        <v>7592</v>
      </c>
      <c r="B3200" s="31" t="s">
        <v>7593</v>
      </c>
      <c r="C3200" s="31" t="s">
        <v>7594</v>
      </c>
      <c r="D3200" s="37" t="s">
        <v>14</v>
      </c>
      <c r="E3200" s="38">
        <v>2.0</v>
      </c>
      <c r="F3200" s="38">
        <v>19.0</v>
      </c>
      <c r="G3200" s="11">
        <v>144159.0</v>
      </c>
      <c r="H3200" s="34" t="str">
        <f>IFERROR(__xludf.DUMMYFUNCTION("LOWER(REGEXREPLACE(B3200&amp;"" ""&amp;C3200,""[^а-яa-z0-9 ]"","" ""))"),"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"&amp;"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f>
        <v>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v>
      </c>
    </row>
    <row r="3201">
      <c r="A3201" s="35" t="s">
        <v>7595</v>
      </c>
      <c r="B3201" s="9" t="s">
        <v>7596</v>
      </c>
      <c r="C3201" s="31" t="s">
        <v>7597</v>
      </c>
      <c r="D3201" s="37" t="s">
        <v>14</v>
      </c>
      <c r="E3201" s="38">
        <v>2.0</v>
      </c>
      <c r="F3201" s="38">
        <v>33.0</v>
      </c>
      <c r="G3201" s="11">
        <v>44079.0</v>
      </c>
      <c r="H3201" s="34" t="str">
        <f>IFERROR(__xludf.DUMMYFUNCTION("LOWER(REGEXREPLACE(B3201&amp;"" ""&amp;C3201,""[^а-яa-z0-9 ]"","" ""))"),"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п"&amp;"олиэфирной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02">
      <c r="A3202" s="35" t="s">
        <v>7598</v>
      </c>
      <c r="B3202" s="31" t="s">
        <v>7599</v>
      </c>
      <c r="C3202" s="31" t="s">
        <v>7600</v>
      </c>
      <c r="D3202" s="37" t="s">
        <v>14</v>
      </c>
      <c r="E3202" s="38">
        <v>2.0</v>
      </c>
      <c r="F3202" s="38">
        <v>36.0</v>
      </c>
      <c r="G3202" s="11">
        <v>60763.0</v>
      </c>
      <c r="H3202" s="34" t="str">
        <f>IFERROR(__xludf.DUMMYFUNCTION("LOWER(REGEXREPLACE(B3202&amp;"" ""&amp;C3202,""[^а-яa-z0-9 ]"","" ""))"),"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прям"&amp;"оугольного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4"&amp;"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f>
        <v>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v>
      </c>
    </row>
    <row r="3203">
      <c r="A3203" s="35" t="s">
        <v>7601</v>
      </c>
      <c r="B3203" s="31" t="s">
        <v>7602</v>
      </c>
      <c r="C3203" s="31" t="s">
        <v>7603</v>
      </c>
      <c r="D3203" s="37" t="s">
        <v>14</v>
      </c>
      <c r="E3203" s="38">
        <v>2.0</v>
      </c>
      <c r="F3203" s="38">
        <v>17.0</v>
      </c>
      <c r="G3203" s="11">
        <v>81002.0</v>
      </c>
      <c r="H3203" s="34" t="str">
        <f>IFERROR(__xludf.DUMMYFUNCTION("LOWER(REGEXREPLACE(B3203&amp;"" ""&amp;C3203,""[^а-яa-z0-9 ]"","" ""))"),"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п"&amp;"роцессор   аркас и ножки стола изготовлены из профильной трубы окрашенные в полимерно порошковую краску ")</f>
        <v>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процессор   аркас и ножки стола изготовлены из профильной трубы окрашенные в полимерно порошковую краску </v>
      </c>
    </row>
    <row r="3204">
      <c r="A3204" s="35" t="s">
        <v>7604</v>
      </c>
      <c r="B3204" s="31" t="s">
        <v>7605</v>
      </c>
      <c r="C3204" s="31" t="s">
        <v>7606</v>
      </c>
      <c r="D3204" s="37" t="s">
        <v>14</v>
      </c>
      <c r="E3204" s="38">
        <v>2.0</v>
      </c>
      <c r="F3204" s="38">
        <v>49.0</v>
      </c>
      <c r="G3204" s="11">
        <v>97626.0</v>
      </c>
      <c r="H3204" s="34" t="str">
        <f>IFERROR(__xludf.DUMMYFUNCTION("LOWER(REGEXREPLACE(B3204&amp;"" ""&amp;C3204,""[^а-яa-z0-9 ]"","" ""))"),"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металлическом"&amp;"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фи"&amp;"ксируется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направляющ"&amp;"ие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f>
        <v>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v>
      </c>
    </row>
    <row r="3205">
      <c r="A3205" s="35" t="s">
        <v>7607</v>
      </c>
      <c r="B3205" s="31" t="s">
        <v>7608</v>
      </c>
      <c r="C3205" s="31" t="s">
        <v>7609</v>
      </c>
      <c r="D3205" s="37" t="s">
        <v>14</v>
      </c>
      <c r="E3205" s="38">
        <v>2.0</v>
      </c>
      <c r="F3205" s="38">
        <v>63.0</v>
      </c>
      <c r="G3205" s="11">
        <v>131890.0</v>
      </c>
      <c r="H3205" s="34" t="str">
        <f>IFERROR(__xludf.DUMMYFUNCTION("LOWER(REGEXREPLACE(B3205&amp;"" ""&amp;C3205,""[^а-яa-z0-9 ]"","" ""))"),"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столешни"&amp;"цы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м"&amp;"еталлическая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ице"&amp;"вая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располо"&amp;"жена опора под столешницу ")</f>
        <v>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расположена опора под столешницу </v>
      </c>
    </row>
    <row r="3206">
      <c r="A3206" s="35" t="s">
        <v>7610</v>
      </c>
      <c r="B3206" s="31" t="s">
        <v>7611</v>
      </c>
      <c r="C3206" s="31"/>
      <c r="D3206" s="37" t="s">
        <v>14</v>
      </c>
      <c r="E3206" s="10"/>
      <c r="F3206" s="36"/>
      <c r="G3206" s="11"/>
      <c r="H3206" s="34" t="str">
        <f>IFERROR(__xludf.DUMMYFUNCTION("LOWER(REGEXREPLACE(B3206&amp;"" ""&amp;C3206,""[^а-яa-z0-9 ]"","" ""))")," тол ученический одноместный ")</f>
        <v> тол ученический одноместный </v>
      </c>
    </row>
    <row r="3207">
      <c r="A3207" s="35" t="s">
        <v>7612</v>
      </c>
      <c r="B3207" s="31" t="s">
        <v>7613</v>
      </c>
      <c r="C3207" s="31" t="s">
        <v>7614</v>
      </c>
      <c r="D3207" s="37" t="s">
        <v>14</v>
      </c>
      <c r="E3207" s="10"/>
      <c r="F3207" s="36"/>
      <c r="G3207" s="11">
        <v>16110.0</v>
      </c>
      <c r="H3207" s="34" t="str">
        <f>IFERROR(__xludf.DUMMYFUNCTION("LOWER(REGEXREPLACE(B3207&amp;"" ""&amp;C3207,""[^а-яa-z0-9 ]"","" ""))"),"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f>
        <v>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v>
      </c>
    </row>
    <row r="3208">
      <c r="A3208" s="35" t="s">
        <v>7615</v>
      </c>
      <c r="B3208" s="31" t="s">
        <v>7616</v>
      </c>
      <c r="C3208" s="31" t="s">
        <v>7617</v>
      </c>
      <c r="D3208" s="37" t="s">
        <v>14</v>
      </c>
      <c r="E3208" s="10"/>
      <c r="F3208" s="36"/>
      <c r="G3208" s="11">
        <v>13063.0</v>
      </c>
      <c r="H3208" s="34" t="str">
        <f>IFERROR(__xludf.DUMMYFUNCTION("LOWER(REGEXREPLACE(B3208&amp;"" ""&amp;C3208,""[^а-яa-z0-9 ]"","" ""))")," тол ученический одноместный 700х500х760мм  тр20х20     85 13 1  тол ученический одноместный   азмер 700х500х760мм   толешница      16мм   снование металлокаркас ")</f>
        <v> тол ученический одноместный 700х500х760мм  тр20х20     85 13 1  тол ученический одноместный   азмер 700х500х760мм   толешница      16мм   снование металлокаркас </v>
      </c>
    </row>
    <row r="3209">
      <c r="A3209" s="35" t="s">
        <v>7618</v>
      </c>
      <c r="B3209" s="31" t="s">
        <v>7619</v>
      </c>
      <c r="C3209" s="31" t="s">
        <v>7620</v>
      </c>
      <c r="D3209" s="37" t="s">
        <v>14</v>
      </c>
      <c r="E3209" s="38">
        <v>2.0</v>
      </c>
      <c r="F3209" s="38">
        <v>10.0</v>
      </c>
      <c r="G3209" s="11">
        <v>31563.0</v>
      </c>
      <c r="H3209" s="34" t="str">
        <f>IFERROR(__xludf.DUMMYFUNCTION("LOWER(REGEXREPLACE(B3209&amp;"" ""&amp;C3209,""[^а-яa-z0-9 ]"","" ""))"),"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ст"&amp;"олешницы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f>
        <v>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v>
      </c>
    </row>
    <row r="3210">
      <c r="A3210" s="35" t="s">
        <v>7621</v>
      </c>
      <c r="B3210" s="9" t="s">
        <v>7622</v>
      </c>
      <c r="C3210" s="31" t="s">
        <v>7623</v>
      </c>
      <c r="D3210" s="37" t="s">
        <v>14</v>
      </c>
      <c r="E3210" s="38">
        <v>2.0</v>
      </c>
      <c r="F3210" s="38">
        <v>10.0</v>
      </c>
      <c r="G3210" s="11">
        <v>38093.0</v>
      </c>
      <c r="H3210" s="34" t="str">
        <f>IFERROR(__xludf.DUMMYFUNCTION("LOWER(REGEXREPLACE(B3210&amp;"" ""&amp;C3210,""[^а-яa-z0-9 ]"","" ""))"),"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"&amp;"высоте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f>
        <v>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v>
      </c>
    </row>
    <row r="3211">
      <c r="A3211" s="35" t="s">
        <v>7624</v>
      </c>
      <c r="B3211" s="31" t="s">
        <v>7625</v>
      </c>
      <c r="C3211" s="31" t="s">
        <v>7625</v>
      </c>
      <c r="D3211" s="37" t="s">
        <v>14</v>
      </c>
      <c r="E3211" s="10"/>
      <c r="F3211" s="36"/>
      <c r="G3211" s="11">
        <v>37051.0</v>
      </c>
      <c r="H3211" s="34" t="str">
        <f>IFERROR(__xludf.DUMMYFUNCTION("LOWER(REGEXREPLACE(B3211&amp;"" ""&amp;C3211,""[^а-яa-z0-9 ]"","" ""))"),"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700х500х64"&amp;"0 710 760 мм")</f>
        <v>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700х500х640 710 760 мм</v>
      </c>
    </row>
    <row r="3212">
      <c r="A3212" s="35" t="s">
        <v>7626</v>
      </c>
      <c r="B3212" s="31" t="s">
        <v>7627</v>
      </c>
      <c r="C3212" s="31" t="s">
        <v>7627</v>
      </c>
      <c r="D3212" s="37" t="s">
        <v>14</v>
      </c>
      <c r="E3212" s="10"/>
      <c r="F3212" s="36"/>
      <c r="G3212" s="11">
        <v>24281.0</v>
      </c>
      <c r="H3212" s="34" t="str">
        <f>IFERROR(__xludf.DUMMYFUNCTION("LOWER(REGEXREPLACE(B3212&amp;"" ""&amp;C3212,""[^а-яa-z0-9 ]"","" ""))"),"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металлокаркас"&amp;"   азмер столешницы 630 450мм ")</f>
        <v>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   азмер столешницы 630 450мм </v>
      </c>
    </row>
    <row r="3213">
      <c r="A3213" s="35" t="s">
        <v>7628</v>
      </c>
      <c r="B3213" s="9" t="s">
        <v>7629</v>
      </c>
      <c r="C3213" s="31" t="s">
        <v>7630</v>
      </c>
      <c r="D3213" s="37" t="s">
        <v>14</v>
      </c>
      <c r="E3213" s="10"/>
      <c r="F3213" s="36"/>
      <c r="G3213" s="11">
        <v>22482.0</v>
      </c>
      <c r="H3213" s="34" t="str">
        <f>IFERROR(__xludf.DUMMYFUNCTION("LOWER(REGEXREPLACE(B3213&amp;"" ""&amp;C3213,""[^а-яa-z0-9 ]"","" ""))"),"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столеш"&amp;"ницы 630 450мм")</f>
        <v>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столешницы 630 450мм</v>
      </c>
    </row>
    <row r="3214">
      <c r="A3214" s="35" t="s">
        <v>7631</v>
      </c>
      <c r="B3214" s="31" t="s">
        <v>7632</v>
      </c>
      <c r="C3214" s="31" t="s">
        <v>7632</v>
      </c>
      <c r="D3214" s="37" t="s">
        <v>14</v>
      </c>
      <c r="E3214" s="10"/>
      <c r="F3214" s="36"/>
      <c r="G3214" s="11">
        <v>27878.0</v>
      </c>
      <c r="H3214" s="34" t="str">
        <f>IFERROR(__xludf.DUMMYFUNCTION("LOWER(REGEXREPLACE(B3214&amp;"" ""&amp;C3214,""[^а-яa-z0-9 ]"","" ""))"),"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22"&amp;"мм   аркас   цельносварная металлическая труба диаметром 50х25х1 5мм  труба усилитель 25х20х1мм ")</f>
        <v>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v>
      </c>
    </row>
    <row r="3215">
      <c r="A3215" s="35" t="s">
        <v>7633</v>
      </c>
      <c r="B3215" s="31" t="s">
        <v>7634</v>
      </c>
      <c r="C3215" s="31" t="s">
        <v>7634</v>
      </c>
      <c r="D3215" s="37" t="s">
        <v>14</v>
      </c>
      <c r="E3215" s="10"/>
      <c r="F3215" s="36"/>
      <c r="G3215" s="11">
        <v>26979.0</v>
      </c>
      <c r="H3215" s="34" t="str">
        <f>IFERROR(__xludf.DUMMYFUNCTION("LOWER(REGEXREPLACE(B3215&amp;"" ""&amp;C3215,""[^а-яa-z0-9 ]"","" ""))"),"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"&amp;"     22мм   аркас   цельносварная металлическая круглая труба диаметром 32х1 2мм  труба усилитель 40х20х1 5мм ")</f>
        <v>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v>
      </c>
    </row>
    <row r="3216">
      <c r="A3216" s="35" t="s">
        <v>7635</v>
      </c>
      <c r="B3216" s="31" t="s">
        <v>7636</v>
      </c>
      <c r="C3216" s="31" t="s">
        <v>7637</v>
      </c>
      <c r="D3216" s="37" t="s">
        <v>14</v>
      </c>
      <c r="E3216" s="38">
        <v>2.0</v>
      </c>
      <c r="F3216" s="39">
        <v>11.8</v>
      </c>
      <c r="G3216" s="11">
        <v>54902.0</v>
      </c>
      <c r="H3216" s="34" t="str">
        <f>IFERROR(__xludf.DUMMYFUNCTION("LOWER(REGEXREPLACE(B3216&amp;"" ""&amp;C3216,""[^а-яa-z0-9 ]"","" ""))"),"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каркас"&amp;"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и"&amp;"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плоско"&amp;"овальных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f>
        <v>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v>
      </c>
    </row>
    <row r="3217">
      <c r="A3217" s="35" t="s">
        <v>7638</v>
      </c>
      <c r="B3217" s="31" t="s">
        <v>7639</v>
      </c>
      <c r="C3217" s="31" t="s">
        <v>7640</v>
      </c>
      <c r="D3217" s="37" t="s">
        <v>14</v>
      </c>
      <c r="E3217" s="38">
        <v>2.0</v>
      </c>
      <c r="F3217" s="38">
        <v>32.0</v>
      </c>
      <c r="G3217" s="11">
        <v>32319.0</v>
      </c>
      <c r="H3217" s="34" t="str">
        <f>IFERROR(__xludf.DUMMYFUNCTION("LOWER(REGEXREPLACE(B3217&amp;"" ""&amp;C3217,""[^а-яa-z0-9 ]"","" ""))"),"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сто"&amp;"ла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крас"&amp;"кой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18">
      <c r="A3218" s="35" t="s">
        <v>7641</v>
      </c>
      <c r="B3218" s="9" t="s">
        <v>7642</v>
      </c>
      <c r="C3218" s="31" t="s">
        <v>7643</v>
      </c>
      <c r="D3218" s="37" t="s">
        <v>14</v>
      </c>
      <c r="E3218" s="38">
        <v>2.0</v>
      </c>
      <c r="F3218" s="38">
        <v>18.0</v>
      </c>
      <c r="G3218" s="11">
        <v>52229.0</v>
      </c>
      <c r="H3218" s="34" t="str">
        <f>IFERROR(__xludf.DUMMYFUNCTION("LOWER(REGEXREPLACE(B3218&amp;"" ""&amp;C3218,""[^а-яa-z0-9 ]"","" ""))"),"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сва"&amp;"рной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п"&amp;"орошковой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f>
        <v>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v>
      </c>
    </row>
    <row r="3219">
      <c r="A3219" s="35" t="s">
        <v>7644</v>
      </c>
      <c r="B3219" s="31" t="s">
        <v>7645</v>
      </c>
      <c r="C3219" s="31" t="s">
        <v>7646</v>
      </c>
      <c r="D3219" s="37" t="s">
        <v>14</v>
      </c>
      <c r="E3219" s="38">
        <v>2.0</v>
      </c>
      <c r="F3219" s="38">
        <v>15.0</v>
      </c>
      <c r="G3219" s="11">
        <v>68292.0</v>
      </c>
      <c r="H3219" s="34" t="str">
        <f>IFERROR(__xludf.DUMMYFUNCTION("LOWER(REGEXREPLACE(B3219&amp;"" ""&amp;C3219,""[^а-яa-z0-9 ]"","" ""))"),"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разборн"&amp;"ый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f>
        <v>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20">
      <c r="A3220" s="35" t="s">
        <v>7647</v>
      </c>
      <c r="B3220" s="31" t="s">
        <v>7648</v>
      </c>
      <c r="C3220" s="31" t="s">
        <v>7649</v>
      </c>
      <c r="D3220" s="37" t="s">
        <v>14</v>
      </c>
      <c r="E3220" s="38">
        <v>2.0</v>
      </c>
      <c r="F3220" s="38">
        <v>10.0</v>
      </c>
      <c r="G3220" s="11">
        <v>43609.0</v>
      </c>
      <c r="H3220" s="34" t="str">
        <f>IFERROR(__xludf.DUMMYFUNCTION("LOWER(REGEXREPLACE(B3220&amp;"" ""&amp;C3220,""[^а-яa-z0-9 ]"","" ""))"),"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столе"&amp;"шницы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"&amp;"и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радиус"&amp;"ом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основании"&amp;" ножек и переходник пластиковые черного цвета ")</f>
        <v>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21">
      <c r="A3221" s="35" t="s">
        <v>7650</v>
      </c>
      <c r="B3221" s="31" t="s">
        <v>7651</v>
      </c>
      <c r="C3221" s="31" t="s">
        <v>7652</v>
      </c>
      <c r="D3221" s="37" t="s">
        <v>14</v>
      </c>
      <c r="E3221" s="38">
        <v>2.0</v>
      </c>
      <c r="F3221" s="38">
        <v>17.0</v>
      </c>
      <c r="G3221" s="11">
        <v>62373.0</v>
      </c>
      <c r="H3221" s="34" t="str">
        <f>IFERROR(__xludf.DUMMYFUNCTION("LOWER(REGEXREPLACE(B3221&amp;"" ""&amp;C3221,""[^а-яa-z0-9 ]"","" ""))"),"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стол"&amp;"а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п"&amp;"олимерно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2">
      <c r="A3222" s="35" t="s">
        <v>7653</v>
      </c>
      <c r="B3222" s="31" t="s">
        <v>7654</v>
      </c>
      <c r="C3222" s="31" t="s">
        <v>7655</v>
      </c>
      <c r="D3222" s="37" t="s">
        <v>14</v>
      </c>
      <c r="E3222" s="38">
        <v>2.0</v>
      </c>
      <c r="F3222" s="38">
        <v>18.0</v>
      </c>
      <c r="G3222" s="11">
        <v>65898.0</v>
      </c>
      <c r="H3222" s="34" t="str">
        <f>IFERROR(__xludf.DUMMYFUNCTION("LOWER(REGEXREPLACE(B3222&amp;"" ""&amp;C3222,""[^а-яa-z0-9 ]"","" ""))"),"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6"&amp;"00 450мм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ст"&amp;"альных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"&amp;"комплектуется по запросу заказчика ")</f>
        <v>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3">
      <c r="A3223" s="35" t="s">
        <v>7656</v>
      </c>
      <c r="B3223" s="9" t="s">
        <v>7657</v>
      </c>
      <c r="C3223" s="31" t="s">
        <v>7658</v>
      </c>
      <c r="D3223" s="37" t="s">
        <v>14</v>
      </c>
      <c r="E3223" s="38">
        <v>2.0</v>
      </c>
      <c r="F3223" s="38">
        <v>17.0</v>
      </c>
      <c r="G3223" s="11">
        <v>38376.0</v>
      </c>
      <c r="H3223" s="34" t="str">
        <f>IFERROR(__xludf.DUMMYFUNCTION("LOWER(REGEXREPLACE(B3223&amp;"" ""&amp;C3223,""[^а-яa-z0-9 ]"","" ""))"),"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ст"&amp;"олешницы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изготавливается"&amp;"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в"&amp;"ыполненная из металла  ввиде сетки   омплектуется по запросу заказчика ")</f>
        <v>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24">
      <c r="A3224" s="35" t="s">
        <v>7659</v>
      </c>
      <c r="B3224" s="31" t="s">
        <v>7660</v>
      </c>
      <c r="C3224" s="31" t="s">
        <v>7661</v>
      </c>
      <c r="D3224" s="37" t="s">
        <v>14</v>
      </c>
      <c r="E3224" s="38">
        <v>2.0</v>
      </c>
      <c r="F3224" s="38">
        <v>16.0</v>
      </c>
      <c r="G3224" s="11">
        <v>35296.0</v>
      </c>
      <c r="H3224" s="34" t="str">
        <f>IFERROR(__xludf.DUMMYFUNCTION("LOWER(REGEXREPLACE(B3224&amp;"" ""&amp;C3224,""[^а-яa-z0-9 ]"","" ""))"),"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ы"&amp;"сота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окрашенн"&amp;"ой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5">
      <c r="A3225" s="35" t="s">
        <v>7662</v>
      </c>
      <c r="B3225" s="9" t="s">
        <v>7663</v>
      </c>
      <c r="C3225" s="31" t="s">
        <v>7664</v>
      </c>
      <c r="D3225" s="37" t="s">
        <v>14</v>
      </c>
      <c r="E3225" s="38">
        <v>2.0</v>
      </c>
      <c r="F3225" s="38">
        <v>17.0</v>
      </c>
      <c r="G3225" s="11">
        <v>38376.0</v>
      </c>
      <c r="H3225" s="34" t="str">
        <f>IFERROR(__xludf.DUMMYFUNCTION("LOWER(REGEXREPLACE(B3225&amp;"" ""&amp;C3225,""[^а-яa-z0-9 ]"","" ""))"),"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сто"&amp;"лешницы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и"&amp;"з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вып"&amp;"олненная из металла  ввиде сетки комплектуется по запросу заказчика ")</f>
        <v>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6">
      <c r="A3226" s="35" t="s">
        <v>7665</v>
      </c>
      <c r="B3226" s="31" t="s">
        <v>7666</v>
      </c>
      <c r="C3226" s="31" t="s">
        <v>7667</v>
      </c>
      <c r="D3226" s="37" t="s">
        <v>14</v>
      </c>
      <c r="E3226" s="38">
        <v>2.0</v>
      </c>
      <c r="F3226" s="38">
        <v>16.0</v>
      </c>
      <c r="G3226" s="11">
        <v>62369.0</v>
      </c>
      <c r="H3226" s="34" t="str">
        <f>IFERROR(__xludf.DUMMYFUNCTION("LOWER(REGEXREPLACE(B3226&amp;"" ""&amp;C3226,""[^а-яa-z0-9 ]"","" ""))"),"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рег"&amp;"улируемая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п"&amp;"орошковой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7">
      <c r="A3227" s="35" t="s">
        <v>7668</v>
      </c>
      <c r="B3227" s="31" t="s">
        <v>7669</v>
      </c>
      <c r="C3227" s="31" t="s">
        <v>7670</v>
      </c>
      <c r="D3227" s="37" t="s">
        <v>14</v>
      </c>
      <c r="E3227" s="38">
        <v>2.0</v>
      </c>
      <c r="F3227" s="38">
        <v>17.0</v>
      </c>
      <c r="G3227" s="11">
        <v>65894.0</v>
      </c>
      <c r="H3227" s="34" t="str">
        <f>IFERROR(__xludf.DUMMYFUNCTION("LOWER(REGEXREPLACE(B3227&amp;"" ""&amp;C3227,""[^а-яa-z0-9 ]"","" ""))"),"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45"&amp;"0мм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пло"&amp;"скоовальных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комплектуе"&amp;"тся по запросу заказчика ")</f>
        <v>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8">
      <c r="A3228" s="35" t="s">
        <v>7671</v>
      </c>
      <c r="B3228" s="31" t="s">
        <v>7672</v>
      </c>
      <c r="C3228" s="31" t="s">
        <v>7673</v>
      </c>
      <c r="D3228" s="37" t="s">
        <v>14</v>
      </c>
      <c r="E3228" s="38">
        <v>2.0</v>
      </c>
      <c r="F3228" s="39">
        <v>17.4</v>
      </c>
      <c r="G3228" s="11">
        <v>43780.0</v>
      </c>
      <c r="H3228" s="34" t="str">
        <f>IFERROR(__xludf.DUMMYFUNCTION("LOWER(REGEXREPLACE(B3228&amp;"" ""&amp;C3228,""[^а-яa-z0-9 ]"","" ""))"),"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6"&amp;"00х450мм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25"&amp;"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f>
        <v>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v>
      </c>
    </row>
    <row r="3229">
      <c r="A3229" s="35" t="s">
        <v>7674</v>
      </c>
      <c r="B3229" s="31" t="s">
        <v>7675</v>
      </c>
      <c r="C3229" s="31" t="s">
        <v>7676</v>
      </c>
      <c r="D3229" s="37" t="s">
        <v>14</v>
      </c>
      <c r="E3229" s="38">
        <v>2.0</v>
      </c>
      <c r="F3229" s="38">
        <v>16.0</v>
      </c>
      <c r="G3229" s="11">
        <v>58516.0</v>
      </c>
      <c r="H3229" s="34" t="str">
        <f>IFERROR(__xludf.DUMMYFUNCTION("LOWER(REGEXREPLACE(B3229&amp;"" ""&amp;C3229,""[^а-яa-z0-9 ]"","" ""))"),"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"&amp;"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"&amp;"40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30">
      <c r="A3230" s="35" t="s">
        <v>7677</v>
      </c>
      <c r="B3230" s="31" t="s">
        <v>7678</v>
      </c>
      <c r="C3230" s="31" t="s">
        <v>7679</v>
      </c>
      <c r="D3230" s="37" t="s">
        <v>14</v>
      </c>
      <c r="E3230" s="38">
        <v>2.0</v>
      </c>
      <c r="F3230" s="38">
        <v>9.0</v>
      </c>
      <c r="G3230" s="11">
        <v>39604.0</v>
      </c>
      <c r="H3230" s="34" t="str">
        <f>IFERROR(__xludf.DUMMYFUNCTION("LOWER(REGEXREPLACE(B3230&amp;"" ""&amp;C3230,""[^а-яa-z0-9 ]"","" ""))"),"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ст"&amp;"ола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73"&amp;"0 790 мм выполнена из ламинированного     толщиной 18 мм  кромка     с использованием высокотемпературного клея ")</f>
        <v>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730 790 мм выполнена из ламинированного     толщиной 18 мм  кромка     с использованием высокотемпературного клея </v>
      </c>
    </row>
    <row r="3231">
      <c r="A3231" s="35" t="s">
        <v>7680</v>
      </c>
      <c r="B3231" s="31" t="s">
        <v>7681</v>
      </c>
      <c r="C3231" s="31" t="s">
        <v>7682</v>
      </c>
      <c r="D3231" s="37" t="s">
        <v>14</v>
      </c>
      <c r="E3231" s="38">
        <v>2.0</v>
      </c>
      <c r="F3231" s="38">
        <v>10.0</v>
      </c>
      <c r="G3231" s="11">
        <v>38093.0</v>
      </c>
      <c r="H3231" s="34" t="str">
        <f>IFERROR(__xludf.DUMMYFUNCTION("LOWER(REGEXREPLACE(B3231&amp;"" ""&amp;C3231,""[^а-яa-z0-9 ]"","" ""))"),"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стол"&amp;"ешницы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из"&amp;"готавливается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"&amp;"школьных принадлежностей  выполненная из металла  ввиде сетки   омплектуется по запросу заказчика  ")</f>
        <v>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школьных принадлежностей  выполненная из металла  ввиде сетки   омплектуется по запросу заказчика  </v>
      </c>
    </row>
    <row r="3232">
      <c r="A3232" s="35" t="s">
        <v>7683</v>
      </c>
      <c r="B3232" s="31" t="s">
        <v>7684</v>
      </c>
      <c r="C3232" s="31" t="s">
        <v>7685</v>
      </c>
      <c r="D3232" s="37" t="s">
        <v>14</v>
      </c>
      <c r="E3232" s="38">
        <v>2.0</v>
      </c>
      <c r="F3232" s="38">
        <v>10.0</v>
      </c>
      <c r="G3232" s="11">
        <v>38093.0</v>
      </c>
      <c r="H3232" s="34" t="str">
        <f>IFERROR(__xludf.DUMMYFUNCTION("LOWER(REGEXREPLACE(B3232&amp;"" ""&amp;C3232,""[^а-яa-z0-9 ]"","" ""))"),"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металли"&amp;"ческий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борн"&amp;"о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"&amp;"корзина для школьных принадлежностей  выполненная из металла  ввиде сетки   омплектуется по запросу заказчика ")</f>
        <v>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корзина для школьных принадлежностей  выполненная из металла  ввиде сетки   омплектуется по запросу заказчика </v>
      </c>
    </row>
    <row r="3233">
      <c r="A3233" s="35" t="s">
        <v>7686</v>
      </c>
      <c r="B3233" s="31" t="s">
        <v>7687</v>
      </c>
      <c r="C3233" s="31" t="s">
        <v>7688</v>
      </c>
      <c r="D3233" s="37" t="s">
        <v>14</v>
      </c>
      <c r="E3233" s="38">
        <v>2.0</v>
      </c>
      <c r="F3233" s="38">
        <v>15.0</v>
      </c>
      <c r="G3233" s="11">
        <v>61981.0</v>
      </c>
      <c r="H3233" s="34" t="str">
        <f>IFERROR(__xludf.DUMMYFUNCTION("LOWER(REGEXREPLACE(B3233&amp;"" ""&amp;C3233,""[^а-яa-z0-9 ]"","" ""))"),"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тол"&amp;"щиной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профильн"&amp;"ой трубы 25х25мм  покрытие полимернопорошковое ")</f>
        <v>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34">
      <c r="A3234" s="35" t="s">
        <v>7689</v>
      </c>
      <c r="B3234" s="31" t="s">
        <v>7690</v>
      </c>
      <c r="C3234" s="31" t="s">
        <v>7691</v>
      </c>
      <c r="D3234" s="37" t="s">
        <v>14</v>
      </c>
      <c r="E3234" s="38">
        <v>2.0</v>
      </c>
      <c r="F3234" s="38">
        <v>15.0</v>
      </c>
      <c r="G3234" s="11">
        <v>64232.0</v>
      </c>
      <c r="H3234" s="34" t="str">
        <f>IFERROR(__xludf.DUMMYFUNCTION("LOWER(REGEXREPLACE(B3234&amp;"" ""&amp;C3234,""[^а-яa-z0-9 ]"","" ""))"),"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30м"&amp;"м  комплектуются регулируемыми опорами   се металлические элементы покрашены полимерно порошковой краской   арга     облицовано пленкой     ")</f>
        <v>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35">
      <c r="A3235" s="35" t="s">
        <v>7692</v>
      </c>
      <c r="B3235" s="31" t="s">
        <v>7693</v>
      </c>
      <c r="C3235" s="31" t="s">
        <v>7694</v>
      </c>
      <c r="D3235" s="37" t="s">
        <v>14</v>
      </c>
      <c r="E3235" s="38">
        <v>2.0</v>
      </c>
      <c r="F3235" s="38">
        <v>10.0</v>
      </c>
      <c r="G3235" s="11">
        <v>72093.0</v>
      </c>
      <c r="H3235" s="34" t="str">
        <f>IFERROR(__xludf.DUMMYFUNCTION("LOWER(REGEXREPLACE(B3235&amp;"" ""&amp;C3235,""[^а-яa-z0-9 ]"","" ""))"),"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"&amp;"на основе термореактивных полимеров  класс эмиссии формальдегид   1  1 сорт   ромка     толщиной 2мм   аркас труба круглая d 60 мм  покрытие полимерно порошковое")</f>
        <v>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на основе термореактивных полимеров  класс эмиссии формальдегид   1  1 сорт   ромка     толщиной 2мм   аркас труба круглая d 60 мм  покрытие полимерно порошковое</v>
      </c>
    </row>
    <row r="3236">
      <c r="A3236" s="35" t="s">
        <v>7695</v>
      </c>
      <c r="B3236" s="31" t="s">
        <v>7696</v>
      </c>
      <c r="C3236" s="31" t="s">
        <v>7697</v>
      </c>
      <c r="D3236" s="37" t="s">
        <v>14</v>
      </c>
      <c r="E3236" s="38">
        <v>2.0</v>
      </c>
      <c r="F3236" s="38">
        <v>10.0</v>
      </c>
      <c r="G3236" s="11">
        <v>70967.0</v>
      </c>
      <c r="H3236" s="34" t="str">
        <f>IFERROR(__xludf.DUMMYFUNCTION("LOWER(REGEXREPLACE(B3236&amp;"" ""&amp;C3236,""[^а-яa-z0-9 ]"","" ""))"),"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толщи"&amp;"ной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f>
        <v>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v>
      </c>
    </row>
    <row r="3237">
      <c r="A3237" s="35" t="s">
        <v>7698</v>
      </c>
      <c r="B3237" s="31" t="s">
        <v>7699</v>
      </c>
      <c r="C3237" s="31" t="s">
        <v>7700</v>
      </c>
      <c r="D3237" s="37" t="s">
        <v>14</v>
      </c>
      <c r="E3237" s="38">
        <v>2.0</v>
      </c>
      <c r="F3237" s="38">
        <v>10.0</v>
      </c>
      <c r="G3237" s="11">
        <v>73007.0</v>
      </c>
      <c r="H3237" s="34" t="str">
        <f>IFERROR(__xludf.DUMMYFUNCTION("LOWER(REGEXREPLACE(B3237&amp;"" ""&amp;C3237,""[^а-яa-z0-9 ]"","" ""))"),"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ф"&amp;"ормальдегид   1  1 сорт   ромка     толщиной  2мм   репление каркаса к столешнице при помощи саморезов  аркас  труба профильная  d 60  покрытие полимерно порошковое цвет ")</f>
        <v>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38">
      <c r="A3238" s="35" t="s">
        <v>7701</v>
      </c>
      <c r="B3238" s="31" t="s">
        <v>7702</v>
      </c>
      <c r="C3238" s="31" t="s">
        <v>7703</v>
      </c>
      <c r="D3238" s="37" t="s">
        <v>14</v>
      </c>
      <c r="E3238" s="38">
        <v>2.0</v>
      </c>
      <c r="F3238" s="38">
        <v>8.0</v>
      </c>
      <c r="G3238" s="11">
        <v>66788.0</v>
      </c>
      <c r="H3238" s="34" t="str">
        <f>IFERROR(__xludf.DUMMYFUNCTION("LOWER(REGEXREPLACE(B3238&amp;"" ""&amp;C3238,""[^а-яa-z0-9 ]"","" ""))"),"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формальде"&amp;"гид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39">
      <c r="A3239" s="35" t="s">
        <v>7704</v>
      </c>
      <c r="B3239" s="31" t="s">
        <v>7705</v>
      </c>
      <c r="C3239" s="31" t="s">
        <v>7703</v>
      </c>
      <c r="D3239" s="37" t="s">
        <v>14</v>
      </c>
      <c r="E3239" s="38">
        <v>2.0</v>
      </c>
      <c r="F3239" s="38">
        <v>8.0</v>
      </c>
      <c r="G3239" s="11">
        <v>66788.0</v>
      </c>
      <c r="H3239" s="34" t="str">
        <f>IFERROR(__xludf.DUMMYFUNCTION("LOWER(REGEXREPLACE(B3239&amp;"" ""&amp;C3239,""[^а-яa-z0-9 ]"","" ""))"),"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формальдегид"&amp;"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40">
      <c r="A3240" s="35" t="s">
        <v>7706</v>
      </c>
      <c r="B3240" s="31" t="s">
        <v>7707</v>
      </c>
      <c r="C3240" s="31" t="s">
        <v>7708</v>
      </c>
      <c r="D3240" s="37" t="s">
        <v>14</v>
      </c>
      <c r="E3240" s="38">
        <v>2.0</v>
      </c>
      <c r="F3240" s="38">
        <v>22.0</v>
      </c>
      <c r="G3240" s="11">
        <v>44781.0</v>
      </c>
      <c r="H3240" s="34" t="str">
        <f>IFERROR(__xludf.DUMMYFUNCTION("LOWER(REGEXREPLACE(B3240&amp;"" ""&amp;C3240,""[^а-яa-z0-9 ]"","" ""))"),"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стола"&amp;"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каркаса"&amp;"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телескопическ"&amp;"и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осна"&amp;"щен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1">
      <c r="A3241" s="35" t="s">
        <v>7709</v>
      </c>
      <c r="B3241" s="31" t="s">
        <v>7710</v>
      </c>
      <c r="C3241" s="31" t="s">
        <v>7711</v>
      </c>
      <c r="D3241" s="37" t="s">
        <v>14</v>
      </c>
      <c r="E3241" s="38">
        <v>2.0</v>
      </c>
      <c r="F3241" s="38">
        <v>18.0</v>
      </c>
      <c r="G3241" s="11">
        <v>32912.0</v>
      </c>
      <c r="H3241" s="34" t="str">
        <f>IFERROR(__xludf.DUMMYFUNCTION("LOWER(REGEXREPLACE(B3241&amp;"" ""&amp;C3241,""[^а-яa-z0-9 ]"","" ""))"),"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возм"&amp;"ожности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22мм"&amp;"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2">
      <c r="A3242" s="35" t="s">
        <v>7712</v>
      </c>
      <c r="B3242" s="31" t="s">
        <v>7713</v>
      </c>
      <c r="C3242" s="31" t="s">
        <v>7714</v>
      </c>
      <c r="D3242" s="37" t="s">
        <v>14</v>
      </c>
      <c r="E3242" s="38">
        <v>2.0</v>
      </c>
      <c r="F3242" s="38">
        <v>16.0</v>
      </c>
      <c r="G3242" s="11">
        <v>37079.0</v>
      </c>
      <c r="H3242" s="34" t="str">
        <f>IFERROR(__xludf.DUMMYFUNCTION("LOWER(REGEXREPLACE(B3242&amp;"" ""&amp;C3242,""[^а-яa-z0-9 ]"","" ""))"),"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7"&amp;"00х500мм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изготовле"&amp;"на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4"&amp;"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ввид"&amp;"е сетки   омплектуется по запросу заказчика ")</f>
        <v>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43">
      <c r="A3243" s="35" t="s">
        <v>7715</v>
      </c>
      <c r="B3243" s="31" t="s">
        <v>7716</v>
      </c>
      <c r="C3243" s="31" t="s">
        <v>7717</v>
      </c>
      <c r="D3243" s="37" t="s">
        <v>14</v>
      </c>
      <c r="E3243" s="38">
        <v>2.0</v>
      </c>
      <c r="F3243" s="38">
        <v>23.0</v>
      </c>
      <c r="G3243" s="11">
        <v>54599.0</v>
      </c>
      <c r="H3243" s="34" t="str">
        <f>IFERROR(__xludf.DUMMYFUNCTION("LOWER(REGEXREPLACE(B3243&amp;"" ""&amp;C3243,""[^а-яa-z0-9 ]"","" ""))"),"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"&amp;"вет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из"&amp;"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присп"&amp;"особления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егулиров"&amp;"ка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ев"&amp;"ровинтов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омплектует"&amp;"ся по запросу заказчика ")</f>
        <v>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4">
      <c r="A3244" s="35" t="s">
        <v>7718</v>
      </c>
      <c r="B3244" s="31" t="s">
        <v>7719</v>
      </c>
      <c r="C3244" s="31" t="s">
        <v>7720</v>
      </c>
      <c r="D3244" s="37" t="s">
        <v>14</v>
      </c>
      <c r="E3244" s="38">
        <v>2.0</v>
      </c>
      <c r="F3244" s="38">
        <v>21.0</v>
      </c>
      <c r="G3244" s="11">
        <v>37820.0</v>
      </c>
      <c r="H3244" s="34" t="str">
        <f>IFERROR(__xludf.DUMMYFUNCTION("LOWER(REGEXREPLACE(B3244&amp;"" ""&amp;C3244,""[^а-яa-z0-9 ]"","" ""))"),"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с"&amp;"толешницы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45">
      <c r="A3245" s="35" t="s">
        <v>7721</v>
      </c>
      <c r="B3245" s="31" t="s">
        <v>7722</v>
      </c>
      <c r="C3245" s="31" t="s">
        <v>7723</v>
      </c>
      <c r="D3245" s="37" t="s">
        <v>14</v>
      </c>
      <c r="E3245" s="38">
        <v>2.0</v>
      </c>
      <c r="F3245" s="38">
        <v>42.0</v>
      </c>
      <c r="G3245" s="11">
        <v>147533.0</v>
      </c>
      <c r="H3245" s="34" t="str">
        <f>IFERROR(__xludf.DUMMYFUNCTION("LOWER(REGEXREPLACE(B3245&amp;"" ""&amp;C3245,""[^а-яa-z0-9 ]"","" ""))"),"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изг"&amp;"отовлен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сте"&amp;"кла   4 мм   азмер стеклянной перегородки 600х500 мм    азмеры стола  ширина   600 мм  глубина   500 мм  высота   750 мм")</f>
        <v>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стекла   4 мм   азмер стеклянной перегородки 600х500 мм    азмеры стола  ширина   600 мм  глубина   500 мм  высота   750 мм</v>
      </c>
    </row>
    <row r="3246">
      <c r="A3246" s="35" t="s">
        <v>7724</v>
      </c>
      <c r="B3246" s="31" t="s">
        <v>7725</v>
      </c>
      <c r="C3246" s="31" t="s">
        <v>7726</v>
      </c>
      <c r="D3246" s="37" t="s">
        <v>14</v>
      </c>
      <c r="E3246" s="38">
        <v>2.0</v>
      </c>
      <c r="F3246" s="38">
        <v>14.0</v>
      </c>
      <c r="G3246" s="11">
        <v>21707.0</v>
      </c>
      <c r="H3246" s="34" t="str">
        <f>IFERROR(__xludf.DUMMYFUNCTION("LOWER(REGEXREPLACE(B3246&amp;"" ""&amp;C3246,""[^а-яa-z0-9 ]"","" ""))"),"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столешни"&amp;"цы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толщин"&amp;"ой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кот"&amp;"орому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егули"&amp;"ровка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76"&amp;"0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диапазон"&amp;"е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f>
        <v>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47">
      <c r="A3247" s="35" t="s">
        <v>7727</v>
      </c>
      <c r="B3247" s="31" t="s">
        <v>7728</v>
      </c>
      <c r="C3247" s="31" t="s">
        <v>7729</v>
      </c>
      <c r="D3247" s="37" t="s">
        <v>14</v>
      </c>
      <c r="E3247" s="38">
        <v>2.0</v>
      </c>
      <c r="F3247" s="38">
        <v>89.0</v>
      </c>
      <c r="G3247" s="11">
        <v>195214.0</v>
      </c>
      <c r="H3247" s="34" t="str">
        <f>IFERROR(__xludf.DUMMYFUNCTION("LOWER(REGEXREPLACE(B3247&amp;"" ""&amp;C3247,""[^а-яa-z0-9 ]"","" ""))"),"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од"&amp;"инаковых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форме"&amp;"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модуль"&amp;"ную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кругл"&amp;"ого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"&amp;"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что"&amp;"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f>
        <v>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v>
      </c>
    </row>
    <row r="3248">
      <c r="A3248" s="35" t="s">
        <v>7730</v>
      </c>
      <c r="B3248" s="31" t="s">
        <v>7731</v>
      </c>
      <c r="C3248" s="31" t="s">
        <v>7732</v>
      </c>
      <c r="D3248" s="37" t="s">
        <v>14</v>
      </c>
      <c r="E3248" s="38">
        <v>2.0</v>
      </c>
      <c r="F3248" s="38">
        <v>16.0</v>
      </c>
      <c r="G3248" s="11">
        <v>43366.0</v>
      </c>
      <c r="H3248" s="34" t="str">
        <f>IFERROR(__xludf.DUMMYFUNCTION("LOWER(REGEXREPLACE(B3248&amp;"" ""&amp;C3248,""[^а-яa-z0-9 ]"","" ""))"),"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у"&amp;"стойчива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осн"&amp;"овании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опор"&amp;"а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"&amp;"к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"&amp;"при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высо"&amp;"ты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49">
      <c r="A3249" s="35" t="s">
        <v>7733</v>
      </c>
      <c r="B3249" s="31" t="s">
        <v>7734</v>
      </c>
      <c r="C3249" s="31" t="s">
        <v>7735</v>
      </c>
      <c r="D3249" s="37" t="s">
        <v>14</v>
      </c>
      <c r="E3249" s="38">
        <v>2.0</v>
      </c>
      <c r="F3249" s="38">
        <v>32.0</v>
      </c>
      <c r="G3249" s="11">
        <v>73741.0</v>
      </c>
      <c r="H3249" s="34" t="str">
        <f>IFERROR(__xludf.DUMMYFUNCTION("LOWER(REGEXREPLACE(B3249&amp;"" ""&amp;C3249,""[^а-яa-z0-9 ]"","" ""))"),"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б"&amp;"ыть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др"&amp;"уг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д"&amp;"вух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столешн"&amp;"ице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"&amp;"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поры"&amp;" должны быть окрашены порошковой краской  стойкой к механическим повреждениям  ультрафиолетовому излучению и атмосферным воздействиям ")</f>
        <v>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0">
      <c r="A3250" s="35" t="s">
        <v>7736</v>
      </c>
      <c r="B3250" s="31" t="s">
        <v>7737</v>
      </c>
      <c r="C3250" s="31" t="s">
        <v>7738</v>
      </c>
      <c r="D3250" s="37" t="s">
        <v>14</v>
      </c>
      <c r="E3250" s="38">
        <v>2.0</v>
      </c>
      <c r="F3250" s="38">
        <v>18.0</v>
      </c>
      <c r="G3250" s="11">
        <v>45539.0</v>
      </c>
      <c r="H3250" s="34" t="str">
        <f>IFERROR(__xludf.DUMMYFUNCTION("LOWER(REGEXREPLACE(B3250&amp;"" ""&amp;C3250,""[^а-яa-z0-9 ]"","" ""))"),"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кромко"&amp;"й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снова"&amp;"ние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мм"&amp;"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м"&amp;"м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пр"&amp;"едусмотрена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1">
      <c r="A3251" s="35" t="s">
        <v>7739</v>
      </c>
      <c r="B3251" s="31" t="s">
        <v>7740</v>
      </c>
      <c r="C3251" s="31" t="s">
        <v>7741</v>
      </c>
      <c r="D3251" s="37" t="s">
        <v>14</v>
      </c>
      <c r="E3251" s="38">
        <v>2.0</v>
      </c>
      <c r="F3251" s="38">
        <v>12.0</v>
      </c>
      <c r="G3251" s="11">
        <v>29493.0</v>
      </c>
      <c r="H3251" s="34" t="str">
        <f>IFERROR(__xludf.DUMMYFUNCTION("LOWER(REGEXREPLACE(B3251&amp;"" ""&amp;C3251,""[^а-яa-z0-9 ]"","" ""))"),"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н"&amp;"е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диамет"&amp;"ром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f>
        <v>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v>
      </c>
    </row>
    <row r="3252">
      <c r="A3252" s="35" t="s">
        <v>7742</v>
      </c>
      <c r="B3252" s="31" t="s">
        <v>7743</v>
      </c>
      <c r="C3252" s="31" t="s">
        <v>7744</v>
      </c>
      <c r="D3252" s="37" t="s">
        <v>14</v>
      </c>
      <c r="E3252" s="38">
        <v>2.0</v>
      </c>
      <c r="F3252" s="38">
        <v>20.0</v>
      </c>
      <c r="G3252" s="11">
        <v>26062.0</v>
      </c>
      <c r="H3252" s="34" t="str">
        <f>IFERROR(__xludf.DUMMYFUNCTION("LOWER(REGEXREPLACE(B3252&amp;"" ""&amp;C3252,""[^а-яa-z0-9 ]"","" ""))"),"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"&amp;"быть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то"&amp;"лешница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и"&amp;"з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мм"&amp;"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подп"&amp;"ятники ")</f>
        <v>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3">
      <c r="A3253" s="35" t="s">
        <v>7745</v>
      </c>
      <c r="B3253" s="31" t="s">
        <v>7746</v>
      </c>
      <c r="C3253" s="31" t="s">
        <v>7747</v>
      </c>
      <c r="D3253" s="37" t="s">
        <v>14</v>
      </c>
      <c r="E3253" s="38">
        <v>2.0</v>
      </c>
      <c r="F3253" s="38">
        <v>33.0</v>
      </c>
      <c r="G3253" s="11">
        <v>48631.0</v>
      </c>
      <c r="H3253" s="34" t="str">
        <f>IFERROR(__xludf.DUMMYFUNCTION("LOWER(REGEXREPLACE(B3253&amp;"" ""&amp;C3253,""[^а-яa-z0-9 ]"","" ""))"),"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полом"&amp;"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"&amp;"0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е"&amp;"рхняя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п"&amp;"ластиковые подпятники ")</f>
        <v>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4">
      <c r="A3254" s="35" t="s">
        <v>7748</v>
      </c>
      <c r="B3254" s="31" t="s">
        <v>7749</v>
      </c>
      <c r="C3254" s="31"/>
      <c r="D3254" s="37" t="s">
        <v>14</v>
      </c>
      <c r="E3254" s="10"/>
      <c r="F3254" s="36"/>
      <c r="G3254" s="11"/>
      <c r="H3254" s="34" t="str">
        <f>IFERROR(__xludf.DUMMYFUNCTION("LOWER(REGEXREPLACE(B3254&amp;"" ""&amp;C3254,""[^а-яa-z0-9 ]"","" ""))")," тол ученический двухместный ")</f>
        <v> тол ученический двухместный </v>
      </c>
    </row>
    <row r="3255">
      <c r="A3255" s="35" t="s">
        <v>7750</v>
      </c>
      <c r="B3255" s="31" t="s">
        <v>7751</v>
      </c>
      <c r="C3255" s="31" t="s">
        <v>7752</v>
      </c>
      <c r="D3255" s="37" t="s">
        <v>14</v>
      </c>
      <c r="E3255" s="10"/>
      <c r="F3255" s="36"/>
      <c r="G3255" s="11">
        <v>20408.0</v>
      </c>
      <c r="H3255" s="34" t="str">
        <f>IFERROR(__xludf.DUMMYFUNCTION("LOWER(REGEXREPLACE(B3255&amp;"" ""&amp;C3255,""[^а-яa-z0-9 ]"","" ""))"),"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f>
        <v>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v>
      </c>
    </row>
    <row r="3256">
      <c r="A3256" s="35" t="s">
        <v>7753</v>
      </c>
      <c r="B3256" s="31" t="s">
        <v>7754</v>
      </c>
      <c r="C3256" s="31" t="s">
        <v>7755</v>
      </c>
      <c r="D3256" s="37" t="s">
        <v>14</v>
      </c>
      <c r="E3256" s="10"/>
      <c r="F3256" s="36"/>
      <c r="G3256" s="11">
        <v>13992.0</v>
      </c>
      <c r="H3256" s="34" t="str">
        <f>IFERROR(__xludf.DUMMYFUNCTION("LOWER(REGEXREPLACE(B3256&amp;"" ""&amp;C3256,""[^а-яa-z0-9 ]"","" ""))")," тол ученический двухместный 1200х500х760 марки    85 13  тол  ученический двухместный   азмер 1200х500х760мм   снование металлокаркас квадратного сечения   толешница      16мм ")</f>
        <v> тол ученический двухместный 1200х500х760 марки    85 13  тол  ученический двухместный   азмер 1200х500х760мм   снование металлокаркас квадратного сечения   толешница      16мм </v>
      </c>
    </row>
    <row r="3257">
      <c r="A3257" s="35" t="s">
        <v>7756</v>
      </c>
      <c r="B3257" s="31" t="s">
        <v>7757</v>
      </c>
      <c r="C3257" s="31" t="s">
        <v>7758</v>
      </c>
      <c r="D3257" s="37" t="s">
        <v>14</v>
      </c>
      <c r="E3257" s="10"/>
      <c r="F3257" s="36"/>
      <c r="G3257" s="11">
        <v>21634.0</v>
      </c>
      <c r="H3257" s="34" t="str">
        <f>IFERROR(__xludf.DUMMYFUNCTION("LOWER(REGEXREPLACE(B3257&amp;"" ""&amp;C3257,""[^а-яa-z0-9 ]"","" ""))")," тол ученический двухместный 1200х500х760 марки    01 14  тол  ученический двухместный   азмер 1200х500х760мм   снование металлокаркас круглого сечения   толешница      16мм ")</f>
        <v> тол ученический двухместный 1200х500х760 марки    01 14  тол  ученический двухместный   азмер 1200х500х760мм   снование металлокаркас круглого сечения   толешница      16мм </v>
      </c>
    </row>
    <row r="3258">
      <c r="A3258" s="35" t="s">
        <v>7759</v>
      </c>
      <c r="B3258" s="31" t="s">
        <v>7760</v>
      </c>
      <c r="C3258" s="31" t="s">
        <v>7761</v>
      </c>
      <c r="D3258" s="37" t="s">
        <v>14</v>
      </c>
      <c r="E3258" s="38">
        <v>2.0</v>
      </c>
      <c r="F3258" s="38">
        <v>12.0</v>
      </c>
      <c r="G3258" s="11">
        <v>36525.0</v>
      </c>
      <c r="H3258" s="34" t="str">
        <f>IFERROR(__xludf.DUMMYFUNCTION("LOWER(REGEXREPLACE(B3258&amp;"" ""&amp;C3258,""[^а-яa-z0-9 ]"","" ""))"),"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труб"&amp;"ы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л"&amp;"юбого цвета ")</f>
        <v>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любого цвета </v>
      </c>
    </row>
    <row r="3259">
      <c r="A3259" s="35" t="s">
        <v>7762</v>
      </c>
      <c r="B3259" s="31" t="s">
        <v>7763</v>
      </c>
      <c r="C3259" s="31" t="s">
        <v>7764</v>
      </c>
      <c r="D3259" s="37" t="s">
        <v>14</v>
      </c>
      <c r="E3259" s="38">
        <v>2.0</v>
      </c>
      <c r="F3259" s="39">
        <v>12.5</v>
      </c>
      <c r="G3259" s="11">
        <v>46930.0</v>
      </c>
      <c r="H3259" s="34" t="str">
        <f>IFERROR(__xludf.DUMMYFUNCTION("LOWER(REGEXREPLACE(B3259&amp;"" ""&amp;C3259,""[^а-яa-z0-9 ]"","" ""))"),"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по"&amp;"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f>
        <v>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v>
      </c>
    </row>
    <row r="3260">
      <c r="A3260" s="35" t="s">
        <v>7765</v>
      </c>
      <c r="B3260" s="31" t="s">
        <v>7766</v>
      </c>
      <c r="C3260" s="31" t="s">
        <v>7767</v>
      </c>
      <c r="D3260" s="37" t="s">
        <v>14</v>
      </c>
      <c r="E3260" s="10"/>
      <c r="F3260" s="36"/>
      <c r="G3260" s="11">
        <v>45684.0</v>
      </c>
      <c r="H3260" s="34" t="str">
        <f>IFERROR(__xludf.DUMMYFUNCTION("LOWER(REGEXREPLACE(B3260&amp;"" ""&amp;C3260,""[^а-яa-z0-9 ]"","" ""))"),"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1200х500"&amp;"х640 710 760 мм")</f>
        <v>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1200х500х640 710 760 мм</v>
      </c>
    </row>
    <row r="3261">
      <c r="A3261" s="35" t="s">
        <v>7768</v>
      </c>
      <c r="B3261" s="31" t="s">
        <v>7769</v>
      </c>
      <c r="C3261" s="31" t="s">
        <v>7769</v>
      </c>
      <c r="D3261" s="37" t="s">
        <v>14</v>
      </c>
      <c r="E3261" s="10"/>
      <c r="F3261" s="36"/>
      <c r="G3261" s="11">
        <v>26529.0</v>
      </c>
      <c r="H3261" s="34" t="str">
        <f>IFERROR(__xludf.DUMMYFUNCTION("LOWER(REGEXREPLACE(B3261&amp;"" ""&amp;C3261,""[^а-яa-z0-9 ]"","" ""))"),"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металлокар"&amp;"кас   азмер столешницы 1200 500мм ")</f>
        <v>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металлокаркас   азмер столешницы 1200 500мм </v>
      </c>
    </row>
    <row r="3262">
      <c r="A3262" s="35" t="s">
        <v>7770</v>
      </c>
      <c r="B3262" s="31" t="s">
        <v>7771</v>
      </c>
      <c r="C3262" s="31" t="s">
        <v>7772</v>
      </c>
      <c r="D3262" s="37" t="s">
        <v>14</v>
      </c>
      <c r="E3262" s="10"/>
      <c r="F3262" s="36"/>
      <c r="G3262" s="11">
        <v>24730.0</v>
      </c>
      <c r="H3262" s="34" t="str">
        <f>IFERROR(__xludf.DUMMYFUNCTION("LOWER(REGEXREPLACE(B3262&amp;"" ""&amp;C3262,""[^а-яa-z0-9 ]"","" ""))"),"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f>
        <v>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v>
      </c>
    </row>
    <row r="3263">
      <c r="A3263" s="35" t="s">
        <v>7773</v>
      </c>
      <c r="B3263" s="9" t="s">
        <v>7774</v>
      </c>
      <c r="C3263" s="31" t="s">
        <v>7775</v>
      </c>
      <c r="D3263" s="37" t="s">
        <v>14</v>
      </c>
      <c r="E3263" s="38">
        <v>2.0</v>
      </c>
      <c r="F3263" s="39">
        <v>13.3</v>
      </c>
      <c r="G3263" s="11">
        <v>74692.0</v>
      </c>
      <c r="H3263" s="34" t="str">
        <f>IFERROR(__xludf.DUMMYFUNCTION("LOWER(REGEXREPLACE(B3263&amp;"" ""&amp;C3263,""[^а-яa-z0-9 ]"","" ""))"),"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карка"&amp;"с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цве"&amp;"та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стальны"&amp;"х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f>
        <v>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v>
      </c>
    </row>
    <row r="3264">
      <c r="A3264" s="35" t="s">
        <v>7776</v>
      </c>
      <c r="B3264" s="31" t="s">
        <v>7777</v>
      </c>
      <c r="C3264" s="31" t="s">
        <v>7778</v>
      </c>
      <c r="D3264" s="37" t="s">
        <v>14</v>
      </c>
      <c r="E3264" s="38">
        <v>2.0</v>
      </c>
      <c r="F3264" s="38">
        <v>18.0</v>
      </c>
      <c r="G3264" s="11">
        <v>47282.0</v>
      </c>
      <c r="H3264" s="34" t="str">
        <f>IFERROR(__xludf.DUMMYFUNCTION("LOWER(REGEXREPLACE(B3264&amp;"" ""&amp;C3264,""[^а-яa-z0-9 ]"","" ""))"),"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из"&amp;"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f>
        <v>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v>
      </c>
    </row>
    <row r="3265">
      <c r="A3265" s="35" t="s">
        <v>7779</v>
      </c>
      <c r="B3265" s="31" t="s">
        <v>7780</v>
      </c>
      <c r="C3265" s="31" t="s">
        <v>7781</v>
      </c>
      <c r="D3265" s="37" t="s">
        <v>14</v>
      </c>
      <c r="E3265" s="38">
        <v>2.0</v>
      </c>
      <c r="F3265" s="38">
        <v>45.0</v>
      </c>
      <c r="G3265" s="11">
        <v>36326.0</v>
      </c>
      <c r="H3265" s="34" t="str">
        <f>IFERROR(__xludf.DUMMYFUNCTION("LOWER(REGEXREPLACE(B3265&amp;"" ""&amp;C3265,""[^а-яa-z0-9 ]"","" ""))"),"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с"&amp;"тола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к"&amp;"раской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66">
      <c r="A3266" s="35" t="s">
        <v>7782</v>
      </c>
      <c r="B3266" s="31" t="s">
        <v>7783</v>
      </c>
      <c r="C3266" s="31" t="s">
        <v>7784</v>
      </c>
      <c r="D3266" s="37" t="s">
        <v>14</v>
      </c>
      <c r="E3266" s="38">
        <v>2.0</v>
      </c>
      <c r="F3266" s="38">
        <v>55.0</v>
      </c>
      <c r="G3266" s="11">
        <v>76563.0</v>
      </c>
      <c r="H3266" s="34" t="str">
        <f>IFERROR(__xludf.DUMMYFUNCTION("LOWER(REGEXREPLACE(B3266&amp;"" ""&amp;C3266,""[^а-яa-z0-9 ]"","" ""))"),"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"&amp;"сварной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окрашенн"&amp;"ой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f>
        <v>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v>
      </c>
    </row>
    <row r="3267">
      <c r="A3267" s="35" t="s">
        <v>7785</v>
      </c>
      <c r="B3267" s="31" t="s">
        <v>7786</v>
      </c>
      <c r="C3267" s="31" t="s">
        <v>7787</v>
      </c>
      <c r="D3267" s="37" t="s">
        <v>14</v>
      </c>
      <c r="E3267" s="38">
        <v>2.0</v>
      </c>
      <c r="F3267" s="38">
        <v>20.0</v>
      </c>
      <c r="G3267" s="11">
        <v>96639.0</v>
      </c>
      <c r="H3267" s="34" t="str">
        <f>IFERROR(__xludf.DUMMYFUNCTION("LOWER(REGEXREPLACE(B3267&amp;"" ""&amp;C3267,""[^а-яa-z0-9 ]"","" ""))"),"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"&amp;"белый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из"&amp;" нержавейки ")</f>
        <v>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68">
      <c r="A3268" s="35" t="s">
        <v>7788</v>
      </c>
      <c r="B3268" s="9" t="s">
        <v>7789</v>
      </c>
      <c r="C3268" s="31" t="s">
        <v>7790</v>
      </c>
      <c r="D3268" s="37" t="s">
        <v>14</v>
      </c>
      <c r="E3268" s="38">
        <v>2.0</v>
      </c>
      <c r="F3268" s="38">
        <v>12.0</v>
      </c>
      <c r="G3268" s="11">
        <v>58500.0</v>
      </c>
      <c r="H3268" s="34" t="str">
        <f>IFERROR(__xludf.DUMMYFUNCTION("LOWER(REGEXREPLACE(B3268&amp;"" ""&amp;C3268,""[^а-яa-z0-9 ]"","" ""))"),"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разборный"&amp;"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плос"&amp;"коовальных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и"&amp;"меющего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"&amp;"кромку из       аглушки на основании ножек и переходник пластиковые черного цвета ")</f>
        <v>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69">
      <c r="A3269" s="35" t="s">
        <v>7791</v>
      </c>
      <c r="B3269" s="31" t="s">
        <v>7792</v>
      </c>
      <c r="C3269" s="31" t="s">
        <v>7793</v>
      </c>
      <c r="D3269" s="37" t="s">
        <v>14</v>
      </c>
      <c r="E3269" s="38">
        <v>2.0</v>
      </c>
      <c r="F3269" s="38">
        <v>28.0</v>
      </c>
      <c r="G3269" s="11">
        <v>67735.0</v>
      </c>
      <c r="H3269" s="34" t="str">
        <f>IFERROR(__xludf.DUMMYFUNCTION("LOWER(REGEXREPLACE(B3269&amp;"" ""&amp;C3269,""[^а-яa-z0-9 ]"","" ""))"),"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ст"&amp;"ола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окрашенно"&amp;"й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0">
      <c r="A3270" s="35" t="s">
        <v>7794</v>
      </c>
      <c r="B3270" s="31" t="s">
        <v>7795</v>
      </c>
      <c r="C3270" s="31" t="s">
        <v>7796</v>
      </c>
      <c r="D3270" s="37" t="s">
        <v>14</v>
      </c>
      <c r="E3270" s="38">
        <v>2.0</v>
      </c>
      <c r="F3270" s="38">
        <v>29.0</v>
      </c>
      <c r="G3270" s="11">
        <v>71336.0</v>
      </c>
      <c r="H3270" s="34" t="str">
        <f>IFERROR(__xludf.DUMMYFUNCTION("LOWER(REGEXREPLACE(B3270&amp;"" ""&amp;C3270,""[^а-яa-z0-9 ]"","" ""))"),"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"&amp;"1200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из"&amp;"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сет"&amp;"ки комплектуется по запросу заказчика ")</f>
        <v>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1">
      <c r="A3271" s="35" t="s">
        <v>7797</v>
      </c>
      <c r="B3271" s="9" t="s">
        <v>7798</v>
      </c>
      <c r="C3271" s="31" t="s">
        <v>7799</v>
      </c>
      <c r="D3271" s="37" t="s">
        <v>14</v>
      </c>
      <c r="E3271" s="38">
        <v>2.0</v>
      </c>
      <c r="F3271" s="38">
        <v>20.0</v>
      </c>
      <c r="G3271" s="11">
        <v>60330.0</v>
      </c>
      <c r="H3271" s="34" t="str">
        <f>IFERROR(__xludf.DUMMYFUNCTION("LOWER(REGEXREPLACE(B3271&amp;"" ""&amp;C3271,""[^а-яa-z0-9 ]"","" ""))"),"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с"&amp;"толешницы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изготавливае"&amp;"тся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принадлежностей"&amp;"  выполненная из металла  ввиде сетки   омплектуется по запросу заказчика  ")</f>
        <v>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72">
      <c r="A3272" s="35" t="s">
        <v>7800</v>
      </c>
      <c r="B3272" s="31" t="s">
        <v>7801</v>
      </c>
      <c r="C3272" s="31" t="s">
        <v>7802</v>
      </c>
      <c r="D3272" s="37" t="s">
        <v>14</v>
      </c>
      <c r="E3272" s="38">
        <v>2.0</v>
      </c>
      <c r="F3272" s="38">
        <v>19.0</v>
      </c>
      <c r="G3272" s="11">
        <v>57628.0</v>
      </c>
      <c r="H3272" s="34" t="str">
        <f>IFERROR(__xludf.DUMMYFUNCTION("LOWER(REGEXREPLACE(B3272&amp;"" ""&amp;C3272,""[^а-яa-z0-9 ]"","" ""))"),"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"&amp;"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окраш"&amp;"енной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3">
      <c r="A3273" s="35" t="s">
        <v>7803</v>
      </c>
      <c r="B3273" s="9" t="s">
        <v>7804</v>
      </c>
      <c r="C3273" s="31" t="s">
        <v>7805</v>
      </c>
      <c r="D3273" s="37" t="s">
        <v>14</v>
      </c>
      <c r="E3273" s="38">
        <v>2.0</v>
      </c>
      <c r="F3273" s="38">
        <v>20.0</v>
      </c>
      <c r="G3273" s="11">
        <v>60330.0</v>
      </c>
      <c r="H3273" s="34" t="str">
        <f>IFERROR(__xludf.DUMMYFUNCTION("LOWER(REGEXREPLACE(B3273&amp;"" ""&amp;C3273,""[^а-яa-z0-9 ]"","" ""))"),"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ст"&amp;"олешницы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изготавливаетс"&amp;"я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"&amp;"выполненная из металла  ввиде сетки комплектуется по запросу заказчика ")</f>
        <v>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4">
      <c r="A3274" s="35" t="s">
        <v>7806</v>
      </c>
      <c r="B3274" s="31" t="s">
        <v>7807</v>
      </c>
      <c r="C3274" s="31" t="s">
        <v>7808</v>
      </c>
      <c r="D3274" s="37" t="s">
        <v>14</v>
      </c>
      <c r="E3274" s="38">
        <v>2.0</v>
      </c>
      <c r="F3274" s="38">
        <v>19.0</v>
      </c>
      <c r="G3274" s="11">
        <v>67700.0</v>
      </c>
      <c r="H3274" s="34" t="str">
        <f>IFERROR(__xludf.DUMMYFUNCTION("LOWER(REGEXREPLACE(B3274&amp;"" ""&amp;C3274,""[^а-яa-z0-9 ]"","" ""))"),"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р"&amp;"егулируемая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полимерн"&amp;"о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5">
      <c r="A3275" s="35" t="s">
        <v>7809</v>
      </c>
      <c r="B3275" s="31" t="s">
        <v>7810</v>
      </c>
      <c r="C3275" s="31" t="s">
        <v>7811</v>
      </c>
      <c r="D3275" s="37" t="s">
        <v>14</v>
      </c>
      <c r="E3275" s="38">
        <v>2.0</v>
      </c>
      <c r="F3275" s="38">
        <v>20.0</v>
      </c>
      <c r="G3275" s="11">
        <v>71301.0</v>
      </c>
      <c r="H3275" s="34" t="str">
        <f>IFERROR(__xludf.DUMMYFUNCTION("LOWER(REGEXREPLACE(B3275&amp;"" ""&amp;C3275,""[^а-яa-z0-9 ]"","" ""))"),"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"&amp;"450мм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"&amp;"плоскоовальных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комплек"&amp;"туется по запросу заказчика ")</f>
        <v>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6">
      <c r="A3276" s="35" t="s">
        <v>7812</v>
      </c>
      <c r="B3276" s="31" t="s">
        <v>7813</v>
      </c>
      <c r="C3276" s="31" t="s">
        <v>7814</v>
      </c>
      <c r="D3276" s="37" t="s">
        <v>14</v>
      </c>
      <c r="E3276" s="38">
        <v>2.0</v>
      </c>
      <c r="F3276" s="39">
        <v>18.5</v>
      </c>
      <c r="G3276" s="11">
        <v>70216.0</v>
      </c>
      <c r="H3276" s="34" t="str">
        <f>IFERROR(__xludf.DUMMYFUNCTION("LOWER(REGEXREPLACE(B3276&amp;"" ""&amp;C3276,""[^а-яa-z0-9 ]"","" ""))"),"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1200х500м"&amp;"м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5"&amp;"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77">
      <c r="A3277" s="35" t="s">
        <v>7815</v>
      </c>
      <c r="B3277" s="31" t="s">
        <v>7816</v>
      </c>
      <c r="C3277" s="31" t="s">
        <v>7688</v>
      </c>
      <c r="D3277" s="37" t="s">
        <v>14</v>
      </c>
      <c r="E3277" s="38">
        <v>2.0</v>
      </c>
      <c r="F3277" s="38">
        <v>18.0</v>
      </c>
      <c r="G3277" s="11">
        <v>81132.0</v>
      </c>
      <c r="H3277" s="34" t="str">
        <f>IFERROR(__xludf.DUMMYFUNCTION("LOWER(REGEXREPLACE(B3277&amp;"" ""&amp;C3277,""[^а-яa-z0-9 ]"","" ""))"),"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то"&amp;"лщиной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профиль"&amp;"ной трубы 25х25мм  покрытие полимернопорошковое ")</f>
        <v>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78">
      <c r="A3278" s="35" t="s">
        <v>7817</v>
      </c>
      <c r="B3278" s="31" t="s">
        <v>7818</v>
      </c>
      <c r="C3278" s="31" t="s">
        <v>7691</v>
      </c>
      <c r="D3278" s="37" t="s">
        <v>14</v>
      </c>
      <c r="E3278" s="38">
        <v>2.0</v>
      </c>
      <c r="F3278" s="38">
        <v>18.0</v>
      </c>
      <c r="G3278" s="11">
        <v>110403.0</v>
      </c>
      <c r="H3278" s="34" t="str">
        <f>IFERROR(__xludf.DUMMYFUNCTION("LOWER(REGEXREPLACE(B3278&amp;"" ""&amp;C3278,""[^а-яa-z0-9 ]"","" ""))"),"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30"&amp;"мм  комплектуются регулируемыми опорами   се металлические элементы покрашены полимерно порошковой краской   арга     облицовано пленкой     ")</f>
        <v>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79">
      <c r="A3279" s="35" t="s">
        <v>7819</v>
      </c>
      <c r="B3279" s="31" t="s">
        <v>7820</v>
      </c>
      <c r="C3279" s="31" t="s">
        <v>7821</v>
      </c>
      <c r="D3279" s="37" t="s">
        <v>14</v>
      </c>
      <c r="E3279" s="38">
        <v>2.0</v>
      </c>
      <c r="F3279" s="38">
        <v>12.0</v>
      </c>
      <c r="G3279" s="11">
        <v>81916.0</v>
      </c>
      <c r="H3279" s="34" t="str">
        <f>IFERROR(__xludf.DUMMYFUNCTION("LOWER(REGEXREPLACE(B3279&amp;"" ""&amp;C3279,""[^а-яa-z0-9 ]"","" ""))"),"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1"&amp;"  1 сорт   ромка     толщиной 2мм   репление каркаса к столешнице при помощи саморезов   аркас  труба профильная d 60  покрытие полимерно порошковое цвет ")</f>
        <v>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80">
      <c r="A3280" s="35" t="s">
        <v>7822</v>
      </c>
      <c r="B3280" s="31" t="s">
        <v>7823</v>
      </c>
      <c r="C3280" s="31" t="s">
        <v>7824</v>
      </c>
      <c r="D3280" s="37" t="s">
        <v>14</v>
      </c>
      <c r="E3280" s="38">
        <v>2.0</v>
      </c>
      <c r="F3280" s="39">
        <v>17.9</v>
      </c>
      <c r="G3280" s="11">
        <v>29188.0</v>
      </c>
      <c r="H3280" s="34" t="str">
        <f>IFERROR(__xludf.DUMMYFUNCTION("LOWER(REGEXREPLACE(B3280&amp;"" ""&amp;C3280,""[^а-яa-z0-9 ]"","" ""))"),"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тр"&amp;"убе   редусмотрены крючки для сумок   егулировка высоты осуществляется в соответствие с ростовой группой  1 4  460 520 580 640мм   4 6  640 700 760мм   5 7  700 760 820мм")</f>
        <v>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трубе   редусмотрены крючки для сумок   егулировка высоты осуществляется в соответствие с ростовой группой  1 4  460 520 580 640мм   4 6  640 700 760мм   5 7  700 760 820мм</v>
      </c>
    </row>
    <row r="3281">
      <c r="A3281" s="35" t="s">
        <v>7825</v>
      </c>
      <c r="B3281" s="9" t="s">
        <v>7826</v>
      </c>
      <c r="C3281" s="31" t="s">
        <v>7827</v>
      </c>
      <c r="D3281" s="37" t="s">
        <v>14</v>
      </c>
      <c r="E3281" s="38">
        <v>2.0</v>
      </c>
      <c r="F3281" s="39">
        <v>20.6</v>
      </c>
      <c r="G3281" s="11">
        <v>44505.0</v>
      </c>
      <c r="H3281" s="34" t="str">
        <f>IFERROR(__xludf.DUMMYFUNCTION("LOWER(REGEXREPLACE(B3281&amp;"" ""&amp;C3281,""[^а-яa-z0-9 ]"","" ""))"),"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ак"&amp;"лон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f>
        <v>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v>
      </c>
    </row>
    <row r="3282">
      <c r="A3282" s="35" t="s">
        <v>7828</v>
      </c>
      <c r="B3282" s="31" t="s">
        <v>7829</v>
      </c>
      <c r="C3282" s="31" t="s">
        <v>7830</v>
      </c>
      <c r="D3282" s="37" t="s">
        <v>14</v>
      </c>
      <c r="E3282" s="38">
        <v>2.0</v>
      </c>
      <c r="F3282" s="39">
        <v>17.8</v>
      </c>
      <c r="G3282" s="11">
        <v>37839.0</v>
      </c>
      <c r="H3282" s="34" t="str">
        <f>IFERROR(__xludf.DUMMYFUNCTION("LOWER(REGEXREPLACE(B3282&amp;"" ""&amp;C3282,""[^а-яa-z0-9 ]"","" ""))"),"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вы"&amp;"полненную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облицов"&amp;"ана кромкой     2 мм   се углы закруглены ")</f>
        <v>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облицована кромкой     2 мм   се углы закруглены </v>
      </c>
    </row>
    <row r="3283">
      <c r="A3283" s="35" t="s">
        <v>7831</v>
      </c>
      <c r="B3283" s="31" t="s">
        <v>7832</v>
      </c>
      <c r="C3283" s="31" t="s">
        <v>7833</v>
      </c>
      <c r="D3283" s="37" t="s">
        <v>14</v>
      </c>
      <c r="E3283" s="38">
        <v>2.0</v>
      </c>
      <c r="F3283" s="38">
        <v>27.0</v>
      </c>
      <c r="G3283" s="11">
        <v>56156.0</v>
      </c>
      <c r="H3283" s="34" t="str">
        <f>IFERROR(__xludf.DUMMYFUNCTION("LOWER(REGEXREPLACE(B3283&amp;"" ""&amp;C3283,""[^а-яa-z0-9 ]"","" ""))"),"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"&amp;"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есткость"&amp;"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телес"&amp;"копически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"&amp;"тол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4">
      <c r="A3284" s="35" t="s">
        <v>7834</v>
      </c>
      <c r="B3284" s="31" t="s">
        <v>7835</v>
      </c>
      <c r="C3284" s="31" t="s">
        <v>7836</v>
      </c>
      <c r="D3284" s="37" t="s">
        <v>14</v>
      </c>
      <c r="E3284" s="38">
        <v>2.0</v>
      </c>
      <c r="F3284" s="38">
        <v>26.0</v>
      </c>
      <c r="G3284" s="11">
        <v>44408.0</v>
      </c>
      <c r="H3284" s="34" t="str">
        <f>IFERROR(__xludf.DUMMYFUNCTION("LOWER(REGEXREPLACE(B3284&amp;"" ""&amp;C3284,""[^а-яa-z0-9 ]"","" ""))"),"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"&amp;"6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во"&amp;"зможности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22"&amp;"мм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5">
      <c r="A3285" s="35" t="s">
        <v>7837</v>
      </c>
      <c r="B3285" s="31" t="s">
        <v>7838</v>
      </c>
      <c r="C3285" s="31" t="s">
        <v>7839</v>
      </c>
      <c r="D3285" s="37" t="s">
        <v>14</v>
      </c>
      <c r="E3285" s="38">
        <v>2.0</v>
      </c>
      <c r="F3285" s="38">
        <v>24.0</v>
      </c>
      <c r="G3285" s="11">
        <v>48624.0</v>
      </c>
      <c r="H3285" s="34" t="str">
        <f>IFERROR(__xludf.DUMMYFUNCTION("LOWER(REGEXREPLACE(B3285&amp;"" ""&amp;C3285,""[^а-яa-z0-9 ]"","" ""))"),"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22"&amp;"мм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сече"&amp;"ния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футорк"&amp;"ами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по"&amp;" запросу заказчика ")</f>
        <v>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86">
      <c r="A3286" s="35" t="s">
        <v>7840</v>
      </c>
      <c r="B3286" s="31" t="s">
        <v>7841</v>
      </c>
      <c r="C3286" s="31" t="s">
        <v>7842</v>
      </c>
      <c r="D3286" s="37" t="s">
        <v>14</v>
      </c>
      <c r="E3286" s="38">
        <v>2.0</v>
      </c>
      <c r="F3286" s="38">
        <v>32.0</v>
      </c>
      <c r="G3286" s="11">
        <v>64022.0</v>
      </c>
      <c r="H3286" s="34" t="str">
        <f>IFERROR(__xludf.DUMMYFUNCTION("LOWER(REGEXREPLACE(B3286&amp;"" ""&amp;C3286,""[^а-яa-z0-9 ]"","" ""))"),"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"&amp;"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и"&amp;"з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прис"&amp;"пособления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егулиро"&amp;"вка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е"&amp;"вровинтов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омплектуе"&amp;"тся по запросу заказчика ")</f>
        <v>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7">
      <c r="A3287" s="35" t="s">
        <v>7843</v>
      </c>
      <c r="B3287" s="31" t="s">
        <v>7844</v>
      </c>
      <c r="C3287" s="31" t="s">
        <v>7845</v>
      </c>
      <c r="D3287" s="37" t="s">
        <v>14</v>
      </c>
      <c r="E3287" s="38">
        <v>2.0</v>
      </c>
      <c r="F3287" s="38">
        <v>21.0</v>
      </c>
      <c r="G3287" s="11">
        <v>61122.0</v>
      </c>
      <c r="H3287" s="34" t="str">
        <f>IFERROR(__xludf.DUMMYFUNCTION("LOWER(REGEXREPLACE(B3287&amp;"" ""&amp;C3287,""[^а-яa-z0-9 ]"","" ""))"),"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"&amp;"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1100х520х70"&amp;"0мм")</f>
        <v>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1100х520х700мм</v>
      </c>
    </row>
    <row r="3288">
      <c r="A3288" s="35" t="s">
        <v>7846</v>
      </c>
      <c r="B3288" s="31" t="s">
        <v>7847</v>
      </c>
      <c r="C3288" s="31" t="s">
        <v>7848</v>
      </c>
      <c r="D3288" s="37" t="s">
        <v>14</v>
      </c>
      <c r="E3288" s="38">
        <v>2.0</v>
      </c>
      <c r="F3288" s="38">
        <v>21.0</v>
      </c>
      <c r="G3288" s="11">
        <v>30396.0</v>
      </c>
      <c r="H3288" s="34" t="str">
        <f>IFERROR(__xludf.DUMMYFUNCTION("LOWER(REGEXREPLACE(B3288&amp;"" ""&amp;C3288,""[^а-яa-z0-9 ]"","" ""))"),"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верхн"&amp;"ей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то"&amp;"лщиной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пл"&amp;"астины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бо"&amp;"лтами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пол"&amp;"иэтилена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каркас"&amp;" должен иметь полимерное покрытие   толешница крепиться к каркасу методом скрытого соединения ")</f>
        <v>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89">
      <c r="A3289" s="35" t="s">
        <v>7849</v>
      </c>
      <c r="B3289" s="31" t="s">
        <v>7850</v>
      </c>
      <c r="C3289" s="31" t="s">
        <v>7851</v>
      </c>
      <c r="D3289" s="37" t="s">
        <v>14</v>
      </c>
      <c r="E3289" s="38">
        <v>2.0</v>
      </c>
      <c r="F3289" s="38">
        <v>19.0</v>
      </c>
      <c r="G3289" s="11">
        <v>34718.0</v>
      </c>
      <c r="H3289" s="34" t="str">
        <f>IFERROR(__xludf.DUMMYFUNCTION("LOWER(REGEXREPLACE(B3289&amp;"" ""&amp;C3289,""[^а-яa-z0-9 ]"","" ""))"),"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из"&amp;"готовлена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фас"&amp;"адной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д"&amp;"вух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"&amp;"помощью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"&amp;"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"&amp;"подпятник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f>
        <v>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v>
      </c>
    </row>
    <row r="3290">
      <c r="A3290" s="35" t="s">
        <v>7852</v>
      </c>
      <c r="B3290" s="31" t="s">
        <v>7853</v>
      </c>
      <c r="C3290" s="31" t="s">
        <v>7854</v>
      </c>
      <c r="D3290" s="37" t="s">
        <v>14</v>
      </c>
      <c r="E3290" s="38">
        <v>2.0</v>
      </c>
      <c r="F3290" s="38">
        <v>19.0</v>
      </c>
      <c r="G3290" s="11">
        <v>39048.0</v>
      </c>
      <c r="H3290" s="34" t="str">
        <f>IFERROR(__xludf.DUMMYFUNCTION("LOWER(REGEXREPLACE(B3290&amp;"" ""&amp;C3290,""[^а-яa-z0-9 ]"","" ""))"),"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металли"&amp;"ческого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гнуто"&amp;"й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плас"&amp;"тиковые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исп"&amp;"ользуются металлические пластины   еталлический каркас окрашен эпоксидно полиэфирной порошковой краской   вет по согласованию с заказчиком по каталогу     ")</f>
        <v>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используются металлические пластины   еталлический каркас окрашен эпоксидно полиэфирной порошковой краской   вет по согласованию с заказчиком по каталогу     </v>
      </c>
    </row>
    <row r="3291">
      <c r="A3291" s="35" t="s">
        <v>7855</v>
      </c>
      <c r="B3291" s="31" t="s">
        <v>7856</v>
      </c>
      <c r="C3291" s="31" t="s">
        <v>7857</v>
      </c>
      <c r="D3291" s="37" t="s">
        <v>14</v>
      </c>
      <c r="E3291" s="38">
        <v>2.0</v>
      </c>
      <c r="F3291" s="38">
        <v>25.0</v>
      </c>
      <c r="G3291" s="11">
        <v>39072.0</v>
      </c>
      <c r="H3291" s="34" t="str">
        <f>IFERROR(__xludf.DUMMYFUNCTION("LOWER(REGEXREPLACE(B3291&amp;"" ""&amp;C3291,""[^а-яa-z0-9 ]"","" ""))"),"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пол"&amp;"ом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им"&amp;"еть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р"&amp;"асполагаться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прямоуг"&amp;"ольников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компе"&amp;"нсации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"&amp;"быть с полимерным покрытием ")</f>
        <v>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быть с полимерным покрытием </v>
      </c>
    </row>
    <row r="3292">
      <c r="A3292" s="35" t="s">
        <v>7858</v>
      </c>
      <c r="B3292" s="31" t="s">
        <v>7859</v>
      </c>
      <c r="C3292" s="31"/>
      <c r="D3292" s="37" t="s">
        <v>14</v>
      </c>
      <c r="E3292" s="10"/>
      <c r="F3292" s="36"/>
      <c r="G3292" s="11"/>
      <c r="H3292" s="34" t="str">
        <f>IFERROR(__xludf.DUMMYFUNCTION("LOWER(REGEXREPLACE(B3292&amp;"" ""&amp;C3292,""[^а-яa-z0-9 ]"","" ""))")," тол ученический лабораторный без раковины ")</f>
        <v> тол ученический лабораторный без раковины </v>
      </c>
    </row>
    <row r="3293">
      <c r="A3293" s="35" t="s">
        <v>7860</v>
      </c>
      <c r="B3293" s="9" t="s">
        <v>7861</v>
      </c>
      <c r="C3293" s="31" t="s">
        <v>7862</v>
      </c>
      <c r="D3293" s="37" t="s">
        <v>14</v>
      </c>
      <c r="E3293" s="10"/>
      <c r="F3293" s="38">
        <v>40.0</v>
      </c>
      <c r="G3293" s="11">
        <v>364211.0</v>
      </c>
      <c r="H3293" s="34" t="str">
        <f>IFERROR(__xludf.DUMMYFUNCTION("LOWER(REGEXREPLACE(B3293&amp;"" ""&amp;C3293,""[^а-яa-z0-9 ]"","" ""))"),"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1200х750х750м"&amp;"м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1200х750х7"&amp;"50мм ")</f>
        <v>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v>
      </c>
    </row>
    <row r="3294">
      <c r="A3294" s="35" t="s">
        <v>7863</v>
      </c>
      <c r="B3294" s="9" t="s">
        <v>7864</v>
      </c>
      <c r="C3294" s="31" t="s">
        <v>7865</v>
      </c>
      <c r="D3294" s="37" t="s">
        <v>14</v>
      </c>
      <c r="E3294" s="38">
        <v>2.0</v>
      </c>
      <c r="F3294" s="38">
        <v>19.0</v>
      </c>
      <c r="G3294" s="11">
        <v>170301.0</v>
      </c>
      <c r="H3294" s="34" t="str">
        <f>IFERROR(__xludf.DUMMYFUNCTION("LOWER(REGEXREPLACE(B3294&amp;"" ""&amp;C3294,""[^а-яa-z0-9 ]"","" ""))"),"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пл"&amp;"астика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f>
        <v>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v>
      </c>
    </row>
    <row r="3295">
      <c r="A3295" s="35" t="s">
        <v>7866</v>
      </c>
      <c r="B3295" s="31" t="s">
        <v>7867</v>
      </c>
      <c r="C3295" s="31" t="s">
        <v>7868</v>
      </c>
      <c r="D3295" s="37" t="s">
        <v>14</v>
      </c>
      <c r="E3295" s="38">
        <v>2.0</v>
      </c>
      <c r="F3295" s="38">
        <v>26.0</v>
      </c>
      <c r="G3295" s="11">
        <v>117008.0</v>
      </c>
      <c r="H3295" s="34" t="str">
        <f>IFERROR(__xludf.DUMMYFUNCTION("LOWER(REGEXREPLACE(B3295&amp;"" ""&amp;C3295,""[^а-яa-z0-9 ]"","" ""))"),"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ате"&amp;"риал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соб"&amp;"ой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"&amp;"подпятники для компенсации неровностей пола    столу подведены розетки   56 с защитной шторкой ")</f>
        <v>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розетки   56 с защитной шторкой </v>
      </c>
    </row>
    <row r="3296">
      <c r="A3296" s="35" t="s">
        <v>7869</v>
      </c>
      <c r="B3296" s="9" t="s">
        <v>7870</v>
      </c>
      <c r="C3296" s="31" t="s">
        <v>7871</v>
      </c>
      <c r="D3296" s="37" t="s">
        <v>14</v>
      </c>
      <c r="E3296" s="38">
        <v>2.0</v>
      </c>
      <c r="F3296" s="38">
        <v>27.0</v>
      </c>
      <c r="G3296" s="11">
        <v>195250.0</v>
      </c>
      <c r="H3296" s="34" t="str">
        <f>IFERROR(__xludf.DUMMYFUNCTION("LOWER(REGEXREPLACE(B3296&amp;"" ""&amp;C3296,""[^а-яa-z0-9 ]"","" ""))"),"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22"&amp;"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f>
        <v>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v>
      </c>
    </row>
    <row r="3297">
      <c r="A3297" s="35" t="s">
        <v>7872</v>
      </c>
      <c r="B3297" s="31" t="s">
        <v>7873</v>
      </c>
      <c r="C3297" s="31" t="s">
        <v>7874</v>
      </c>
      <c r="D3297" s="37" t="s">
        <v>14</v>
      </c>
      <c r="E3297" s="38">
        <v>2.0</v>
      </c>
      <c r="F3297" s="38">
        <v>62.0</v>
      </c>
      <c r="G3297" s="11">
        <v>122544.0</v>
      </c>
      <c r="H3297" s="34" t="str">
        <f>IFERROR(__xludf.DUMMYFUNCTION("LOWER(REGEXREPLACE(B3297&amp;"" ""&amp;C3297,""[^а-яa-z0-9 ]"","" ""))"),"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из"&amp;"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"&amp;"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сос"&amp;"тоит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f>
        <v>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v>
      </c>
    </row>
    <row r="3298">
      <c r="A3298" s="35" t="s">
        <v>7875</v>
      </c>
      <c r="B3298" s="31" t="s">
        <v>7876</v>
      </c>
      <c r="C3298" s="31" t="s">
        <v>7877</v>
      </c>
      <c r="D3298" s="37" t="s">
        <v>14</v>
      </c>
      <c r="E3298" s="38">
        <v>2.0</v>
      </c>
      <c r="F3298" s="38">
        <v>62.0</v>
      </c>
      <c r="G3298" s="11">
        <v>262113.0</v>
      </c>
      <c r="H3298" s="34" t="str">
        <f>IFERROR(__xludf.DUMMYFUNCTION("LOWER(REGEXREPLACE(B3298&amp;"" ""&amp;C3298,""[^а-яa-z0-9 ]"","" ""))"),"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и"&amp;"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пл"&amp;"астиковые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f>
        <v>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v>
      </c>
    </row>
    <row r="3299">
      <c r="A3299" s="35" t="s">
        <v>7878</v>
      </c>
      <c r="B3299" s="31" t="s">
        <v>7879</v>
      </c>
      <c r="C3299" s="31" t="s">
        <v>7880</v>
      </c>
      <c r="D3299" s="37" t="s">
        <v>14</v>
      </c>
      <c r="E3299" s="38">
        <v>2.0</v>
      </c>
      <c r="F3299" s="38">
        <v>57.0</v>
      </c>
      <c r="G3299" s="11">
        <v>94627.0</v>
      </c>
      <c r="H3299" s="34" t="str">
        <f>IFERROR(__xludf.DUMMYFUNCTION("LOWER(REGEXREPLACE(B3299&amp;"" ""&amp;C3299,""[^а-яa-z0-9 ]"","" ""))"),"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7"&amp;"60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самор"&amp;"езами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представлять"&amp;"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сече"&amp;"ния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"&amp;"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f>
        <v>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v>
      </c>
    </row>
    <row r="3300">
      <c r="A3300" s="35" t="s">
        <v>7881</v>
      </c>
      <c r="B3300" s="31" t="s">
        <v>7882</v>
      </c>
      <c r="C3300" s="31" t="s">
        <v>7883</v>
      </c>
      <c r="D3300" s="37" t="s">
        <v>14</v>
      </c>
      <c r="E3300" s="38">
        <v>2.0</v>
      </c>
      <c r="F3300" s="38">
        <v>75.0</v>
      </c>
      <c r="G3300" s="11">
        <v>111154.0</v>
      </c>
      <c r="H3300" s="34" t="str">
        <f>IFERROR(__xludf.DUMMYFUNCTION("LOWER(REGEXREPLACE(B3300&amp;"" ""&amp;C3300,""[^а-яa-z0-9 ]"","" ""))"),"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уровн"&amp;"ем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к"&amp;"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каркас"&amp;"а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труб"&amp;"ы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1110"&amp;"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неровнос"&amp;"тей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"&amp;"болтового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1"&amp;"6 мм   орцы полок должны быть отделаны кромкой     толщиной не менее 0 4 мм   олки должны крепиться к металлокаркасу саморезами методом скрытого соединения ")</f>
        <v>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16 мм   орцы полок должны быть отделаны кромкой     толщиной не менее 0 4 мм   олки должны крепиться к металлокаркасу саморезами методом скрытого соединения </v>
      </c>
    </row>
    <row r="3301">
      <c r="A3301" s="35" t="s">
        <v>7884</v>
      </c>
      <c r="B3301" s="31" t="s">
        <v>7885</v>
      </c>
      <c r="C3301" s="31"/>
      <c r="D3301" s="37" t="s">
        <v>14</v>
      </c>
      <c r="E3301" s="10"/>
      <c r="F3301" s="36"/>
      <c r="G3301" s="11"/>
      <c r="H3301" s="34" t="str">
        <f>IFERROR(__xludf.DUMMYFUNCTION("LOWER(REGEXREPLACE(B3301&amp;"" ""&amp;C3301,""[^а-яa-z0-9 ]"","" ""))")," тол для кабинета ")</f>
        <v> тол для кабинета </v>
      </c>
    </row>
    <row r="3302">
      <c r="A3302" s="35" t="s">
        <v>7886</v>
      </c>
      <c r="B3302" s="31" t="s">
        <v>7887</v>
      </c>
      <c r="C3302" s="31"/>
      <c r="D3302" s="37" t="s">
        <v>14</v>
      </c>
      <c r="E3302" s="10"/>
      <c r="F3302" s="36"/>
      <c r="G3302" s="11">
        <v>102762.0</v>
      </c>
      <c r="H3302" s="34" t="str">
        <f>IFERROR(__xludf.DUMMYFUNCTION("LOWER(REGEXREPLACE(B3302&amp;"" ""&amp;C3302,""[^а-яa-z0-9 ]"","" ""))")," тол с бенч системой одноместный 1180х680х750 мм ")</f>
        <v> тол с бенч системой одноместный 1180х680х750 мм </v>
      </c>
    </row>
    <row r="3303">
      <c r="A3303" s="35" t="s">
        <v>7888</v>
      </c>
      <c r="B3303" s="31" t="s">
        <v>7889</v>
      </c>
      <c r="C3303" s="31"/>
      <c r="D3303" s="37" t="s">
        <v>14</v>
      </c>
      <c r="E3303" s="10"/>
      <c r="F3303" s="36"/>
      <c r="G3303" s="11">
        <v>108827.0</v>
      </c>
      <c r="H3303" s="34" t="str">
        <f>IFERROR(__xludf.DUMMYFUNCTION("LOWER(REGEXREPLACE(B3303&amp;"" ""&amp;C3303,""[^а-яa-z0-9 ]"","" ""))")," тол с бенч системой одноместный 1380х680х750 мм ")</f>
        <v> тол с бенч системой одноместный 1380х680х750 мм </v>
      </c>
    </row>
    <row r="3304">
      <c r="A3304" s="35" t="s">
        <v>7890</v>
      </c>
      <c r="B3304" s="31" t="s">
        <v>7891</v>
      </c>
      <c r="C3304" s="31"/>
      <c r="D3304" s="37" t="s">
        <v>14</v>
      </c>
      <c r="E3304" s="10"/>
      <c r="F3304" s="36"/>
      <c r="G3304" s="11">
        <v>117504.0</v>
      </c>
      <c r="H3304" s="34" t="str">
        <f>IFERROR(__xludf.DUMMYFUNCTION("LOWER(REGEXREPLACE(B3304&amp;"" ""&amp;C3304,""[^а-яa-z0-9 ]"","" ""))")," тол с бенч системой одноместный 1580х680х750 мм ")</f>
        <v> тол с бенч системой одноместный 1580х680х750 мм </v>
      </c>
    </row>
    <row r="3305">
      <c r="A3305" s="35" t="s">
        <v>7892</v>
      </c>
      <c r="B3305" s="31" t="s">
        <v>7893</v>
      </c>
      <c r="C3305" s="31"/>
      <c r="D3305" s="37" t="s">
        <v>14</v>
      </c>
      <c r="E3305" s="10"/>
      <c r="F3305" s="36"/>
      <c r="G3305" s="11">
        <v>122846.0</v>
      </c>
      <c r="H3305" s="34" t="str">
        <f>IFERROR(__xludf.DUMMYFUNCTION("LOWER(REGEXREPLACE(B3305&amp;"" ""&amp;C3305,""[^а-яa-z0-9 ]"","" ""))")," тол с бенч системой одноместный 1780х680х750 мм ")</f>
        <v> тол с бенч системой одноместный 1780х680х750 мм </v>
      </c>
    </row>
    <row r="3306">
      <c r="A3306" s="35" t="s">
        <v>7894</v>
      </c>
      <c r="B3306" s="31" t="s">
        <v>7895</v>
      </c>
      <c r="C3306" s="31"/>
      <c r="D3306" s="37" t="s">
        <v>14</v>
      </c>
      <c r="E3306" s="10"/>
      <c r="F3306" s="36"/>
      <c r="G3306" s="11">
        <v>109123.0</v>
      </c>
      <c r="H3306" s="34" t="str">
        <f>IFERROR(__xludf.DUMMYFUNCTION("LOWER(REGEXREPLACE(B3306&amp;"" ""&amp;C3306,""[^а-яa-z0-9 ]"","" ""))")," тол с бенч системой одноместный 1180х780х750 мм ")</f>
        <v> тол с бенч системой одноместный 1180х780х750 мм </v>
      </c>
    </row>
    <row r="3307">
      <c r="A3307" s="35" t="s">
        <v>7896</v>
      </c>
      <c r="B3307" s="31" t="s">
        <v>7897</v>
      </c>
      <c r="C3307" s="31"/>
      <c r="D3307" s="37" t="s">
        <v>14</v>
      </c>
      <c r="E3307" s="10"/>
      <c r="F3307" s="36"/>
      <c r="G3307" s="11">
        <v>114683.0</v>
      </c>
      <c r="H3307" s="34" t="str">
        <f>IFERROR(__xludf.DUMMYFUNCTION("LOWER(REGEXREPLACE(B3307&amp;"" ""&amp;C3307,""[^а-яa-z0-9 ]"","" ""))")," тол с бенч системой одноместный 1380х780х750 мм ")</f>
        <v> тол с бенч системой одноместный 1380х780х750 мм </v>
      </c>
    </row>
    <row r="3308">
      <c r="A3308" s="35" t="s">
        <v>7898</v>
      </c>
      <c r="B3308" s="31" t="s">
        <v>7899</v>
      </c>
      <c r="C3308" s="31"/>
      <c r="D3308" s="37" t="s">
        <v>14</v>
      </c>
      <c r="E3308" s="10"/>
      <c r="F3308" s="36"/>
      <c r="G3308" s="11">
        <v>123689.0</v>
      </c>
      <c r="H3308" s="34" t="str">
        <f>IFERROR(__xludf.DUMMYFUNCTION("LOWER(REGEXREPLACE(B3308&amp;"" ""&amp;C3308,""[^а-яa-z0-9 ]"","" ""))")," тол с бенч системой одноместный 1580х780х750 мм ")</f>
        <v> тол с бенч системой одноместный 1580х780х750 мм </v>
      </c>
    </row>
    <row r="3309">
      <c r="A3309" s="35" t="s">
        <v>7900</v>
      </c>
      <c r="B3309" s="31" t="s">
        <v>7901</v>
      </c>
      <c r="C3309" s="31"/>
      <c r="D3309" s="37" t="s">
        <v>14</v>
      </c>
      <c r="E3309" s="10"/>
      <c r="F3309" s="36"/>
      <c r="G3309" s="11">
        <v>129527.0</v>
      </c>
      <c r="H3309" s="34" t="str">
        <f>IFERROR(__xludf.DUMMYFUNCTION("LOWER(REGEXREPLACE(B3309&amp;"" ""&amp;C3309,""[^а-яa-z0-9 ]"","" ""))")," тол с бенч системой одноместный 1780х780х750 мм ")</f>
        <v> тол с бенч системой одноместный 1780х780х750 мм </v>
      </c>
    </row>
    <row r="3310">
      <c r="A3310" s="35" t="s">
        <v>7902</v>
      </c>
      <c r="B3310" s="31" t="s">
        <v>7903</v>
      </c>
      <c r="C3310" s="31"/>
      <c r="D3310" s="37" t="s">
        <v>14</v>
      </c>
      <c r="E3310" s="10"/>
      <c r="F3310" s="36"/>
      <c r="G3310" s="11">
        <v>165567.0</v>
      </c>
      <c r="H3310" s="34" t="str">
        <f>IFERROR(__xludf.DUMMYFUNCTION("LOWER(REGEXREPLACE(B3310&amp;"" ""&amp;C3310,""[^а-яa-z0-9 ]"","" ""))")," тол с бенч системой 2 х местный 1180х1380х750 мм ")</f>
        <v> тол с бенч системой 2 х местный 1180х1380х750 мм </v>
      </c>
    </row>
    <row r="3311">
      <c r="A3311" s="35" t="s">
        <v>7904</v>
      </c>
      <c r="B3311" s="31" t="s">
        <v>7905</v>
      </c>
      <c r="C3311" s="31"/>
      <c r="D3311" s="37" t="s">
        <v>14</v>
      </c>
      <c r="E3311" s="10"/>
      <c r="F3311" s="36"/>
      <c r="G3311" s="11">
        <v>185268.0</v>
      </c>
      <c r="H3311" s="34" t="str">
        <f>IFERROR(__xludf.DUMMYFUNCTION("LOWER(REGEXREPLACE(B3311&amp;"" ""&amp;C3311,""[^а-яa-z0-9 ]"","" ""))")," тол с бенч системой 2 х местный 1380х1380х750 мм ")</f>
        <v> тол с бенч системой 2 х местный 1380х1380х750 мм </v>
      </c>
    </row>
    <row r="3312">
      <c r="A3312" s="35" t="s">
        <v>7906</v>
      </c>
      <c r="B3312" s="31" t="s">
        <v>7907</v>
      </c>
      <c r="C3312" s="31"/>
      <c r="D3312" s="37" t="s">
        <v>14</v>
      </c>
      <c r="E3312" s="10"/>
      <c r="F3312" s="36"/>
      <c r="G3312" s="11">
        <v>309657.0</v>
      </c>
      <c r="H3312" s="34" t="str">
        <f>IFERROR(__xludf.DUMMYFUNCTION("LOWER(REGEXREPLACE(B3312&amp;"" ""&amp;C3312,""[^а-яa-z0-9 ]"","" ""))")," тол с бенч системой 4 х местный 2360х1380х750 мм ")</f>
        <v> тол с бенч системой 4 х местный 2360х1380х750 мм </v>
      </c>
    </row>
    <row r="3313">
      <c r="A3313" s="35" t="s">
        <v>7908</v>
      </c>
      <c r="B3313" s="31" t="s">
        <v>7909</v>
      </c>
      <c r="C3313" s="31"/>
      <c r="D3313" s="37" t="s">
        <v>14</v>
      </c>
      <c r="E3313" s="10"/>
      <c r="F3313" s="36"/>
      <c r="G3313" s="11">
        <v>345411.0</v>
      </c>
      <c r="H3313" s="34" t="str">
        <f>IFERROR(__xludf.DUMMYFUNCTION("LOWER(REGEXREPLACE(B3313&amp;"" ""&amp;C3313,""[^а-яa-z0-9 ]"","" ""))")," тол с бенч системой 4 х местный 2760х1380х750 мм ")</f>
        <v> тол с бенч системой 4 х местный 2760х1380х750 мм </v>
      </c>
    </row>
    <row r="3314">
      <c r="A3314" s="35" t="s">
        <v>7910</v>
      </c>
      <c r="B3314" s="31" t="s">
        <v>7911</v>
      </c>
      <c r="C3314" s="31"/>
      <c r="D3314" s="37" t="s">
        <v>14</v>
      </c>
      <c r="E3314" s="10"/>
      <c r="F3314" s="36"/>
      <c r="G3314" s="11">
        <v>451975.0</v>
      </c>
      <c r="H3314" s="34" t="str">
        <f>IFERROR(__xludf.DUMMYFUNCTION("LOWER(REGEXREPLACE(B3314&amp;"" ""&amp;C3314,""[^а-яa-z0-9 ]"","" ""))")," тол с бенч системой 6 ти местный 3540х1380х750 мм ")</f>
        <v> тол с бенч системой 6 ти местный 3540х1380х750 мм </v>
      </c>
    </row>
    <row r="3315">
      <c r="A3315" s="35" t="s">
        <v>7912</v>
      </c>
      <c r="B3315" s="31" t="s">
        <v>7913</v>
      </c>
      <c r="C3315" s="31"/>
      <c r="D3315" s="37" t="s">
        <v>14</v>
      </c>
      <c r="E3315" s="10"/>
      <c r="F3315" s="36"/>
      <c r="G3315" s="11">
        <v>504771.0</v>
      </c>
      <c r="H3315" s="34" t="str">
        <f>IFERROR(__xludf.DUMMYFUNCTION("LOWER(REGEXREPLACE(B3315&amp;"" ""&amp;C3315,""[^а-яa-z0-9 ]"","" ""))")," тол с бенч системой 6 ти местный 4140х1380х750 мм ")</f>
        <v> тол с бенч системой 6 ти местный 4140х1380х750 мм </v>
      </c>
    </row>
    <row r="3316">
      <c r="A3316" s="35" t="s">
        <v>7914</v>
      </c>
      <c r="B3316" s="31" t="s">
        <v>7915</v>
      </c>
      <c r="C3316" s="31" t="s">
        <v>7916</v>
      </c>
      <c r="D3316" s="37" t="s">
        <v>14</v>
      </c>
      <c r="E3316" s="38">
        <v>2.0</v>
      </c>
      <c r="F3316" s="39">
        <v>16.1</v>
      </c>
      <c r="G3316" s="11">
        <v>20350.0</v>
      </c>
      <c r="H3316" s="34" t="str">
        <f>IFERROR(__xludf.DUMMYFUNCTION("LOWER(REGEXREPLACE(B3316&amp;"" ""&amp;C3316,""[^а-яa-z0-9 ]"","" ""))")," гловой сегмент 700х700х750мм       16мм  толешница из      16мм  каркас выполнен из      ированной     16мм   орцы облицованы  кромкой     толщиной 2мм ")</f>
        <v> гловой сегмент 700х700х750мм       16мм  толешница из      16мм  каркас выполнен из      ированной     16мм   орцы облицованы  кромкой     толщиной 2мм </v>
      </c>
    </row>
    <row r="3317">
      <c r="A3317" s="35" t="s">
        <v>7917</v>
      </c>
      <c r="B3317" s="9" t="s">
        <v>7918</v>
      </c>
      <c r="C3317" s="31" t="s">
        <v>7919</v>
      </c>
      <c r="D3317" s="37" t="s">
        <v>14</v>
      </c>
      <c r="E3317" s="38">
        <v>2.0</v>
      </c>
      <c r="F3317" s="39">
        <v>49.1</v>
      </c>
      <c r="G3317" s="11">
        <v>53876.0</v>
      </c>
      <c r="H3317" s="34" t="str">
        <f>IFERROR(__xludf.DUMMYFUNCTION("LOWER(REGEXREPLACE(B3317&amp;"" ""&amp;C3317,""[^а-яa-z0-9 ]"","" ""))"),"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ша"&amp;"риковых направляющих  зеркало 1100х450мм  ручки металлические ")</f>
        <v>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шариковых направляющих  зеркало 1100х450мм  ручки металлические </v>
      </c>
    </row>
    <row r="3318">
      <c r="A3318" s="35" t="s">
        <v>7920</v>
      </c>
      <c r="B3318" s="31" t="s">
        <v>7921</v>
      </c>
      <c r="C3318" s="31" t="s">
        <v>7922</v>
      </c>
      <c r="D3318" s="37" t="s">
        <v>14</v>
      </c>
      <c r="E3318" s="38">
        <v>2.0</v>
      </c>
      <c r="F3318" s="38">
        <v>34.0</v>
      </c>
      <c r="G3318" s="11">
        <v>92216.0</v>
      </c>
      <c r="H3318" s="34" t="str">
        <f>IFERROR(__xludf.DUMMYFUNCTION("LOWER(REGEXREPLACE(B3318&amp;"" ""&amp;C3318,""[^а-яa-z0-9 ]"","" ""))"),"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зерк"&amp;"ала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3319">
      <c r="A3319" s="35" t="s">
        <v>7923</v>
      </c>
      <c r="B3319" s="31" t="s">
        <v>7924</v>
      </c>
      <c r="C3319" s="31"/>
      <c r="D3319" s="37" t="s">
        <v>14</v>
      </c>
      <c r="E3319" s="10"/>
      <c r="F3319" s="36"/>
      <c r="G3319" s="11"/>
      <c r="H3319" s="34" t="str">
        <f>IFERROR(__xludf.DUMMYFUNCTION("LOWER(REGEXREPLACE(B3319&amp;"" ""&amp;C3319,""[^а-яa-z0-9 ]"","" ""))")," тол читательский рабочий ")</f>
        <v> тол читательский рабочий </v>
      </c>
    </row>
    <row r="3320">
      <c r="A3320" s="35" t="s">
        <v>7925</v>
      </c>
      <c r="B3320" s="31" t="s">
        <v>7926</v>
      </c>
      <c r="C3320" s="31" t="s">
        <v>7927</v>
      </c>
      <c r="D3320" s="37" t="s">
        <v>14</v>
      </c>
      <c r="E3320" s="38">
        <v>2.0</v>
      </c>
      <c r="F3320" s="38">
        <v>51.0</v>
      </c>
      <c r="G3320" s="11">
        <v>33815.0</v>
      </c>
      <c r="H3320" s="34" t="str">
        <f>IFERROR(__xludf.DUMMYFUNCTION("LOWER(REGEXREPLACE(B3320&amp;"" ""&amp;C3320,""[^а-яa-z0-9 ]"","" ""))"),"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f>
        <v>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v>
      </c>
    </row>
    <row r="3321">
      <c r="A3321" s="35" t="s">
        <v>7928</v>
      </c>
      <c r="B3321" s="31" t="s">
        <v>7929</v>
      </c>
      <c r="C3321" s="31" t="s">
        <v>7930</v>
      </c>
      <c r="D3321" s="37" t="s">
        <v>14</v>
      </c>
      <c r="E3321" s="38">
        <v>2.0</v>
      </c>
      <c r="F3321" s="38">
        <v>32.0</v>
      </c>
      <c r="G3321" s="11">
        <v>31664.0</v>
      </c>
      <c r="H3321" s="34" t="str">
        <f>IFERROR(__xludf.DUMMYFUNCTION("LOWER(REGEXREPLACE(B3321&amp;"" ""&amp;C3321,""[^а-яa-z0-9 ]"","" ""))"),"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матер"&amp;"иалом     не менее 1 0 мм ")</f>
        <v>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материалом     не менее 1 0 мм </v>
      </c>
    </row>
    <row r="3322">
      <c r="A3322" s="35" t="s">
        <v>7931</v>
      </c>
      <c r="B3322" s="31" t="s">
        <v>7932</v>
      </c>
      <c r="C3322" s="31" t="s">
        <v>7933</v>
      </c>
      <c r="D3322" s="37" t="s">
        <v>14</v>
      </c>
      <c r="E3322" s="38">
        <v>2.0</v>
      </c>
      <c r="F3322" s="38">
        <v>53.0</v>
      </c>
      <c r="G3322" s="11">
        <v>132221.0</v>
      </c>
      <c r="H3322" s="34" t="str">
        <f>IFERROR(__xludf.DUMMYFUNCTION("LOWER(REGEXREPLACE(B3322&amp;"" ""&amp;C3322,""[^а-яa-z0-9 ]"","" ""))"),"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вну"&amp;"тренней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д"&amp;"ля возможности подведения электрического и интернет кабеля    столе отверстие для провода на каждого пользователя ")</f>
        <v>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для возможности подведения электрического и интернет кабеля    столе отверстие для провода на каждого пользователя </v>
      </c>
    </row>
    <row r="3323">
      <c r="A3323" s="35" t="s">
        <v>7934</v>
      </c>
      <c r="B3323" s="31" t="s">
        <v>7935</v>
      </c>
      <c r="C3323" s="31"/>
      <c r="D3323" s="37" t="s">
        <v>14</v>
      </c>
      <c r="E3323" s="10"/>
      <c r="F3323" s="36"/>
      <c r="G3323" s="11"/>
      <c r="H3323" s="34" t="str">
        <f>IFERROR(__xludf.DUMMYFUNCTION("LOWER(REGEXREPLACE(B3323&amp;"" ""&amp;C3323,""[^а-яa-z0-9 ]"","" ""))")," тол ученический лабораторный с раковиной ")</f>
        <v> тол ученический лабораторный с раковиной </v>
      </c>
    </row>
    <row r="3324">
      <c r="A3324" s="35" t="s">
        <v>7936</v>
      </c>
      <c r="B3324" s="9" t="s">
        <v>7937</v>
      </c>
      <c r="C3324" s="31" t="s">
        <v>7938</v>
      </c>
      <c r="D3324" s="37" t="s">
        <v>14</v>
      </c>
      <c r="E3324" s="10"/>
      <c r="F3324" s="38">
        <v>58.0</v>
      </c>
      <c r="G3324" s="11">
        <v>526082.0</v>
      </c>
      <c r="H3324" s="34" t="str">
        <f>IFERROR(__xludf.DUMMYFUNCTION("LOWER(REGEXREPLACE(B3324&amp;"" ""&amp;C3324,""[^а-яa-z0-9 ]"","" ""))"),"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азме"&amp;"р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раз"&amp;"борный каркас  сталь листовая  стальные прямоугольные трубы   азмер стола 1200х750х750мм ")</f>
        <v>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v>
      </c>
    </row>
    <row r="3325">
      <c r="A3325" s="35" t="s">
        <v>7939</v>
      </c>
      <c r="B3325" s="9" t="s">
        <v>7940</v>
      </c>
      <c r="C3325" s="31" t="s">
        <v>7941</v>
      </c>
      <c r="D3325" s="37" t="s">
        <v>14</v>
      </c>
      <c r="E3325" s="38">
        <v>2.0</v>
      </c>
      <c r="F3325" s="38">
        <v>19.0</v>
      </c>
      <c r="G3325" s="11">
        <v>219728.0</v>
      </c>
      <c r="H3325" s="34" t="str">
        <f>IFERROR(__xludf.DUMMYFUNCTION("LOWER(REGEXREPLACE(B3325&amp;"" ""&amp;C3325,""[^а-яa-z0-9 ]"","" ""))"),"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"&amp;"пластика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f>
        <v>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v>
      </c>
    </row>
    <row r="3326">
      <c r="A3326" s="35" t="s">
        <v>7942</v>
      </c>
      <c r="B3326" s="9" t="s">
        <v>7943</v>
      </c>
      <c r="C3326" s="31" t="s">
        <v>7944</v>
      </c>
      <c r="D3326" s="37" t="s">
        <v>14</v>
      </c>
      <c r="E3326" s="38">
        <v>2.0</v>
      </c>
      <c r="F3326" s="38">
        <v>29.0</v>
      </c>
      <c r="G3326" s="11">
        <v>170977.0</v>
      </c>
      <c r="H3326" s="34" t="str">
        <f>IFERROR(__xludf.DUMMYFUNCTION("LOWER(REGEXREPLACE(B3326&amp;"" ""&amp;C3326,""[^а-яa-z0-9 ]"","" ""))"),"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дв"&amp;"ухместный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еталлич"&amp;"еский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"&amp;"справа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f>
        <v>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v>
      </c>
    </row>
    <row r="3327">
      <c r="A3327" s="35" t="s">
        <v>7945</v>
      </c>
      <c r="B3327" s="31" t="s">
        <v>7946</v>
      </c>
      <c r="C3327" s="31" t="s">
        <v>7947</v>
      </c>
      <c r="D3327" s="37" t="s">
        <v>14</v>
      </c>
      <c r="E3327" s="38">
        <v>2.0</v>
      </c>
      <c r="F3327" s="38">
        <v>28.0</v>
      </c>
      <c r="G3327" s="11">
        <v>215937.0</v>
      </c>
      <c r="H3327" s="34" t="str">
        <f>IFERROR(__xludf.DUMMYFUNCTION("LOWER(REGEXREPLACE(B3327&amp;"" ""&amp;C3327,""[^а-яa-z0-9 ]"","" ""))"),"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"&amp;"толщиной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кран"&amp;"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f>
        <v>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v>
      </c>
    </row>
    <row r="3328">
      <c r="A3328" s="35" t="s">
        <v>7948</v>
      </c>
      <c r="B3328" s="9" t="s">
        <v>7949</v>
      </c>
      <c r="C3328" s="31" t="s">
        <v>7950</v>
      </c>
      <c r="D3328" s="37" t="s">
        <v>14</v>
      </c>
      <c r="E3328" s="38">
        <v>2.0</v>
      </c>
      <c r="F3328" s="38">
        <v>63.0</v>
      </c>
      <c r="G3328" s="11">
        <v>178303.0</v>
      </c>
      <c r="H3328" s="34" t="str">
        <f>IFERROR(__xludf.DUMMYFUNCTION("LOWER(REGEXREPLACE(B3328&amp;"" ""&amp;C3328,""[^а-яa-z0-9 ]"","" ""))"),"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1200х600х7"&amp;"50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столеш"&amp;"ницы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каждо"&amp;"го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электриче"&amp;"ского кабеля ")</f>
        <v>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кабеля </v>
      </c>
    </row>
    <row r="3329">
      <c r="A3329" s="35" t="s">
        <v>7951</v>
      </c>
      <c r="B3329" s="31" t="s">
        <v>7952</v>
      </c>
      <c r="C3329" s="31" t="s">
        <v>7953</v>
      </c>
      <c r="D3329" s="37" t="s">
        <v>14</v>
      </c>
      <c r="E3329" s="38">
        <v>2.0</v>
      </c>
      <c r="F3329" s="38">
        <v>32.0</v>
      </c>
      <c r="G3329" s="11">
        <v>143111.0</v>
      </c>
      <c r="H3329" s="34" t="str">
        <f>IFERROR(__xludf.DUMMYFUNCTION("LOWER(REGEXREPLACE(B3329&amp;"" ""&amp;C3329,""[^а-яa-z0-9 ]"","" ""))"),"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выпол"&amp;"нена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"&amp;"и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стол"&amp;"ешницы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f>
        <v>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v>
      </c>
    </row>
    <row r="3330">
      <c r="A3330" s="35" t="s">
        <v>7954</v>
      </c>
      <c r="B3330" s="9" t="s">
        <v>7955</v>
      </c>
      <c r="C3330" s="31" t="s">
        <v>7956</v>
      </c>
      <c r="D3330" s="37" t="s">
        <v>14</v>
      </c>
      <c r="E3330" s="38">
        <v>2.0</v>
      </c>
      <c r="F3330" s="38">
        <v>43.0</v>
      </c>
      <c r="G3330" s="11">
        <v>341395.0</v>
      </c>
      <c r="H3330" s="34" t="str">
        <f>IFERROR(__xludf.DUMMYFUNCTION("LOWER(REGEXREPLACE(B3330&amp;"" ""&amp;C3330,""[^а-яa-z0-9 ]"","" ""))"),"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местный"&amp;"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установл"&amp;"ена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см"&amp;"еситель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толщино"&amp;"й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f>
        <v>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v>
      </c>
    </row>
    <row r="3331">
      <c r="A3331" s="35" t="s">
        <v>7957</v>
      </c>
      <c r="B3331" s="31" t="s">
        <v>7958</v>
      </c>
      <c r="C3331" s="31" t="s">
        <v>7959</v>
      </c>
      <c r="D3331" s="37" t="s">
        <v>14</v>
      </c>
      <c r="E3331" s="38">
        <v>2.0</v>
      </c>
      <c r="F3331" s="38">
        <v>39.0</v>
      </c>
      <c r="G3331" s="11">
        <v>80698.0</v>
      </c>
      <c r="H3331" s="34" t="str">
        <f>IFERROR(__xludf.DUMMYFUNCTION("LOWER(REGEXREPLACE(B3331&amp;"" ""&amp;C3331,""[^а-яa-z0-9 ]"","" ""))"),"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22"&amp;"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еталли"&amp;"ческий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толеш"&amp;"ница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должн"&amp;"ы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с"&amp;"толешницей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м"&amp;"м  с глухой дверкой и врезным замком   олжны быть регулируемые металлические подпятники для компенсации неровностей пола ")</f>
        <v>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мм  с глухой дверкой и врезным замком   олжны быть регулируемые металлические подпятники для компенсации неровностей пола </v>
      </c>
    </row>
    <row r="3332">
      <c r="A3332" s="35" t="s">
        <v>7960</v>
      </c>
      <c r="B3332" s="31" t="s">
        <v>7961</v>
      </c>
      <c r="C3332" s="31"/>
      <c r="D3332" s="37" t="s">
        <v>14</v>
      </c>
      <c r="E3332" s="10"/>
      <c r="F3332" s="36"/>
      <c r="G3332" s="11"/>
      <c r="H3332" s="34" t="str">
        <f>IFERROR(__xludf.DUMMYFUNCTION("LOWER(REGEXREPLACE(B3332&amp;"" ""&amp;C3332,""[^а-яa-z0-9 ]"","" ""))")," тол демонстрационный без раковины ")</f>
        <v> тол демонстрационный без раковины </v>
      </c>
    </row>
    <row r="3333">
      <c r="A3333" s="35" t="s">
        <v>7962</v>
      </c>
      <c r="B3333" s="31" t="s">
        <v>7963</v>
      </c>
      <c r="C3333" s="31" t="s">
        <v>7963</v>
      </c>
      <c r="D3333" s="37" t="s">
        <v>14</v>
      </c>
      <c r="E3333" s="10"/>
      <c r="F3333" s="36"/>
      <c r="G3333" s="11">
        <v>244479.0</v>
      </c>
      <c r="H3333" s="34" t="str">
        <f>IFERROR(__xludf.DUMMYFUNCTION("LOWER(REGEXREPLACE(B3333&amp;"" ""&amp;C3333,""[^а-яa-z0-9 ]"","" ""))"),"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то"&amp;"лешница  тумбы и стенки      16мм   азмер 2400х750х900 мм ")</f>
        <v>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толешница  тумбы и стенки      16мм   азмер 2400х750х900 мм </v>
      </c>
    </row>
    <row r="3334">
      <c r="A3334" s="35" t="s">
        <v>7964</v>
      </c>
      <c r="B3334" s="31" t="s">
        <v>7965</v>
      </c>
      <c r="C3334" s="31" t="s">
        <v>7966</v>
      </c>
      <c r="D3334" s="37" t="s">
        <v>14</v>
      </c>
      <c r="E3334" s="10"/>
      <c r="F3334" s="36"/>
      <c r="G3334" s="11">
        <v>106738.0</v>
      </c>
      <c r="H3334" s="34" t="str">
        <f>IFERROR(__xludf.DUMMYFUNCTION("LOWER(REGEXREPLACE(B3334&amp;"" ""&amp;C3334,""[^а-яa-z0-9 ]"","" ""))"),"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16мм"&amp;" с декоративно пластиковым покрытием  тумбы и стенки      16мм  боковины металлокаркас   азмер  1500х800х800 мм")</f>
        <v>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v>
      </c>
    </row>
    <row r="3335">
      <c r="A3335" s="35" t="s">
        <v>7967</v>
      </c>
      <c r="B3335" s="9" t="s">
        <v>7968</v>
      </c>
      <c r="C3335" s="31" t="s">
        <v>7969</v>
      </c>
      <c r="D3335" s="37" t="s">
        <v>14</v>
      </c>
      <c r="E3335" s="10"/>
      <c r="F3335" s="36"/>
      <c r="G3335" s="11">
        <v>103625.0</v>
      </c>
      <c r="H3335" s="34" t="str">
        <f>IFERROR(__xludf.DUMMYFUNCTION("LOWER(REGEXREPLACE(B3335&amp;"" ""&amp;C3335,""[^а-яa-z0-9 ]"","" ""))"),"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рако"&amp;"вины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f>
        <v>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v>
      </c>
    </row>
    <row r="3336">
      <c r="A3336" s="35" t="s">
        <v>7970</v>
      </c>
      <c r="B3336" s="31" t="s">
        <v>7971</v>
      </c>
      <c r="C3336" s="31" t="s">
        <v>7972</v>
      </c>
      <c r="D3336" s="37" t="s">
        <v>14</v>
      </c>
      <c r="E3336" s="38">
        <v>2.0</v>
      </c>
      <c r="F3336" s="38">
        <v>22.0</v>
      </c>
      <c r="G3336" s="11">
        <v>290352.0</v>
      </c>
      <c r="H3336" s="34" t="str">
        <f>IFERROR(__xludf.DUMMYFUNCTION("LOWER(REGEXREPLACE(B3336&amp;"" ""&amp;C3336,""[^а-яa-z0-9 ]"","" ""))"),"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2"&amp;"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усто"&amp;"йчива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f>
        <v>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v>
      </c>
    </row>
    <row r="3337">
      <c r="A3337" s="35" t="s">
        <v>7973</v>
      </c>
      <c r="B3337" s="31" t="s">
        <v>7974</v>
      </c>
      <c r="C3337" s="31" t="s">
        <v>7975</v>
      </c>
      <c r="D3337" s="37" t="s">
        <v>14</v>
      </c>
      <c r="E3337" s="38">
        <v>2.0</v>
      </c>
      <c r="F3337" s="39">
        <v>74.5</v>
      </c>
      <c r="G3337" s="11">
        <v>647598.0</v>
      </c>
      <c r="H3337" s="34" t="str">
        <f>IFERROR(__xludf.DUMMYFUNCTION("LOWER(REGEXREPLACE(B3337&amp;"" ""&amp;C3337,""[^а-яa-z0-9 ]"","" ""))"),"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лабораторн"&amp;"ого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18"&amp;"0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пода"&amp;"чи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листова"&amp;"я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эпокс"&amp;"иполиэфирной краской пепельного цвета     7035")</f>
        <v>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7035</v>
      </c>
    </row>
    <row r="3338">
      <c r="A3338" s="35" t="s">
        <v>7976</v>
      </c>
      <c r="B3338" s="31" t="s">
        <v>7977</v>
      </c>
      <c r="C3338" s="31" t="s">
        <v>7978</v>
      </c>
      <c r="D3338" s="37" t="s">
        <v>14</v>
      </c>
      <c r="E3338" s="38">
        <v>2.0</v>
      </c>
      <c r="F3338" s="38">
        <v>87.0</v>
      </c>
      <c r="G3338" s="11">
        <v>108605.0</v>
      </c>
      <c r="H3338" s="34" t="str">
        <f>IFERROR(__xludf.DUMMYFUNCTION("LOWER(REGEXREPLACE(B3338&amp;"" ""&amp;C3338,""[^а-яa-z0-9 ]"","" ""))"),"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мен"&amp;"ее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"&amp;"нутри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в"&amp;"ысоте для компенсации неровностей пола ")</f>
        <v>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3339">
      <c r="A3339" s="35" t="s">
        <v>7979</v>
      </c>
      <c r="B3339" s="31" t="s">
        <v>7980</v>
      </c>
      <c r="C3339" s="31" t="s">
        <v>7981</v>
      </c>
      <c r="D3339" s="37" t="s">
        <v>14</v>
      </c>
      <c r="E3339" s="38">
        <v>2.0</v>
      </c>
      <c r="F3339" s="38">
        <v>92.0</v>
      </c>
      <c r="G3339" s="11">
        <v>143266.0</v>
      </c>
      <c r="H3339" s="34" t="str">
        <f>IFERROR(__xludf.DUMMYFUNCTION("LOWER(REGEXREPLACE(B3339&amp;"" ""&amp;C3339,""[^а-яa-z0-9 ]"","" ""))"),"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тол"&amp;"щиной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изг"&amp;"отовленной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"&amp;"не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вертикальн"&amp;"ыми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soft"&amp;"close  ")</f>
        <v>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softclose  </v>
      </c>
    </row>
    <row r="3340">
      <c r="A3340" s="35" t="s">
        <v>7982</v>
      </c>
      <c r="B3340" s="31" t="s">
        <v>7983</v>
      </c>
      <c r="C3340" s="31"/>
      <c r="D3340" s="37" t="s">
        <v>14</v>
      </c>
      <c r="E3340" s="10"/>
      <c r="F3340" s="36"/>
      <c r="G3340" s="11"/>
      <c r="H3340" s="34" t="str">
        <f>IFERROR(__xludf.DUMMYFUNCTION("LOWER(REGEXREPLACE(B3340&amp;"" ""&amp;C3340,""[^а-яa-z0-9 ]"","" ""))")," тол лабораторный ")</f>
        <v> тол лабораторный </v>
      </c>
    </row>
    <row r="3341">
      <c r="A3341" s="35" t="s">
        <v>7984</v>
      </c>
      <c r="B3341" s="31" t="s">
        <v>7985</v>
      </c>
      <c r="C3341" s="31" t="s">
        <v>7985</v>
      </c>
      <c r="D3341" s="37" t="s">
        <v>14</v>
      </c>
      <c r="E3341" s="10"/>
      <c r="F3341" s="36"/>
      <c r="G3341" s="11">
        <v>78432.0</v>
      </c>
      <c r="H3341" s="34" t="str">
        <f>IFERROR(__xludf.DUMMYFUNCTION("LOWER(REGEXREPLACE(B3341&amp;"" ""&amp;C3341,""[^а-яa-z0-9 ]"","" ""))"),"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f>
        <v>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v>
      </c>
    </row>
    <row r="3342">
      <c r="A3342" s="35" t="s">
        <v>7986</v>
      </c>
      <c r="B3342" s="9" t="s">
        <v>7987</v>
      </c>
      <c r="C3342" s="31" t="s">
        <v>7988</v>
      </c>
      <c r="D3342" s="37" t="s">
        <v>14</v>
      </c>
      <c r="E3342" s="10"/>
      <c r="F3342" s="36"/>
      <c r="G3342" s="11">
        <v>96984.0</v>
      </c>
      <c r="H3342" s="34" t="str">
        <f>IFERROR(__xludf.DUMMYFUNCTION("LOWER(REGEXREPLACE(B3342&amp;"" ""&amp;C3342,""[^а-яa-z0-9 ]"","" ""))"),"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150"&amp;"0х600х850мм  постформинг     3    ")</f>
        <v>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1500х600х850мм  постформинг     3    </v>
      </c>
    </row>
    <row r="3343">
      <c r="A3343" s="35" t="s">
        <v>7989</v>
      </c>
      <c r="B3343" s="31" t="s">
        <v>7990</v>
      </c>
      <c r="C3343" s="31" t="s">
        <v>7990</v>
      </c>
      <c r="D3343" s="37" t="s">
        <v>14</v>
      </c>
      <c r="E3343" s="10"/>
      <c r="F3343" s="36"/>
      <c r="G3343" s="11">
        <v>96382.0</v>
      </c>
      <c r="H3343" s="34" t="str">
        <f>IFERROR(__xludf.DUMMYFUNCTION("LOWER(REGEXREPLACE(B3343&amp;"" ""&amp;C3343,""[^а-яa-z0-9 ]"","" ""))"),"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основани"&amp;"е металлокаркас  декоратиные панели  ящик  размер 1520х610х850мм  керамогранит     3    ")</f>
        <v>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основание металлокаркас  декоратиные панели  ящик  размер 1520х610х850мм  керамогранит     3    </v>
      </c>
    </row>
    <row r="3344">
      <c r="A3344" s="35" t="s">
        <v>7991</v>
      </c>
      <c r="B3344" s="31" t="s">
        <v>7992</v>
      </c>
      <c r="C3344" s="31" t="s">
        <v>7992</v>
      </c>
      <c r="D3344" s="37" t="s">
        <v>14</v>
      </c>
      <c r="E3344" s="10"/>
      <c r="F3344" s="38">
        <v>50.0</v>
      </c>
      <c r="G3344" s="11">
        <v>528945.0</v>
      </c>
      <c r="H3344" s="34" t="str">
        <f>IFERROR(__xludf.DUMMYFUNCTION("LOWER(REGEXREPLACE(B3344&amp;"" ""&amp;C3344,""[^а-яa-z0-9 ]"","" ""))"),"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а"&amp;"втомат      тумба подвесная с 3 выдвижными ящиками   толешница из монолитного слоистого пластика  abgrade 16мм  основание металлокаркас  размер 1500х750х750мм")</f>
        <v>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v>
      </c>
    </row>
    <row r="3345">
      <c r="A3345" s="35" t="s">
        <v>7993</v>
      </c>
      <c r="B3345" s="9" t="s">
        <v>7994</v>
      </c>
      <c r="C3345" s="31" t="s">
        <v>7995</v>
      </c>
      <c r="D3345" s="37" t="s">
        <v>14</v>
      </c>
      <c r="E3345" s="38">
        <v>2.0</v>
      </c>
      <c r="F3345" s="38">
        <v>19.0</v>
      </c>
      <c r="G3345" s="11">
        <v>185684.0</v>
      </c>
      <c r="H3345" s="34" t="str">
        <f>IFERROR(__xludf.DUMMYFUNCTION("LOWER(REGEXREPLACE(B3345&amp;"" ""&amp;C3345,""[^а-яa-z0-9 ]"","" ""))"),"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то"&amp;"л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оверхност"&amp;"ь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f>
        <v>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v>
      </c>
    </row>
    <row r="3346">
      <c r="A3346" s="35" t="s">
        <v>7996</v>
      </c>
      <c r="B3346" s="31" t="s">
        <v>7997</v>
      </c>
      <c r="C3346" s="31" t="s">
        <v>7998</v>
      </c>
      <c r="D3346" s="37" t="s">
        <v>14</v>
      </c>
      <c r="E3346" s="38">
        <v>2.0</v>
      </c>
      <c r="F3346" s="38">
        <v>78.0</v>
      </c>
      <c r="G3346" s="11">
        <v>112033.0</v>
      </c>
      <c r="H3346" s="34" t="str">
        <f>IFERROR(__xludf.DUMMYFUNCTION("LOWER(REGEXREPLACE(B3346&amp;"" ""&amp;C3346,""[^а-яa-z0-9 ]"","" ""))"),"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"&amp;"столешницы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соединен"&amp;"ия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прямоугольни"&amp;"к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метал"&amp;"лических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с"&amp;"толам с помощью конфирматов ")</f>
        <v>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столам с помощью конфирматов </v>
      </c>
    </row>
    <row r="3347">
      <c r="A3347" s="35" t="s">
        <v>7999</v>
      </c>
      <c r="B3347" s="31" t="s">
        <v>8000</v>
      </c>
      <c r="C3347" s="31" t="s">
        <v>8001</v>
      </c>
      <c r="D3347" s="37" t="s">
        <v>14</v>
      </c>
      <c r="E3347" s="38">
        <v>2.0</v>
      </c>
      <c r="F3347" s="38">
        <v>31.0</v>
      </c>
      <c r="G3347" s="11">
        <v>43427.0</v>
      </c>
      <c r="H3347" s="34" t="str">
        <f>IFERROR(__xludf.DUMMYFUNCTION("LOWER(REGEXREPLACE(B3347&amp;"" ""&amp;C3347,""[^а-яa-z0-9 ]"","" ""))"),"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"&amp;"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верт"&amp;"икальными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20х20х"&amp;"1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должна"&amp;"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"&amp;"крепиться к каркасу методом скрытого крепления   олжны быть регулируемые металлические подпятники для компенсации неровностей пола ")</f>
        <v>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олжны быть регулируемые металлические подпятники для компенсации неровностей пола </v>
      </c>
    </row>
    <row r="3348">
      <c r="A3348" s="35" t="s">
        <v>8002</v>
      </c>
      <c r="B3348" s="31" t="s">
        <v>8003</v>
      </c>
      <c r="C3348" s="31"/>
      <c r="D3348" s="37" t="s">
        <v>14</v>
      </c>
      <c r="E3348" s="10"/>
      <c r="F3348" s="36"/>
      <c r="G3348" s="11"/>
      <c r="H3348" s="34" t="str">
        <f>IFERROR(__xludf.DUMMYFUNCTION("LOWER(REGEXREPLACE(B3348&amp;"" ""&amp;C3348,""[^а-яa-z0-9 ]"","" ""))")," тол письменный ")</f>
        <v> тол письменный </v>
      </c>
    </row>
    <row r="3349">
      <c r="A3349" s="35" t="s">
        <v>8004</v>
      </c>
      <c r="B3349" s="31" t="s">
        <v>8005</v>
      </c>
      <c r="C3349" s="31"/>
      <c r="D3349" s="37" t="s">
        <v>14</v>
      </c>
      <c r="E3349" s="10"/>
      <c r="F3349" s="36"/>
      <c r="G3349" s="11">
        <v>130396.0</v>
      </c>
      <c r="H3349" s="34" t="str">
        <f>IFERROR(__xludf.DUMMYFUNCTION("LOWER(REGEXREPLACE(B3349&amp;"" ""&amp;C3349,""[^а-яa-z0-9 ]"","" ""))")," тол письменый open space 1250х650х750 мм  с эффектом  парящей  столешницы из      22 мм  на сварных   образных опорах  труба сечением 60х30 мм ")</f>
        <v> тол письменый open space 1250х650х750 мм  с эффектом  парящей  столешницы из      22 мм  на сварных   образных опорах  труба сечением 60х30 мм </v>
      </c>
    </row>
    <row r="3350">
      <c r="A3350" s="35" t="s">
        <v>8006</v>
      </c>
      <c r="B3350" s="31" t="s">
        <v>8007</v>
      </c>
      <c r="C3350" s="31"/>
      <c r="D3350" s="37" t="s">
        <v>14</v>
      </c>
      <c r="E3350" s="10"/>
      <c r="F3350" s="36"/>
      <c r="G3350" s="11">
        <v>148382.0</v>
      </c>
      <c r="H3350" s="34" t="str">
        <f>IFERROR(__xludf.DUMMYFUNCTION("LOWER(REGEXREPLACE(B3350&amp;"" ""&amp;C3350,""[^а-яa-z0-9 ]"","" ""))")," тол письменый open space 1250х750х1320 мм  с эффектом  парящей  столешницы из      22 мм  на сварных   образных опорах  труба сечением 60х30 мм ")</f>
        <v> тол письменый open space 1250х750х1320 мм  с эффектом  парящей  столешницы из      22 мм  на сварных   образных опорах  труба сечением 60х30 мм </v>
      </c>
    </row>
    <row r="3351">
      <c r="A3351" s="35" t="s">
        <v>8008</v>
      </c>
      <c r="B3351" s="31" t="s">
        <v>8009</v>
      </c>
      <c r="C3351" s="31"/>
      <c r="D3351" s="37" t="s">
        <v>14</v>
      </c>
      <c r="E3351" s="10"/>
      <c r="F3351" s="36"/>
      <c r="G3351" s="11">
        <v>163670.0</v>
      </c>
      <c r="H3351" s="34" t="str">
        <f>IFERROR(__xludf.DUMMYFUNCTION("LOWER(REGEXREPLACE(B3351&amp;"" ""&amp;C3351,""[^а-яa-z0-9 ]"","" ""))")," тол письменый open space 1350х750х1320 мм  с эффектом  парящей  столешницы из      22 мм  на сварных   образных опорах  труба сечением 60х30 мм ")</f>
        <v> тол письменый open space 1350х750х1320 мм  с эффектом  парящей  столешницы из      22 мм  на сварных   образных опорах  труба сечением 60х30 мм </v>
      </c>
    </row>
    <row r="3352">
      <c r="A3352" s="35" t="s">
        <v>8010</v>
      </c>
      <c r="B3352" s="31" t="s">
        <v>8011</v>
      </c>
      <c r="C3352" s="31"/>
      <c r="D3352" s="37" t="s">
        <v>14</v>
      </c>
      <c r="E3352" s="10"/>
      <c r="F3352" s="36"/>
      <c r="G3352" s="11">
        <v>130396.0</v>
      </c>
      <c r="H3352" s="34" t="str">
        <f>IFERROR(__xludf.DUMMYFUNCTION("LOWER(REGEXREPLACE(B3352&amp;"" ""&amp;C3352,""[^а-яa-z0-9 ]"","" ""))")," тол письменый open space 1250х750х650 мм  с эффектом  парящей  столешницы из      22 мм  на сварных   образных опорах  труба сечением 60х30 мм ")</f>
        <v> тол письменый open space 1250х750х650 мм  с эффектом  парящей  столешницы из      22 мм  на сварных   образных опорах  труба сечением 60х30 мм </v>
      </c>
    </row>
    <row r="3353">
      <c r="A3353" s="35" t="s">
        <v>8012</v>
      </c>
      <c r="B3353" s="31" t="s">
        <v>8013</v>
      </c>
      <c r="C3353" s="31"/>
      <c r="D3353" s="37" t="s">
        <v>14</v>
      </c>
      <c r="E3353" s="10"/>
      <c r="F3353" s="36"/>
      <c r="G3353" s="11">
        <v>130396.0</v>
      </c>
      <c r="H3353" s="34" t="str">
        <f>IFERROR(__xludf.DUMMYFUNCTION("LOWER(REGEXREPLACE(B3353&amp;"" ""&amp;C3353,""[^а-яa-z0-9 ]"","" ""))")," тол письменый open space 1350х750х650 мм  с эффектом  парящей  столешницы из      22 мм  на сварных   образных опорах  труба сечением 60х30 мм ")</f>
        <v> тол письменый open space 1350х750х650 мм  с эффектом  парящей  столешницы из      22 мм  на сварных   образных опорах  труба сечением 60х30 мм </v>
      </c>
    </row>
    <row r="3354">
      <c r="A3354" s="35" t="s">
        <v>8014</v>
      </c>
      <c r="B3354" s="31" t="s">
        <v>8015</v>
      </c>
      <c r="C3354" s="31"/>
      <c r="D3354" s="37" t="s">
        <v>14</v>
      </c>
      <c r="E3354" s="10"/>
      <c r="F3354" s="36"/>
      <c r="G3354" s="11">
        <v>139389.0</v>
      </c>
      <c r="H3354" s="34" t="str">
        <f>IFERROR(__xludf.DUMMYFUNCTION("LOWER(REGEXREPLACE(B3354&amp;"" ""&amp;C3354,""[^а-яa-z0-9 ]"","" ""))")," тол письменый open space 1600х750х650 мм  с эффектом  парящей  столешницы из      22 мм  на сварных   образных опорах  труба сечением 60х30 мм ")</f>
        <v> тол письменый open space 1600х750х650 мм  с эффектом  парящей  столешницы из      22 мм  на сварных   образных опорах  труба сечением 60х30 мм </v>
      </c>
    </row>
    <row r="3355">
      <c r="A3355" s="35" t="s">
        <v>8016</v>
      </c>
      <c r="B3355" s="31" t="s">
        <v>8017</v>
      </c>
      <c r="C3355" s="31"/>
      <c r="D3355" s="37" t="s">
        <v>14</v>
      </c>
      <c r="E3355" s="10"/>
      <c r="F3355" s="36"/>
      <c r="G3355" s="11">
        <v>130396.0</v>
      </c>
      <c r="H3355" s="34" t="str">
        <f>IFERROR(__xludf.DUMMYFUNCTION("LOWER(REGEXREPLACE(B3355&amp;"" ""&amp;C3355,""[^а-яa-z0-9 ]"","" ""))"),"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f>
        <v>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v>
      </c>
    </row>
    <row r="3356">
      <c r="A3356" s="35" t="s">
        <v>8018</v>
      </c>
      <c r="B3356" s="31" t="s">
        <v>8019</v>
      </c>
      <c r="C3356" s="31"/>
      <c r="D3356" s="37" t="s">
        <v>14</v>
      </c>
      <c r="E3356" s="10"/>
      <c r="F3356" s="36"/>
      <c r="G3356" s="11">
        <v>139389.0</v>
      </c>
      <c r="H3356" s="34" t="str">
        <f>IFERROR(__xludf.DUMMYFUNCTION("LOWER(REGEXREPLACE(B3356&amp;"" ""&amp;C3356,""[^а-яa-z0-9 ]"","" ""))"),"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f>
        <v>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v>
      </c>
    </row>
    <row r="3357">
      <c r="A3357" s="35" t="s">
        <v>8020</v>
      </c>
      <c r="B3357" s="31" t="s">
        <v>8021</v>
      </c>
      <c r="C3357" s="31"/>
      <c r="D3357" s="37" t="s">
        <v>14</v>
      </c>
      <c r="E3357" s="10"/>
      <c r="F3357" s="36"/>
      <c r="G3357" s="11">
        <v>139389.0</v>
      </c>
      <c r="H3357" s="34" t="str">
        <f>IFERROR(__xludf.DUMMYFUNCTION("LOWER(REGEXREPLACE(B3357&amp;"" ""&amp;C3357,""[^а-яa-z0-9 ]"","" ""))")," тол письменый open space 1600х750х650 мм  с эффектом  парящей  столешницы из      22 мм  на сварных   образных опорах  труба сечением 40х40 мм ")</f>
        <v> тол письменый open space 1600х750х650 мм  с эффектом  парящей  столешницы из      22 мм  на сварных   образных опорах  труба сечением 40х40 мм </v>
      </c>
    </row>
    <row r="3358">
      <c r="A3358" s="35" t="s">
        <v>8022</v>
      </c>
      <c r="B3358" s="31" t="s">
        <v>8023</v>
      </c>
      <c r="C3358" s="31"/>
      <c r="D3358" s="37" t="s">
        <v>14</v>
      </c>
      <c r="E3358" s="10"/>
      <c r="F3358" s="36"/>
      <c r="G3358" s="11">
        <v>116907.0</v>
      </c>
      <c r="H3358" s="34" t="str">
        <f>IFERROR(__xludf.DUMMYFUNCTION("LOWER(REGEXREPLACE(B3358&amp;"" ""&amp;C3358,""[^а-яa-z0-9 ]"","" ""))")," тол письменый open space 900х750х650 мм  с эффектом  парящей  столешницы из      22 мм  на сварных   образных опорах  труба сечением 40х40 мм ")</f>
        <v> тол письменый open space 900х750х650 мм  с эффектом  парящей  столешницы из      22 мм  на сварных   образных опорах  труба сечением 40х40 мм </v>
      </c>
    </row>
    <row r="3359">
      <c r="A3359" s="35" t="s">
        <v>8024</v>
      </c>
      <c r="B3359" s="31" t="s">
        <v>8025</v>
      </c>
      <c r="C3359" s="31"/>
      <c r="D3359" s="37" t="s">
        <v>14</v>
      </c>
      <c r="E3359" s="10"/>
      <c r="F3359" s="36"/>
      <c r="G3359" s="11">
        <v>124101.0</v>
      </c>
      <c r="H3359" s="34" t="str">
        <f>IFERROR(__xludf.DUMMYFUNCTION("LOWER(REGEXREPLACE(B3359&amp;"" ""&amp;C3359,""[^а-яa-z0-9 ]"","" ""))")," тол письменый open space 1000х750х650 мм  с эффектом  парящей  столешницы из      22 мм  на сварных   образных опорах  труба сечением 40х40 мм ")</f>
        <v> тол письменый open space 1000х750х650 мм  с эффектом  парящей  столешницы из      22 мм  на сварных   образных опорах  труба сечением 40х40 мм </v>
      </c>
    </row>
    <row r="3360">
      <c r="A3360" s="35" t="s">
        <v>8026</v>
      </c>
      <c r="B3360" s="31" t="s">
        <v>8027</v>
      </c>
      <c r="C3360" s="31"/>
      <c r="D3360" s="37" t="s">
        <v>14</v>
      </c>
      <c r="E3360" s="10"/>
      <c r="F3360" s="36"/>
      <c r="G3360" s="11">
        <v>124101.0</v>
      </c>
      <c r="H3360" s="34" t="str">
        <f>IFERROR(__xludf.DUMMYFUNCTION("LOWER(REGEXREPLACE(B3360&amp;"" ""&amp;C3360,""[^а-яa-z0-9 ]"","" ""))")," тол письменый open space 1100х750х650 мм  с эффектом  парящей  столешницы из      22 мм  на сварных   образных опорах  труба сечением 40х40 мм ")</f>
        <v> тол письменый open space 1100х750х650 мм  с эффектом  парящей  столешницы из      22 мм  на сварных   образных опорах  труба сечением 40х40 мм </v>
      </c>
    </row>
    <row r="3361">
      <c r="A3361" s="35" t="s">
        <v>8028</v>
      </c>
      <c r="B3361" s="31" t="s">
        <v>8029</v>
      </c>
      <c r="C3361" s="31"/>
      <c r="D3361" s="37" t="s">
        <v>14</v>
      </c>
      <c r="E3361" s="10"/>
      <c r="F3361" s="36"/>
      <c r="G3361" s="11">
        <v>130396.0</v>
      </c>
      <c r="H3361" s="34" t="str">
        <f>IFERROR(__xludf.DUMMYFUNCTION("LOWER(REGEXREPLACE(B3361&amp;"" ""&amp;C3361,""[^а-яa-z0-9 ]"","" ""))")," тол письменый open space 1250х750х650 мм  с эффектом  парящей  столешницы из      22 мм  на сварных   образных опорах  труба сечением 40х40 мм ")</f>
        <v> тол письменый open space 1250х750х650 мм  с эффектом  парящей  столешницы из      22 мм  на сварных   образных опорах  труба сечением 40х40 мм </v>
      </c>
    </row>
    <row r="3362">
      <c r="A3362" s="35" t="s">
        <v>8030</v>
      </c>
      <c r="B3362" s="31" t="s">
        <v>8031</v>
      </c>
      <c r="C3362" s="31"/>
      <c r="D3362" s="37" t="s">
        <v>14</v>
      </c>
      <c r="E3362" s="10"/>
      <c r="F3362" s="36"/>
      <c r="G3362" s="11">
        <v>130396.0</v>
      </c>
      <c r="H3362" s="34" t="str">
        <f>IFERROR(__xludf.DUMMYFUNCTION("LOWER(REGEXREPLACE(B3362&amp;"" ""&amp;C3362,""[^а-яa-z0-9 ]"","" ""))")," тол письменый open space 1350х750х650 мм  с эффектом  парящей  столешницы из      22 мм  на сварных   образных опорах  труба сечением 40х40 мм ")</f>
        <v> тол письменый open space 1350х750х650 мм  с эффектом  парящей  столешницы из      22 мм  на сварных   образных опорах  труба сечением 40х40 мм </v>
      </c>
    </row>
    <row r="3363">
      <c r="A3363" s="35" t="s">
        <v>8032</v>
      </c>
      <c r="B3363" s="31" t="s">
        <v>8033</v>
      </c>
      <c r="C3363" s="31"/>
      <c r="D3363" s="37" t="s">
        <v>14</v>
      </c>
      <c r="E3363" s="10"/>
      <c r="F3363" s="36"/>
      <c r="G3363" s="11">
        <v>148382.0</v>
      </c>
      <c r="H3363" s="34" t="str">
        <f>IFERROR(__xludf.DUMMYFUNCTION("LOWER(REGEXREPLACE(B3363&amp;"" ""&amp;C3363,""[^а-яa-z0-9 ]"","" ""))")," тол письменый open space 1250х750х1320 мм   с эффектом  парящей  столешницы из      22 мм  на сварных   образных опорах  труба сечением 40х40 мм ")</f>
        <v> тол письменый open space 1250х750х1320 мм   с эффектом  парящей  столешницы из      22 мм  на сварных   образных опорах  труба сечением 40х40 мм </v>
      </c>
    </row>
    <row r="3364">
      <c r="A3364" s="35" t="s">
        <v>8034</v>
      </c>
      <c r="B3364" s="31" t="s">
        <v>8035</v>
      </c>
      <c r="C3364" s="31"/>
      <c r="D3364" s="37" t="s">
        <v>14</v>
      </c>
      <c r="E3364" s="10"/>
      <c r="F3364" s="36"/>
      <c r="G3364" s="11">
        <v>148382.0</v>
      </c>
      <c r="H3364" s="34" t="str">
        <f>IFERROR(__xludf.DUMMYFUNCTION("LOWER(REGEXREPLACE(B3364&amp;"" ""&amp;C3364,""[^а-яa-z0-9 ]"","" ""))")," тол письменый open space 1350х750х1320 мм с эффектом  парящей  столешницы из      22 мм  на сварных   образных опорах труба сечением 40х40 мм  ")</f>
        <v> тол письменый open space 1350х750х1320 мм с эффектом  парящей  столешницы из      22 мм  на сварных   образных опорах труба сечением 40х40 мм  </v>
      </c>
    </row>
    <row r="3365">
      <c r="A3365" s="35" t="s">
        <v>8036</v>
      </c>
      <c r="B3365" s="31" t="s">
        <v>8037</v>
      </c>
      <c r="C3365" s="31"/>
      <c r="D3365" s="37" t="s">
        <v>14</v>
      </c>
      <c r="E3365" s="10"/>
      <c r="F3365" s="36"/>
      <c r="G3365" s="11">
        <v>148382.0</v>
      </c>
      <c r="H3365" s="34" t="str">
        <f>IFERROR(__xludf.DUMMYFUNCTION("LOWER(REGEXREPLACE(B3365&amp;"" ""&amp;C3365,""[^а-яa-z0-9 ]"",""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f>
        <v>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v>
      </c>
    </row>
    <row r="3366">
      <c r="A3366" s="35" t="s">
        <v>8038</v>
      </c>
      <c r="B3366" s="31" t="s">
        <v>8039</v>
      </c>
      <c r="C3366" s="31"/>
      <c r="D3366" s="37" t="s">
        <v>14</v>
      </c>
      <c r="E3366" s="10"/>
      <c r="F3366" s="36"/>
      <c r="G3366" s="11">
        <v>148382.0</v>
      </c>
      <c r="H3366" s="34" t="str">
        <f>IFERROR(__xludf.DUMMYFUNCTION("LOWER(REGEXREPLACE(B3366&amp;"" ""&amp;C3366,""[^а-яa-z0-9 ]"",""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f>
        <v>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v>
      </c>
    </row>
    <row r="3367">
      <c r="A3367" s="35" t="s">
        <v>8040</v>
      </c>
      <c r="B3367" s="31" t="s">
        <v>8041</v>
      </c>
      <c r="C3367" s="31" t="s">
        <v>8042</v>
      </c>
      <c r="D3367" s="37" t="s">
        <v>14</v>
      </c>
      <c r="E3367" s="38">
        <v>2.0</v>
      </c>
      <c r="F3367" s="38">
        <v>18.0</v>
      </c>
      <c r="G3367" s="11">
        <v>111760.0</v>
      </c>
      <c r="H3367" s="34" t="str">
        <f>IFERROR(__xludf.DUMMYFUNCTION("LOWER(REGEXREPLACE(B3367&amp;"" ""&amp;C3367,""[^а-яa-z0-9 ]"","" ""))"),"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8">
      <c r="A3368" s="35" t="s">
        <v>8043</v>
      </c>
      <c r="B3368" s="31" t="s">
        <v>8044</v>
      </c>
      <c r="C3368" s="31" t="s">
        <v>8042</v>
      </c>
      <c r="D3368" s="37" t="s">
        <v>14</v>
      </c>
      <c r="E3368" s="38">
        <v>2.0</v>
      </c>
      <c r="F3368" s="38">
        <v>18.0</v>
      </c>
      <c r="G3368" s="11">
        <v>167775.0</v>
      </c>
      <c r="H3368" s="34" t="str">
        <f>IFERROR(__xludf.DUMMYFUNCTION("LOWER(REGEXREPLACE(B3368&amp;"" ""&amp;C3368,""[^а-яa-z0-9 ]"","" ""))"),"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9">
      <c r="A3369" s="35" t="s">
        <v>8045</v>
      </c>
      <c r="B3369" s="31" t="s">
        <v>8046</v>
      </c>
      <c r="C3369" s="31"/>
      <c r="D3369" s="37" t="s">
        <v>14</v>
      </c>
      <c r="E3369" s="10"/>
      <c r="F3369" s="36"/>
      <c r="G3369" s="11">
        <v>148382.0</v>
      </c>
      <c r="H3369" s="34" t="str">
        <f>IFERROR(__xludf.DUMMYFUNCTION("LOWER(REGEXREPLACE(B3369&amp;"" ""&amp;C3369,""[^а-яa-z0-9 ]"","" ""))"),"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f>
        <v>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v>
      </c>
    </row>
    <row r="3370">
      <c r="A3370" s="35" t="s">
        <v>8047</v>
      </c>
      <c r="B3370" s="31" t="s">
        <v>8048</v>
      </c>
      <c r="C3370" s="31"/>
      <c r="D3370" s="37" t="s">
        <v>14</v>
      </c>
      <c r="E3370" s="10"/>
      <c r="F3370" s="36"/>
      <c r="G3370" s="11">
        <v>170864.0</v>
      </c>
      <c r="H3370" s="34" t="str">
        <f>IFERROR(__xludf.DUMMYFUNCTION("LOWER(REGEXREPLACE(B3370&amp;"" ""&amp;C3370,""[^а-яa-z0-9 ]"","" ""))"),"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f>
        <v>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v>
      </c>
    </row>
    <row r="3371">
      <c r="A3371" s="35" t="s">
        <v>8049</v>
      </c>
      <c r="B3371" s="31" t="s">
        <v>8050</v>
      </c>
      <c r="C3371" s="31"/>
      <c r="D3371" s="37" t="s">
        <v>14</v>
      </c>
      <c r="E3371" s="10"/>
      <c r="F3371" s="36"/>
      <c r="G3371" s="11">
        <v>130396.0</v>
      </c>
      <c r="H3371" s="34" t="str">
        <f>IFERROR(__xludf.DUMMYFUNCTION("LOWER(REGEXREPLACE(B3371&amp;"" ""&amp;C3371,""[^а-яa-z0-9 ]"",""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f>
        <v>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v>
      </c>
    </row>
    <row r="3372">
      <c r="A3372" s="35" t="s">
        <v>8051</v>
      </c>
      <c r="B3372" s="31" t="s">
        <v>8052</v>
      </c>
      <c r="C3372" s="31"/>
      <c r="D3372" s="37" t="s">
        <v>14</v>
      </c>
      <c r="E3372" s="10"/>
      <c r="F3372" s="36"/>
      <c r="G3372" s="11">
        <v>130396.0</v>
      </c>
      <c r="H3372" s="34" t="str">
        <f>IFERROR(__xludf.DUMMYFUNCTION("LOWER(REGEXREPLACE(B3372&amp;"" ""&amp;C3372,""[^а-яa-z0-9 ]"",""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f>
        <v>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v>
      </c>
    </row>
    <row r="3373">
      <c r="A3373" s="35" t="s">
        <v>8053</v>
      </c>
      <c r="B3373" s="31" t="s">
        <v>8054</v>
      </c>
      <c r="C3373" s="31"/>
      <c r="D3373" s="37" t="s">
        <v>14</v>
      </c>
      <c r="E3373" s="10"/>
      <c r="F3373" s="36"/>
      <c r="G3373" s="11">
        <v>166368.0</v>
      </c>
      <c r="H3373" s="34" t="str">
        <f>IFERROR(__xludf.DUMMYFUNCTION("LOWER(REGEXREPLACE(B3373&amp;"" ""&amp;C3373,""[^а-яa-z0-9 ]"","" ""))"),"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f>
        <v>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v>
      </c>
    </row>
    <row r="3374">
      <c r="A3374" s="35" t="s">
        <v>8055</v>
      </c>
      <c r="B3374" s="31" t="s">
        <v>8056</v>
      </c>
      <c r="C3374" s="31"/>
      <c r="D3374" s="37" t="s">
        <v>14</v>
      </c>
      <c r="E3374" s="10"/>
      <c r="F3374" s="36"/>
      <c r="G3374" s="11">
        <v>175361.0</v>
      </c>
      <c r="H3374" s="34" t="str">
        <f>IFERROR(__xludf.DUMMYFUNCTION("LOWER(REGEXREPLACE(B3374&amp;"" ""&amp;C3374,""[^а-яa-z0-9 ]"","" ""))")," тол письменый open space 1600х750х1320 мм  с эффектом  парящей  столешницы из      22 мм  на сварных   образных опорах  труба сечением 40х40 мм ")</f>
        <v> тол письменый open space 1600х750х1320 мм  с эффектом  парящей  столешницы из      22 мм  на сварных   образных опорах  труба сечением 40х40 мм </v>
      </c>
    </row>
    <row r="3375">
      <c r="A3375" s="35" t="s">
        <v>8057</v>
      </c>
      <c r="B3375" s="31" t="s">
        <v>8058</v>
      </c>
      <c r="C3375" s="31" t="s">
        <v>8059</v>
      </c>
      <c r="D3375" s="37" t="s">
        <v>14</v>
      </c>
      <c r="E3375" s="38">
        <v>2.0</v>
      </c>
      <c r="F3375" s="38">
        <v>30.0</v>
      </c>
      <c r="G3375" s="11">
        <v>38008.0</v>
      </c>
      <c r="H3375" s="34" t="str">
        <f>IFERROR(__xludf.DUMMYFUNCTION("LOWER(REGEXREPLACE(B3375&amp;"" ""&amp;C3375,""[^а-яa-z0-9 ]"","" ""))")," тол письменный 1500х600х750 мм  тол письменный 1500х600х750 мм       16мм ")</f>
        <v> тол письменный 1500х600х750 мм  тол письменный 1500х600х750 мм       16мм </v>
      </c>
    </row>
    <row r="3376">
      <c r="A3376" s="35" t="s">
        <v>8060</v>
      </c>
      <c r="B3376" s="9" t="s">
        <v>8061</v>
      </c>
      <c r="C3376" s="31" t="s">
        <v>8062</v>
      </c>
      <c r="D3376" s="37" t="s">
        <v>14</v>
      </c>
      <c r="E3376" s="38">
        <v>2.0</v>
      </c>
      <c r="F3376" s="38">
        <v>20.0</v>
      </c>
      <c r="G3376" s="11">
        <v>24439.0</v>
      </c>
      <c r="H3376" s="34" t="str">
        <f>IFERROR(__xludf.DUMMYFUNCTION("LOWER(REGEXREPLACE(B3376&amp;"" ""&amp;C3376,""[^а-яa-z0-9 ]"","" ""))"),"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f>
        <v>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v>
      </c>
    </row>
    <row r="3377">
      <c r="A3377" s="35" t="s">
        <v>8063</v>
      </c>
      <c r="B3377" s="31" t="s">
        <v>8064</v>
      </c>
      <c r="C3377" s="31" t="s">
        <v>8065</v>
      </c>
      <c r="D3377" s="37" t="s">
        <v>14</v>
      </c>
      <c r="E3377" s="10"/>
      <c r="F3377" s="36"/>
      <c r="G3377" s="11">
        <v>22321.0</v>
      </c>
      <c r="H3377" s="34" t="str">
        <f>IFERROR(__xludf.DUMMYFUNCTION("LOWER(REGEXREPLACE(B3377&amp;"" ""&amp;C3377,""[^а-яa-z0-9 ]"","" ""))")," тол письменный 1000х600х750 мм  тол письменный 1000х600х750 мм       16мм ")</f>
        <v> тол письменный 1000х600х750 мм  тол письменный 1000х600х750 мм       16мм </v>
      </c>
    </row>
    <row r="3378">
      <c r="A3378" s="35" t="s">
        <v>8066</v>
      </c>
      <c r="B3378" s="31" t="s">
        <v>8067</v>
      </c>
      <c r="C3378" s="31" t="s">
        <v>8068</v>
      </c>
      <c r="D3378" s="37" t="s">
        <v>14</v>
      </c>
      <c r="E3378" s="10"/>
      <c r="F3378" s="36"/>
      <c r="G3378" s="11">
        <v>22321.0</v>
      </c>
      <c r="H3378" s="34" t="str">
        <f>IFERROR(__xludf.DUMMYFUNCTION("LOWER(REGEXREPLACE(B3378&amp;"" ""&amp;C3378,""[^а-яa-z0-9 ]"","" ""))")," тол письменный 1000х500х750 мм  тол письменный 1000х500х750 мм       16мм ")</f>
        <v> тол письменный 1000х500х750 мм  тол письменный 1000х500х750 мм       16мм </v>
      </c>
    </row>
    <row r="3379">
      <c r="A3379" s="35" t="s">
        <v>8069</v>
      </c>
      <c r="B3379" s="9" t="s">
        <v>8070</v>
      </c>
      <c r="C3379" s="31" t="s">
        <v>8071</v>
      </c>
      <c r="D3379" s="37" t="s">
        <v>14</v>
      </c>
      <c r="E3379" s="38">
        <v>2.0</v>
      </c>
      <c r="F3379" s="38">
        <v>25.0</v>
      </c>
      <c r="G3379" s="11">
        <v>131618.0</v>
      </c>
      <c r="H3379" s="34" t="str">
        <f>IFERROR(__xludf.DUMMYFUNCTION("LOWER(REGEXREPLACE(B3379&amp;"" ""&amp;C3379,""[^а-яa-z0-9 ]"","" ""))"),"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т"&amp;"олщиной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f>
        <v>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v>
      </c>
    </row>
    <row r="3380">
      <c r="A3380" s="35" t="s">
        <v>8072</v>
      </c>
      <c r="B3380" s="31" t="s">
        <v>8073</v>
      </c>
      <c r="C3380" s="31" t="s">
        <v>8074</v>
      </c>
      <c r="D3380" s="37" t="s">
        <v>14</v>
      </c>
      <c r="E3380" s="38">
        <v>2.0</v>
      </c>
      <c r="F3380" s="38">
        <v>43.0</v>
      </c>
      <c r="G3380" s="11">
        <v>44502.0</v>
      </c>
      <c r="H3380" s="34" t="str">
        <f>IFERROR(__xludf.DUMMYFUNCTION("LOWER(REGEXREPLACE(B3380&amp;"" ""&amp;C3380,""[^а-яa-z0-9 ]"","" ""))"),"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кон"&amp;"фирмат  стяжка     ")</f>
        <v>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конфирмат  стяжка     </v>
      </c>
    </row>
    <row r="3381">
      <c r="A3381" s="35" t="s">
        <v>8075</v>
      </c>
      <c r="B3381" s="31" t="s">
        <v>8076</v>
      </c>
      <c r="C3381" s="31" t="s">
        <v>7421</v>
      </c>
      <c r="D3381" s="37" t="s">
        <v>14</v>
      </c>
      <c r="E3381" s="38">
        <v>2.0</v>
      </c>
      <c r="F3381" s="39">
        <v>29.8</v>
      </c>
      <c r="G3381" s="11">
        <v>23947.0</v>
      </c>
      <c r="H3381" s="34" t="str">
        <f>IFERROR(__xludf.DUMMYFUNCTION("LOWER(REGEXREPLACE(B3381&amp;"" ""&amp;C3381,""[^а-яa-z0-9 ]"","" ""))")," тол письменный 1200х700х750мм  ирина   1200мм  глубина   700мм  высота   750мм   толешница из      16мм  каркас выполнен из      16мм   орцы облицованы  кромкой     толщиной 2мм ")</f>
        <v> тол письменный 1200х700х750мм  ирина   1200мм  глубина   700мм  высота   750мм   толешница из      16мм  каркас выполнен из      16мм   орцы облицованы  кромкой     толщиной 2мм </v>
      </c>
    </row>
    <row r="3382">
      <c r="A3382" s="35" t="s">
        <v>8077</v>
      </c>
      <c r="B3382" s="31" t="s">
        <v>8078</v>
      </c>
      <c r="C3382" s="31" t="s">
        <v>8079</v>
      </c>
      <c r="D3382" s="37" t="s">
        <v>14</v>
      </c>
      <c r="E3382" s="38">
        <v>2.0</v>
      </c>
      <c r="F3382" s="38">
        <v>35.0</v>
      </c>
      <c r="G3382" s="11">
        <v>147629.0</v>
      </c>
      <c r="H3382" s="34" t="str">
        <f>IFERROR(__xludf.DUMMYFUNCTION("LOWER(REGEXREPLACE(B3382&amp;"" ""&amp;C3382,""[^а-яa-z0-9 ]"","" ""))"),"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"&amp;"мм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части"&amp;"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3">
      <c r="A3383" s="35" t="s">
        <v>8080</v>
      </c>
      <c r="B3383" s="9" t="s">
        <v>8081</v>
      </c>
      <c r="C3383" s="31" t="s">
        <v>8082</v>
      </c>
      <c r="D3383" s="37" t="s">
        <v>14</v>
      </c>
      <c r="E3383" s="38">
        <v>2.0</v>
      </c>
      <c r="F3383" s="38">
        <v>20.0</v>
      </c>
      <c r="G3383" s="11">
        <v>130338.0</v>
      </c>
      <c r="H3383" s="34" t="str">
        <f>IFERROR(__xludf.DUMMYFUNCTION("LOWER(REGEXREPLACE(B3383&amp;"" ""&amp;C3383,""[^а-яa-z0-9 ]"","" ""))"),"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"&amp;"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изде"&amp;"лий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4">
      <c r="A3384" s="35" t="s">
        <v>8083</v>
      </c>
      <c r="B3384" s="31" t="s">
        <v>8084</v>
      </c>
      <c r="C3384" s="31" t="s">
        <v>8085</v>
      </c>
      <c r="D3384" s="37" t="s">
        <v>14</v>
      </c>
      <c r="E3384" s="38">
        <v>2.0</v>
      </c>
      <c r="F3384" s="38">
        <v>37.0</v>
      </c>
      <c r="G3384" s="11">
        <v>49946.0</v>
      </c>
      <c r="H3384" s="34" t="str">
        <f>IFERROR(__xludf.DUMMYFUNCTION("LOWER(REGEXREPLACE(B3384&amp;"" ""&amp;C3384,""[^а-яa-z0-9 ]"","" ""))"),"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прямоугольно"&amp;"й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2"&amp;"50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f>
        <v>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v>
      </c>
    </row>
    <row r="3385">
      <c r="A3385" s="35" t="s">
        <v>8086</v>
      </c>
      <c r="B3385" s="31" t="s">
        <v>8087</v>
      </c>
      <c r="C3385" s="31" t="s">
        <v>8088</v>
      </c>
      <c r="D3385" s="37" t="s">
        <v>14</v>
      </c>
      <c r="E3385" s="38">
        <v>2.0</v>
      </c>
      <c r="F3385" s="38">
        <v>59.0</v>
      </c>
      <c r="G3385" s="11">
        <v>134472.0</v>
      </c>
      <c r="H3385" s="34" t="str">
        <f>IFERROR(__xludf.DUMMYFUNCTION("LOWER(REGEXREPLACE(B3385&amp;"" ""&amp;C3385,""[^а-яa-z0-9 ]"","" ""))"),"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столешн"&amp;"ицы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"&amp;"изготовленных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оп"&amp;"орами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сторон"&amp;"а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располагаетс"&amp;"я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т"&amp;"олщиной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f>
        <v>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86">
      <c r="A3386" s="35" t="s">
        <v>8089</v>
      </c>
      <c r="B3386" s="31" t="s">
        <v>8090</v>
      </c>
      <c r="C3386" s="31" t="s">
        <v>8091</v>
      </c>
      <c r="D3386" s="37" t="s">
        <v>14</v>
      </c>
      <c r="E3386" s="38">
        <v>2.0</v>
      </c>
      <c r="F3386" s="38">
        <v>80.0</v>
      </c>
      <c r="G3386" s="11">
        <v>76534.0</v>
      </c>
      <c r="H3386" s="34" t="str">
        <f>IFERROR(__xludf.DUMMYFUNCTION("LOWER(REGEXREPLACE(B3386&amp;"" ""&amp;C3386,""[^а-яa-z0-9 ]"","" ""))"),"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с"&amp;"о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"&amp;"из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подпят"&amp;"ники ")</f>
        <v>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подпятники </v>
      </c>
    </row>
    <row r="3387">
      <c r="A3387" s="35" t="s">
        <v>8092</v>
      </c>
      <c r="B3387" s="31" t="s">
        <v>8093</v>
      </c>
      <c r="C3387" s="31" t="s">
        <v>8094</v>
      </c>
      <c r="D3387" s="37" t="s">
        <v>14</v>
      </c>
      <c r="E3387" s="38">
        <v>2.0</v>
      </c>
      <c r="F3387" s="38">
        <v>41.0</v>
      </c>
      <c r="G3387" s="11">
        <v>64252.0</v>
      </c>
      <c r="H3387" s="34" t="str">
        <f>IFERROR(__xludf.DUMMYFUNCTION("LOWER(REGEXREPLACE(B3387&amp;"" ""&amp;C3387,""[^а-яa-z0-9 ]"","" ""))"),"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2м"&amp;"м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пом"&amp;"ощью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"&amp;"с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f>
        <v>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v>
      </c>
    </row>
    <row r="3388">
      <c r="A3388" s="35" t="s">
        <v>8095</v>
      </c>
      <c r="B3388" s="31" t="s">
        <v>8096</v>
      </c>
      <c r="C3388" s="31" t="s">
        <v>8097</v>
      </c>
      <c r="D3388" s="37" t="s">
        <v>14</v>
      </c>
      <c r="E3388" s="38">
        <v>2.0</v>
      </c>
      <c r="F3388" s="38">
        <v>46.0</v>
      </c>
      <c r="G3388" s="11">
        <v>123161.0</v>
      </c>
      <c r="H3388" s="34" t="str">
        <f>IFERROR(__xludf.DUMMYFUNCTION("LOWER(REGEXREPLACE(B3388&amp;"" ""&amp;C3388,""[^а-яa-z0-9 ]"","" ""))"),"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"&amp;"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профильной"&amp;"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п"&amp;"ридает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ца"&amp;"ргой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oft"&amp;"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"&amp;"еста установки креп жных изделий должны быть закрыты заглушками    основании тумбы должны быть пластиковые подпятники ")</f>
        <v>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пластиковые подпятники </v>
      </c>
    </row>
    <row r="3389">
      <c r="A3389" s="35" t="s">
        <v>8098</v>
      </c>
      <c r="B3389" s="31" t="s">
        <v>8099</v>
      </c>
      <c r="C3389" s="31" t="s">
        <v>8100</v>
      </c>
      <c r="D3389" s="37" t="s">
        <v>14</v>
      </c>
      <c r="E3389" s="38">
        <v>2.0</v>
      </c>
      <c r="F3389" s="38">
        <v>73.0</v>
      </c>
      <c r="G3389" s="11">
        <v>249708.0</v>
      </c>
      <c r="H3389" s="34" t="str">
        <f>IFERROR(__xludf.DUMMYFUNCTION("LOWER(REGEXREPLACE(B3389&amp;"" ""&amp;C3389,""[^а-яa-z0-9 ]"","" ""))"),"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частей"&amp;"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метод"&amp;"ом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воз"&amp;"вышения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неровно"&amp;"стей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функцией"&amp;"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конфирмат"&amp;"ов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f>
        <v>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0">
      <c r="A3390" s="35" t="s">
        <v>8101</v>
      </c>
      <c r="B3390" s="31" t="s">
        <v>8102</v>
      </c>
      <c r="C3390" s="31" t="s">
        <v>8103</v>
      </c>
      <c r="D3390" s="37" t="s">
        <v>14</v>
      </c>
      <c r="E3390" s="38">
        <v>2.0</v>
      </c>
      <c r="F3390" s="38">
        <v>39.0</v>
      </c>
      <c r="G3390" s="11">
        <v>111008.0</v>
      </c>
      <c r="H3390" s="34" t="str">
        <f>IFERROR(__xludf.DUMMYFUNCTION("LOWER(REGEXREPLACE(B3390&amp;"" ""&amp;C3390,""[^а-яa-z0-9 ]"","" ""))"),"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f>
        <v>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v>
      </c>
    </row>
    <row r="3391">
      <c r="A3391" s="35" t="s">
        <v>8104</v>
      </c>
      <c r="B3391" s="31" t="s">
        <v>8105</v>
      </c>
      <c r="C3391" s="31" t="s">
        <v>8106</v>
      </c>
      <c r="D3391" s="37" t="s">
        <v>14</v>
      </c>
      <c r="E3391" s="38">
        <v>2.0</v>
      </c>
      <c r="F3391" s="38">
        <v>24.0</v>
      </c>
      <c r="G3391" s="11">
        <v>42532.0</v>
      </c>
      <c r="H3391" s="34" t="str">
        <f>IFERROR(__xludf.DUMMYFUNCTION("LOWER(REGEXREPLACE(B3391&amp;"" ""&amp;C3391,""[^а-яa-z0-9 ]"","" ""))"),"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толщин"&amp;"ой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п"&amp;"омощью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"&amp;"служащих для сохранения напольного покрытия ")</f>
        <v>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v>
      </c>
    </row>
    <row r="3392">
      <c r="A3392" s="35" t="s">
        <v>8107</v>
      </c>
      <c r="B3392" s="31" t="s">
        <v>8108</v>
      </c>
      <c r="C3392" s="31" t="s">
        <v>8109</v>
      </c>
      <c r="D3392" s="37" t="s">
        <v>14</v>
      </c>
      <c r="E3392" s="38">
        <v>2.0</v>
      </c>
      <c r="F3392" s="38">
        <v>143.0</v>
      </c>
      <c r="G3392" s="11">
        <v>308016.0</v>
      </c>
      <c r="H3392" s="34" t="str">
        <f>IFERROR(__xludf.DUMMYFUNCTION("LOWER(REGEXREPLACE(B3392&amp;"" ""&amp;C3392,""[^а-яa-z0-9 ]"","" ""))"),"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тол"&amp;"щиной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f>
        <v>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v>
      </c>
    </row>
    <row r="3393">
      <c r="A3393" s="35" t="s">
        <v>8110</v>
      </c>
      <c r="B3393" s="31" t="s">
        <v>8111</v>
      </c>
      <c r="C3393" s="31" t="s">
        <v>8112</v>
      </c>
      <c r="D3393" s="37" t="s">
        <v>14</v>
      </c>
      <c r="E3393" s="38">
        <v>2.0</v>
      </c>
      <c r="F3393" s="38">
        <v>44.0</v>
      </c>
      <c r="G3393" s="11">
        <v>141339.0</v>
      </c>
      <c r="H3393" s="34" t="str">
        <f>IFERROR(__xludf.DUMMYFUNCTION("LOWER(REGEXREPLACE(B3393&amp;"" ""&amp;C3393,""[^а-яa-z0-9 ]"","" ""))"),"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енч система высотой не менее 400мм  и изготавливается из      16мм и стекла толщиной не менее 4мм ")</f>
        <v>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4">
      <c r="A3394" s="35" t="s">
        <v>8113</v>
      </c>
      <c r="B3394" s="31" t="s">
        <v>8114</v>
      </c>
      <c r="C3394" s="31" t="s">
        <v>8115</v>
      </c>
      <c r="D3394" s="37" t="s">
        <v>14</v>
      </c>
      <c r="E3394" s="38">
        <v>2.0</v>
      </c>
      <c r="F3394" s="38">
        <v>94.0</v>
      </c>
      <c r="G3394" s="11">
        <v>194369.0</v>
      </c>
      <c r="H3394" s="34" t="str">
        <f>IFERROR(__xludf.DUMMYFUNCTION("LOWER(REGEXREPLACE(B3394&amp;"" ""&amp;C3394,""[^а-яa-z0-9 ]"","" ""))"),"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ра"&amp;"змерами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соединения"&amp;"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возв"&amp;"ышения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сое"&amp;"динительных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имеют"&amp;"ся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"&amp;"репление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f>
        <v>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v>
      </c>
    </row>
    <row r="3395">
      <c r="A3395" s="35" t="s">
        <v>8116</v>
      </c>
      <c r="B3395" s="31" t="s">
        <v>8117</v>
      </c>
      <c r="C3395" s="31" t="s">
        <v>8118</v>
      </c>
      <c r="D3395" s="37" t="s">
        <v>14</v>
      </c>
      <c r="E3395" s="38">
        <v>2.0</v>
      </c>
      <c r="F3395" s="38">
        <v>67.0</v>
      </c>
      <c r="G3395" s="11">
        <v>175207.0</v>
      </c>
      <c r="H3395" s="34" t="str">
        <f>IFERROR(__xludf.DUMMYFUNCTION("LOWER(REGEXREPLACE(B3395&amp;"" ""&amp;C3395,""[^а-яa-z0-9 ]"","" ""))"),"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столе"&amp;"шницы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кот"&amp;"орые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очеред"&amp;"ь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з"&amp;"а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0"&amp;"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ур"&amp;"овнем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про"&amp;"фильной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окрыти"&amp;"е металлокаркаса из порошковой полимерной краски ")</f>
        <v>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v>
      </c>
    </row>
    <row r="3396">
      <c r="A3396" s="35" t="s">
        <v>8119</v>
      </c>
      <c r="B3396" s="31" t="s">
        <v>8120</v>
      </c>
      <c r="C3396" s="31" t="s">
        <v>8121</v>
      </c>
      <c r="D3396" s="37" t="s">
        <v>14</v>
      </c>
      <c r="E3396" s="38">
        <v>2.0</v>
      </c>
      <c r="F3396" s="38">
        <v>48.0</v>
      </c>
      <c r="G3396" s="11">
        <v>152613.0</v>
      </c>
      <c r="H3396" s="34" t="str">
        <f>IFERROR(__xludf.DUMMYFUNCTION("LOWER(REGEXREPLACE(B3396&amp;"" ""&amp;C3396,""[^а-яa-z0-9 ]"","" ""))"),"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76"&amp;"0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проф"&amp;"ильной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оче"&amp;"редь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краск"&amp;"и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разме"&amp;"рами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фу"&amp;"нкцией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кон"&amp;"фирматов   еста установки креп жных изделий должны быть закрыты заглушками    основании тумбы должны быть регулируемые опоры ")</f>
        <v>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97">
      <c r="A3397" s="35" t="s">
        <v>8122</v>
      </c>
      <c r="B3397" s="31" t="s">
        <v>8123</v>
      </c>
      <c r="C3397" s="31" t="s">
        <v>8124</v>
      </c>
      <c r="D3397" s="37" t="s">
        <v>14</v>
      </c>
      <c r="E3397" s="38">
        <v>2.0</v>
      </c>
      <c r="F3397" s="38">
        <v>27.0</v>
      </c>
      <c r="G3397" s="11">
        <v>57267.0</v>
      </c>
      <c r="H3397" s="34" t="str">
        <f>IFERROR(__xludf.DUMMYFUNCTION("LOWER(REGEXREPLACE(B3397&amp;"" ""&amp;C3397,""[^а-яa-z0-9 ]"","" ""))"),"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толщи"&amp;"ной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крепятся"&amp;"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в"&amp;"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f>
        <v>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v>
      </c>
    </row>
    <row r="3398">
      <c r="A3398" s="35" t="s">
        <v>8125</v>
      </c>
      <c r="B3398" s="31" t="s">
        <v>8126</v>
      </c>
      <c r="C3398" s="31" t="s">
        <v>8127</v>
      </c>
      <c r="D3398" s="37" t="s">
        <v>14</v>
      </c>
      <c r="E3398" s="38">
        <v>2.0</v>
      </c>
      <c r="F3398" s="38">
        <v>67.0</v>
      </c>
      <c r="G3398" s="11">
        <v>144896.0</v>
      </c>
      <c r="H3398" s="34" t="str">
        <f>IFERROR(__xludf.DUMMYFUNCTION("LOWER(REGEXREPLACE(B3398&amp;"" ""&amp;C3398,""[^а-яa-z0-9 ]"","" ""))"),"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д"&amp;"веркой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"&amp;"заглушкой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по"&amp;"мощи эксцентриковых стяжек и конфирматов   еста установки креп жных изделий должны быть закрыты заглушками ")</f>
        <v>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v>
      </c>
    </row>
    <row r="3399">
      <c r="A3399" s="35" t="s">
        <v>8128</v>
      </c>
      <c r="B3399" s="31" t="s">
        <v>8129</v>
      </c>
      <c r="C3399" s="31" t="s">
        <v>8130</v>
      </c>
      <c r="D3399" s="37" t="s">
        <v>14</v>
      </c>
      <c r="E3399" s="38">
        <v>2.0</v>
      </c>
      <c r="F3399" s="38">
        <v>49.0</v>
      </c>
      <c r="G3399" s="11">
        <v>96327.0</v>
      </c>
      <c r="H3399" s="34" t="str">
        <f>IFERROR(__xludf.DUMMYFUNCTION("LOWER(REGEXREPLACE(B3399&amp;"" ""&amp;C3399,""[^а-яa-z0-9 ]"","" ""))"),"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"&amp;"выполнены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f>
        <v>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v>
      </c>
    </row>
    <row r="3400">
      <c r="A3400" s="35" t="s">
        <v>8131</v>
      </c>
      <c r="B3400" s="31" t="s">
        <v>8132</v>
      </c>
      <c r="C3400" s="31" t="s">
        <v>8133</v>
      </c>
      <c r="D3400" s="37" t="s">
        <v>14</v>
      </c>
      <c r="E3400" s="38">
        <v>2.0</v>
      </c>
      <c r="F3400" s="38">
        <v>67.0</v>
      </c>
      <c r="G3400" s="11">
        <v>96400.0</v>
      </c>
      <c r="H3400" s="34" t="str">
        <f>IFERROR(__xludf.DUMMYFUNCTION("LOWER(REGEXREPLACE(B3400&amp;"" ""&amp;C3400,""[^а-яa-z0-9 ]"","" ""))"),"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долж"&amp;"на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боковых"&amp;"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переход"&amp;"ом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осно"&amp;"вании опоры снабжены колесами  которые крепятся на металлические пластины ")</f>
        <v>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401">
      <c r="A3401" s="35" t="s">
        <v>8134</v>
      </c>
      <c r="B3401" s="31" t="s">
        <v>8135</v>
      </c>
      <c r="C3401" s="31"/>
      <c r="D3401" s="37" t="s">
        <v>14</v>
      </c>
      <c r="E3401" s="10"/>
      <c r="F3401" s="36"/>
      <c r="G3401" s="11"/>
      <c r="H3401" s="34" t="str">
        <f>IFERROR(__xludf.DUMMYFUNCTION("LOWER(REGEXREPLACE(B3401&amp;"" ""&amp;C3401,""[^а-яa-z0-9 ]"","" ""))")," тол детский ")</f>
        <v> тол детский </v>
      </c>
    </row>
    <row r="3402">
      <c r="A3402" s="35" t="s">
        <v>8136</v>
      </c>
      <c r="B3402" s="31" t="s">
        <v>8137</v>
      </c>
      <c r="C3402" s="31" t="s">
        <v>8138</v>
      </c>
      <c r="D3402" s="37" t="s">
        <v>14</v>
      </c>
      <c r="E3402" s="10"/>
      <c r="F3402" s="36"/>
      <c r="G3402" s="11">
        <v>12816.0</v>
      </c>
      <c r="H3402" s="34" t="str">
        <f>IFERROR(__xludf.DUMMYFUNCTION("LOWER(REGEXREPLACE(B3402&amp;"" ""&amp;C3402,""[^а-яa-z0-9 ]"","" ""))")," тол детский   вадратик    700х700х 580  каркас мет   3рг   толешница из      16 мм  все углы закруглены   снование металлокаркас   азмеры  700х700х  580мм")</f>
        <v> тол детский   вадратик    700х700х 580  каркас мет   3рг   толешница из      16 мм  все углы закруглены   снование металлокаркас   азмеры  700х700х  580мм</v>
      </c>
    </row>
    <row r="3403">
      <c r="A3403" s="35" t="s">
        <v>8139</v>
      </c>
      <c r="B3403" s="31" t="s">
        <v>8140</v>
      </c>
      <c r="C3403" s="31" t="s">
        <v>8141</v>
      </c>
      <c r="D3403" s="37" t="s">
        <v>14</v>
      </c>
      <c r="E3403" s="10"/>
      <c r="F3403" s="36"/>
      <c r="G3403" s="11">
        <v>14945.0</v>
      </c>
      <c r="H3403" s="34" t="str">
        <f>IFERROR(__xludf.DUMMYFUNCTION("LOWER(REGEXREPLACE(B3403&amp;"" ""&amp;C3403,""[^а-яa-z0-9 ]"","" ""))")," тол детский   вадратик   регулируемый по высоте 700х700х520 640  2 4рг   толешница из       16 мм  все углы закруглены   тол игровой регулируемый по высоте   азмеры  700х700х 520 640мм")</f>
        <v> тол детский   вадратик   регулируемый по высоте 700х700х520 640  2 4рг   толешница из       16 мм  все углы закруглены   тол игровой регулируемый по высоте   азмеры  700х700х 520 640мм</v>
      </c>
    </row>
    <row r="3404">
      <c r="A3404" s="35" t="s">
        <v>8142</v>
      </c>
      <c r="B3404" s="31" t="s">
        <v>8143</v>
      </c>
      <c r="C3404" s="31" t="s">
        <v>8144</v>
      </c>
      <c r="D3404" s="37" t="s">
        <v>14</v>
      </c>
      <c r="E3404" s="10"/>
      <c r="F3404" s="36"/>
      <c r="G3404" s="11">
        <v>6071.0</v>
      </c>
      <c r="H3404" s="34" t="str">
        <f>IFERROR(__xludf.DUMMYFUNCTION("LOWER(REGEXREPLACE(B3404&amp;"" ""&amp;C3404,""[^а-яa-z0-9 ]"","" ""))")," тол детский размерами 500х700х520 мм  толешница     16мм   еталлический каркас   азмер 600 800 620мм")</f>
        <v> тол детский размерами 500х700х520 мм  толешница     16мм   еталлический каркас   азмер 600 800 620мм</v>
      </c>
    </row>
    <row r="3405">
      <c r="A3405" s="35" t="s">
        <v>8145</v>
      </c>
      <c r="B3405" s="31" t="s">
        <v>8146</v>
      </c>
      <c r="C3405" s="31" t="s">
        <v>8147</v>
      </c>
      <c r="D3405" s="37" t="s">
        <v>14</v>
      </c>
      <c r="E3405" s="10"/>
      <c r="F3405" s="36"/>
      <c r="G3405" s="11">
        <v>6964.0</v>
      </c>
      <c r="H3405" s="34" t="str">
        <f>IFERROR(__xludf.DUMMYFUNCTION("LOWER(REGEXREPLACE(B3405&amp;"" ""&amp;C3405,""[^а-яa-z0-9 ]"","" ""))")," тол детский размерами 600х800х620 мм  толешница     16мм   еталлический каркас   азмер 500 700 520мм")</f>
        <v> тол детский размерами 600х800х620 мм  толешница     16мм   еталлический каркас   азмер 500 700 520мм</v>
      </c>
    </row>
    <row r="3406">
      <c r="A3406" s="35" t="s">
        <v>8148</v>
      </c>
      <c r="B3406" s="31" t="s">
        <v>8149</v>
      </c>
      <c r="C3406" s="31" t="s">
        <v>8150</v>
      </c>
      <c r="D3406" s="37" t="s">
        <v>14</v>
      </c>
      <c r="E3406" s="10"/>
      <c r="F3406" s="36"/>
      <c r="G3406" s="11">
        <v>6964.0</v>
      </c>
      <c r="H3406" s="34" t="str">
        <f>IFERROR(__xludf.DUMMYFUNCTION("LOWER(REGEXREPLACE(B3406&amp;"" ""&amp;C3406,""[^а-яa-z0-9 ]"","" ""))")," тол детский размерами 750х520 мм  толешница     16мм   еталлический каркас   азмер 750 520мм")</f>
        <v> тол детский размерами 750х520 мм  толешница     16мм   еталлический каркас   азмер 750 520мм</v>
      </c>
    </row>
    <row r="3407">
      <c r="A3407" s="35" t="s">
        <v>8151</v>
      </c>
      <c r="B3407" s="31" t="s">
        <v>8152</v>
      </c>
      <c r="C3407" s="31"/>
      <c r="D3407" s="37" t="s">
        <v>14</v>
      </c>
      <c r="E3407" s="10"/>
      <c r="F3407" s="36"/>
      <c r="G3407" s="11"/>
      <c r="H3407" s="34" t="str">
        <f>IFERROR(__xludf.DUMMYFUNCTION("LOWER(REGEXREPLACE(B3407&amp;"" ""&amp;C3407,""[^а-яa-z0-9 ]"","" ""))")," тул полумягкий ")</f>
        <v> тул полумягкий </v>
      </c>
    </row>
    <row r="3408">
      <c r="A3408" s="35" t="s">
        <v>8153</v>
      </c>
      <c r="B3408" s="31" t="s">
        <v>8152</v>
      </c>
      <c r="C3408" s="31" t="s">
        <v>8154</v>
      </c>
      <c r="D3408" s="37" t="s">
        <v>14</v>
      </c>
      <c r="E3408" s="10"/>
      <c r="F3408" s="36"/>
      <c r="G3408" s="11">
        <v>10512.0</v>
      </c>
      <c r="H3408" s="34" t="str">
        <f>IFERROR(__xludf.DUMMYFUNCTION("LOWER(REGEXREPLACE(B3408&amp;"" ""&amp;C3408,""[^а-яa-z0-9 ]"","" ""))")," тул полумягкий  снование металлокаркас   идение и спинка стула сделаны из фанеры  облицованы мебельной тканью   гобелен")</f>
        <v> тул полумягкий  снование металлокаркас   идение и спинка стула сделаны из фанеры  облицованы мебельной тканью   гобелен</v>
      </c>
    </row>
    <row r="3409">
      <c r="A3409" s="35" t="s">
        <v>8155</v>
      </c>
      <c r="B3409" s="31" t="s">
        <v>8156</v>
      </c>
      <c r="C3409" s="31" t="s">
        <v>8157</v>
      </c>
      <c r="D3409" s="37" t="s">
        <v>14</v>
      </c>
      <c r="E3409" s="10"/>
      <c r="F3409" s="36"/>
      <c r="G3409" s="11">
        <v>9821.0</v>
      </c>
      <c r="H3409" s="34" t="str">
        <f>IFERROR(__xludf.DUMMYFUNCTION("LOWER(REGEXREPLACE(B3409&amp;"" ""&amp;C3409,""[^а-яa-z0-9 ]"","" ""))")," тул полумягкий   инилискожа   снование металлокаркас   идение и спинка стула сделаны из фанеры  облицованы мебельной тканью   винилискожа")</f>
        <v> тул полумягкий   инилискожа   снование металлокаркас   идение и спинка стула сделаны из фанеры  облицованы мебельной тканью   винилискожа</v>
      </c>
    </row>
    <row r="3410">
      <c r="A3410" s="35" t="s">
        <v>8158</v>
      </c>
      <c r="B3410" s="31" t="s">
        <v>8159</v>
      </c>
      <c r="C3410" s="31" t="s">
        <v>8160</v>
      </c>
      <c r="D3410" s="37" t="s">
        <v>14</v>
      </c>
      <c r="E3410" s="10"/>
      <c r="F3410" s="36"/>
      <c r="G3410" s="11">
        <v>9764.0</v>
      </c>
      <c r="H3410" s="34" t="str">
        <f>IFERROR(__xludf.DUMMYFUNCTION("LOWER(REGEXREPLACE(B3410&amp;"" ""&amp;C3410,""[^а-яa-z0-9 ]"","" ""))")," тул полумягкий  ткань меб   снование металлокаркас   идение и спинка стула сделаны из фанеры  облицованы мебельной тканью")</f>
        <v> тул полумягкий  ткань меб   снование металлокаркас   идение и спинка стула сделаны из фанеры  облицованы мебельной тканью</v>
      </c>
    </row>
    <row r="3411">
      <c r="A3411" s="35" t="s">
        <v>8161</v>
      </c>
      <c r="B3411" s="31" t="s">
        <v>8162</v>
      </c>
      <c r="C3411" s="31" t="s">
        <v>8163</v>
      </c>
      <c r="D3411" s="37" t="s">
        <v>14</v>
      </c>
      <c r="E3411" s="38">
        <v>2.0</v>
      </c>
      <c r="F3411" s="39">
        <v>6.5</v>
      </c>
      <c r="G3411" s="11">
        <v>56860.0</v>
      </c>
      <c r="H3411" s="34" t="str">
        <f>IFERROR(__xludf.DUMMYFUNCTION("LOWER(REGEXREPLACE(B3411&amp;"" ""&amp;C3411,""[^а-яa-z0-9 ]"","" ""))"),"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подлокотн"&amp;"ик  черный пластик сзади  складное сиденье из пенополиуретана   азмеры 540 850 550 мм")</f>
        <v>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подлокотник  черный пластик сзади  складное сиденье из пенополиуретана   азмеры 540 850 550 мм</v>
      </c>
    </row>
    <row r="3412">
      <c r="A3412" s="35" t="s">
        <v>8164</v>
      </c>
      <c r="B3412" s="31" t="s">
        <v>8165</v>
      </c>
      <c r="C3412" s="31" t="s">
        <v>8166</v>
      </c>
      <c r="D3412" s="37" t="s">
        <v>14</v>
      </c>
      <c r="E3412" s="38">
        <v>2.0</v>
      </c>
      <c r="F3412" s="38">
        <v>6.0</v>
      </c>
      <c r="G3412" s="11">
        <v>51283.0</v>
      </c>
      <c r="H3412" s="34" t="str">
        <f>IFERROR(__xludf.DUMMYFUNCTION("LOWER(REGEXREPLACE(B3412&amp;"" ""&amp;C3412,""[^а-яa-z0-9 ]"","" ""))"),"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мет"&amp;"аллический каркас из круглой трубы   азмеры 550 835 560 мм")</f>
        <v>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металлический каркас из круглой трубы   азмеры 550 835 560 мм</v>
      </c>
    </row>
    <row r="3413">
      <c r="A3413" s="35" t="s">
        <v>8167</v>
      </c>
      <c r="B3413" s="31" t="s">
        <v>8168</v>
      </c>
      <c r="C3413" s="31" t="s">
        <v>8169</v>
      </c>
      <c r="D3413" s="37" t="s">
        <v>14</v>
      </c>
      <c r="E3413" s="38">
        <v>2.0</v>
      </c>
      <c r="F3413" s="38">
        <v>5.0</v>
      </c>
      <c r="G3413" s="11">
        <v>15757.0</v>
      </c>
      <c r="H3413" s="34" t="str">
        <f>IFERROR(__xludf.DUMMYFUNCTION("LOWER(REGEXREPLACE(B3413&amp;"" ""&amp;C3413,""[^а-яa-z0-9 ]"","" ""))")," тул полумягкий   еталлический каркас   азмер  400х465х800мм  еталлический каркас   атериал обивки и цвет по согласованию с заказчиком ")</f>
        <v> тул полумягкий   еталлический каркас   азмер  400х465х800мм  еталлический каркас   атериал обивки и цвет по согласованию с заказчиком </v>
      </c>
    </row>
    <row r="3414">
      <c r="A3414" s="35" t="s">
        <v>8170</v>
      </c>
      <c r="B3414" s="31" t="s">
        <v>8171</v>
      </c>
      <c r="C3414" s="31" t="s">
        <v>8172</v>
      </c>
      <c r="D3414" s="37" t="s">
        <v>14</v>
      </c>
      <c r="E3414" s="38">
        <v>2.0</v>
      </c>
      <c r="F3414" s="38">
        <v>5.0</v>
      </c>
      <c r="G3414" s="11">
        <v>15127.0</v>
      </c>
      <c r="H3414" s="34" t="str">
        <f>IFERROR(__xludf.DUMMYFUNCTION("LOWER(REGEXREPLACE(B3414&amp;"" ""&amp;C3414,""[^а-яa-z0-9 ]"","" ""))")," тул полумягкий   аркас металлический   азмер  460х520х830мм  аркас металлический  цвет черный    атериал обивки и цвет по согласованию с заказчиком ")</f>
        <v> тул полумягкий   аркас металлический   азмер  460х520х830мм  аркас металлический  цвет черный    атериал обивки и цвет по согласованию с заказчиком </v>
      </c>
    </row>
    <row r="3415">
      <c r="A3415" s="35" t="s">
        <v>8173</v>
      </c>
      <c r="B3415" s="31" t="s">
        <v>8174</v>
      </c>
      <c r="C3415" s="31" t="s">
        <v>8175</v>
      </c>
      <c r="D3415" s="37" t="s">
        <v>14</v>
      </c>
      <c r="E3415" s="38">
        <v>2.0</v>
      </c>
      <c r="F3415" s="38">
        <v>5.0</v>
      </c>
      <c r="G3415" s="11">
        <v>20523.0</v>
      </c>
      <c r="H3415" s="34" t="str">
        <f>IFERROR(__xludf.DUMMYFUNCTION("LOWER(REGEXREPLACE(B3415&amp;"" ""&amp;C3415,""[^а-яa-z0-9 ]"","" ""))")," тул полумягкий   аркас металлический крашенный   азмер  550x600x830мм  аркас металлический крашенный    атериал обивки и цвет по согласованию с заказчиком ")</f>
        <v> тул полумягкий   аркас металлический крашенный   азмер  550x600x830мм  аркас металлический крашенный    атериал обивки и цвет по согласованию с заказчиком </v>
      </c>
    </row>
    <row r="3416">
      <c r="A3416" s="35" t="s">
        <v>8176</v>
      </c>
      <c r="B3416" s="31" t="s">
        <v>8177</v>
      </c>
      <c r="C3416" s="31" t="s">
        <v>8178</v>
      </c>
      <c r="D3416" s="37" t="s">
        <v>14</v>
      </c>
      <c r="E3416" s="38">
        <v>2.0</v>
      </c>
      <c r="F3416" s="38">
        <v>5.0</v>
      </c>
      <c r="G3416" s="11">
        <v>23131.0</v>
      </c>
      <c r="H3416" s="34" t="str">
        <f>IFERROR(__xludf.DUMMYFUNCTION("LOWER(REGEXREPLACE(B3416&amp;"" ""&amp;C3416,""[^а-яa-z0-9 ]"","" ""))")," тул полумягкий   ромированный каркас   азмер  550x600x830мм  ромированный каркас   атериал обивки и цвет по согласованию с заказчиком ")</f>
        <v> тул полумягкий   ромированный каркас   азмер  550x600x830мм  ромированный каркас   атериал обивки и цвет по согласованию с заказчиком </v>
      </c>
    </row>
    <row r="3417">
      <c r="A3417" s="35" t="s">
        <v>8179</v>
      </c>
      <c r="B3417" s="31" t="s">
        <v>8180</v>
      </c>
      <c r="C3417" s="31" t="s">
        <v>8181</v>
      </c>
      <c r="D3417" s="37" t="s">
        <v>14</v>
      </c>
      <c r="E3417" s="38">
        <v>2.0</v>
      </c>
      <c r="F3417" s="38">
        <v>5.0</v>
      </c>
      <c r="G3417" s="11">
        <v>31045.0</v>
      </c>
      <c r="H3417" s="34" t="str">
        <f>IFERROR(__xludf.DUMMYFUNCTION("LOWER(REGEXREPLACE(B3417&amp;"" ""&amp;C3417,""[^а-яa-z0-9 ]"","" ""))"),"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f>
        <v>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v>
      </c>
    </row>
    <row r="3418">
      <c r="A3418" s="35" t="s">
        <v>8182</v>
      </c>
      <c r="B3418" s="31" t="s">
        <v>8183</v>
      </c>
      <c r="C3418" s="31" t="s">
        <v>8183</v>
      </c>
      <c r="D3418" s="37" t="s">
        <v>14</v>
      </c>
      <c r="E3418" s="38">
        <v>2.0</v>
      </c>
      <c r="F3418" s="38">
        <v>5.0</v>
      </c>
      <c r="G3418" s="11">
        <v>46063.0</v>
      </c>
      <c r="H3418" s="34" t="str">
        <f>IFERROR(__xludf.DUMMYFUNCTION("LOWER(REGEXREPLACE(B3418&amp;"" ""&amp;C3418,""[^а-яa-z0-9 ]"","" ""))"),"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f>
        <v>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v>
      </c>
    </row>
    <row r="3419">
      <c r="A3419" s="35" t="s">
        <v>8184</v>
      </c>
      <c r="B3419" s="31" t="s">
        <v>8185</v>
      </c>
      <c r="C3419" s="31" t="s">
        <v>8185</v>
      </c>
      <c r="D3419" s="37" t="s">
        <v>14</v>
      </c>
      <c r="E3419" s="38">
        <v>2.0</v>
      </c>
      <c r="F3419" s="38">
        <v>5.0</v>
      </c>
      <c r="G3419" s="11">
        <v>26953.0</v>
      </c>
      <c r="H3419" s="34" t="str">
        <f>IFERROR(__xludf.DUMMYFUNCTION("LOWER(REGEXREPLACE(B3419&amp;"" ""&amp;C3419,""[^а-яa-z0-9 ]"","" ""))"),"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f>
        <v>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v>
      </c>
    </row>
    <row r="3420">
      <c r="A3420" s="35" t="s">
        <v>8186</v>
      </c>
      <c r="B3420" s="31" t="s">
        <v>8187</v>
      </c>
      <c r="C3420" s="31" t="s">
        <v>8187</v>
      </c>
      <c r="D3420" s="37" t="s">
        <v>14</v>
      </c>
      <c r="E3420" s="38">
        <v>2.0</v>
      </c>
      <c r="F3420" s="38">
        <v>5.0</v>
      </c>
      <c r="G3420" s="11">
        <v>38959.0</v>
      </c>
      <c r="H3420" s="34" t="str">
        <f>IFERROR(__xludf.DUMMYFUNCTION("LOWER(REGEXREPLACE(B3420&amp;"" ""&amp;C3420,""[^а-яa-z0-9 ]"","" ""))"),"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f>
        <v>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v>
      </c>
    </row>
    <row r="3421">
      <c r="A3421" s="35" t="s">
        <v>8188</v>
      </c>
      <c r="B3421" s="31" t="s">
        <v>8189</v>
      </c>
      <c r="C3421" s="31" t="s">
        <v>8190</v>
      </c>
      <c r="D3421" s="37" t="s">
        <v>14</v>
      </c>
      <c r="E3421" s="38">
        <v>2.0</v>
      </c>
      <c r="F3421" s="38">
        <v>11.0</v>
      </c>
      <c r="G3421" s="11">
        <v>48784.0</v>
      </c>
      <c r="H3421" s="34" t="str">
        <f>IFERROR(__xludf.DUMMYFUNCTION("LOWER(REGEXREPLACE(B3421&amp;"" ""&amp;C3421,""[^а-яa-z0-9 ]"","" ""))"),"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f>
        <v>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v>
      </c>
    </row>
    <row r="3422">
      <c r="A3422" s="35" t="s">
        <v>8191</v>
      </c>
      <c r="B3422" s="31" t="s">
        <v>8192</v>
      </c>
      <c r="C3422" s="31" t="s">
        <v>8193</v>
      </c>
      <c r="D3422" s="37" t="s">
        <v>14</v>
      </c>
      <c r="E3422" s="38">
        <v>2.0</v>
      </c>
      <c r="F3422" s="38">
        <v>11.0</v>
      </c>
      <c r="G3422" s="11">
        <v>53321.0</v>
      </c>
      <c r="H3422" s="34" t="str">
        <f>IFERROR(__xludf.DUMMYFUNCTION("LOWER(REGEXREPLACE(B3422&amp;"" ""&amp;C3422,""[^а-яa-z0-9 ]"","" ""))"),"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зак"&amp;"азчиком ")</f>
        <v>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заказчиком </v>
      </c>
    </row>
    <row r="3423">
      <c r="A3423" s="35" t="s">
        <v>8194</v>
      </c>
      <c r="B3423" s="31" t="s">
        <v>8195</v>
      </c>
      <c r="C3423" s="31" t="s">
        <v>8196</v>
      </c>
      <c r="D3423" s="37" t="s">
        <v>14</v>
      </c>
      <c r="E3423" s="38">
        <v>2.0</v>
      </c>
      <c r="F3423" s="38">
        <v>11.0</v>
      </c>
      <c r="G3423" s="11">
        <v>49054.0</v>
      </c>
      <c r="H3423" s="34" t="str">
        <f>IFERROR(__xludf.DUMMYFUNCTION("LOWER(REGEXREPLACE(B3423&amp;"" ""&amp;C3423,""[^а-яa-z0-9 ]"","" ""))"),"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к"&amp;"ожи   атериал обивки и цвет по согласованию с заказчиком ")</f>
        <v>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кожи   атериал обивки и цвет по согласованию с заказчиком </v>
      </c>
    </row>
    <row r="3424">
      <c r="A3424" s="35" t="s">
        <v>8197</v>
      </c>
      <c r="B3424" s="31" t="s">
        <v>8198</v>
      </c>
      <c r="C3424" s="31" t="s">
        <v>8199</v>
      </c>
      <c r="D3424" s="37" t="s">
        <v>14</v>
      </c>
      <c r="E3424" s="38">
        <v>2.0</v>
      </c>
      <c r="F3424" s="38">
        <v>11.0</v>
      </c>
      <c r="G3424" s="11">
        <v>53011.0</v>
      </c>
      <c r="H3424" s="34" t="str">
        <f>IFERROR(__xludf.DUMMYFUNCTION("LOWER(REGEXREPLACE(B3424&amp;"" ""&amp;C3424,""[^а-яa-z0-9 ]"","" ""))"),"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"&amp;" атериал обивки  эко кожа")</f>
        <v>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атериал обивки  эко кожа</v>
      </c>
    </row>
    <row r="3425">
      <c r="A3425" s="35" t="s">
        <v>8200</v>
      </c>
      <c r="B3425" s="31" t="s">
        <v>8201</v>
      </c>
      <c r="C3425" s="31" t="s">
        <v>8202</v>
      </c>
      <c r="D3425" s="37" t="s">
        <v>14</v>
      </c>
      <c r="E3425" s="38">
        <v>2.0</v>
      </c>
      <c r="F3425" s="38">
        <v>11.0</v>
      </c>
      <c r="G3425" s="11">
        <v>85385.0</v>
      </c>
      <c r="H3425" s="34" t="str">
        <f>IFERROR(__xludf.DUMMYFUNCTION("LOWER(REGEXREPLACE(B3425&amp;"" ""&amp;C3425,""[^а-яa-z0-9 ]"","" ""))"),"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f>
        <v>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v>
      </c>
    </row>
    <row r="3426">
      <c r="A3426" s="35" t="s">
        <v>8203</v>
      </c>
      <c r="B3426" s="9" t="s">
        <v>8204</v>
      </c>
      <c r="C3426" s="31" t="s">
        <v>8205</v>
      </c>
      <c r="D3426" s="37" t="s">
        <v>14</v>
      </c>
      <c r="E3426" s="38">
        <v>2.0</v>
      </c>
      <c r="F3426" s="38">
        <v>15.0</v>
      </c>
      <c r="G3426" s="11">
        <v>126408.0</v>
      </c>
      <c r="H3426" s="34" t="str">
        <f>IFERROR(__xludf.DUMMYFUNCTION("LOWER(REGEXREPLACE(B3426&amp;"" ""&amp;C3426,""[^а-яa-z0-9 ]"","" ""))"),"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f>
        <v>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v>
      </c>
    </row>
    <row r="3427">
      <c r="A3427" s="35" t="s">
        <v>8206</v>
      </c>
      <c r="B3427" s="31" t="s">
        <v>8207</v>
      </c>
      <c r="C3427" s="31" t="s">
        <v>8208</v>
      </c>
      <c r="D3427" s="37" t="s">
        <v>14</v>
      </c>
      <c r="E3427" s="38">
        <v>2.0</v>
      </c>
      <c r="F3427" s="38">
        <v>7.0</v>
      </c>
      <c r="G3427" s="11">
        <v>46331.0</v>
      </c>
      <c r="H3427" s="34" t="str">
        <f>IFERROR(__xludf.DUMMYFUNCTION("LOWER(REGEXREPLACE(B3427&amp;"" ""&amp;C3427,""[^а-яa-z0-9 ]"","" ""))"),"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металическ"&amp;"ого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f>
        <v>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v>
      </c>
    </row>
    <row r="3428">
      <c r="A3428" s="35" t="s">
        <v>8209</v>
      </c>
      <c r="B3428" s="9" t="s">
        <v>8210</v>
      </c>
      <c r="C3428" s="31" t="s">
        <v>8211</v>
      </c>
      <c r="D3428" s="37" t="s">
        <v>14</v>
      </c>
      <c r="E3428" s="38">
        <v>2.0</v>
      </c>
      <c r="F3428" s="38">
        <v>14.0</v>
      </c>
      <c r="G3428" s="11">
        <v>74736.0</v>
      </c>
      <c r="H3428" s="34" t="str">
        <f>IFERROR(__xludf.DUMMYFUNCTION("LOWER(REGEXREPLACE(B3428&amp;"" ""&amp;C3428,""[^а-яa-z0-9 ]"","" ""))"),"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опора"&amp;" подлокотника фиксированная   одлокотники металлические с пластиковыми вставками ")</f>
        <v>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 подлокотника фиксированная   одлокотники металлические с пластиковыми вставками </v>
      </c>
    </row>
    <row r="3429">
      <c r="A3429" s="35" t="s">
        <v>8212</v>
      </c>
      <c r="B3429" s="31" t="s">
        <v>8213</v>
      </c>
      <c r="C3429" s="31" t="s">
        <v>8214</v>
      </c>
      <c r="D3429" s="37" t="s">
        <v>14</v>
      </c>
      <c r="E3429" s="38">
        <v>2.0</v>
      </c>
      <c r="F3429" s="38">
        <v>9.0</v>
      </c>
      <c r="G3429" s="11">
        <v>57823.0</v>
      </c>
      <c r="H3429" s="34" t="str">
        <f>IFERROR(__xludf.DUMMYFUNCTION("LOWER(REGEXREPLACE(B3429&amp;"" ""&amp;C3429,""[^а-яa-z0-9 ]"","" ""))"),"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f>
        <v>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v>
      </c>
    </row>
    <row r="3430">
      <c r="A3430" s="35" t="s">
        <v>8215</v>
      </c>
      <c r="B3430" s="31" t="s">
        <v>8216</v>
      </c>
      <c r="C3430" s="31" t="s">
        <v>8217</v>
      </c>
      <c r="D3430" s="37" t="s">
        <v>14</v>
      </c>
      <c r="E3430" s="38">
        <v>2.0</v>
      </c>
      <c r="F3430" s="38">
        <v>10.0</v>
      </c>
      <c r="G3430" s="11">
        <v>65441.0</v>
      </c>
      <c r="H3430" s="34" t="str">
        <f>IFERROR(__xludf.DUMMYFUNCTION("LOWER(REGEXREPLACE(B3430&amp;"" ""&amp;C3430,""[^а-яa-z0-9 ]"","" ""))"),"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f>
        <v>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v>
      </c>
    </row>
    <row r="3431">
      <c r="A3431" s="35" t="s">
        <v>8218</v>
      </c>
      <c r="B3431" s="31" t="s">
        <v>8219</v>
      </c>
      <c r="C3431" s="31" t="s">
        <v>8220</v>
      </c>
      <c r="D3431" s="37" t="s">
        <v>14</v>
      </c>
      <c r="E3431" s="38">
        <v>2.0</v>
      </c>
      <c r="F3431" s="38">
        <v>20.0</v>
      </c>
      <c r="G3431" s="11">
        <v>36672.0</v>
      </c>
      <c r="H3431" s="34" t="str">
        <f>IFERROR(__xludf.DUMMYFUNCTION("LOWER(REGEXREPLACE(B3431&amp;"" ""&amp;C3431,""[^а-яa-z0-9 ]"","" ""))")," тул полумягкий   атериал сиденья и спинки ткань  ножки хромированные  азмеры  730 400 400 мм    вет по согласованию")</f>
        <v> тул полумягкий   атериал сиденья и спинки ткань  ножки хромированные  азмеры  730 400 400 мм    вет по согласованию</v>
      </c>
    </row>
    <row r="3432">
      <c r="A3432" s="35" t="s">
        <v>8221</v>
      </c>
      <c r="B3432" s="31" t="s">
        <v>8222</v>
      </c>
      <c r="C3432" s="31" t="s">
        <v>8223</v>
      </c>
      <c r="D3432" s="37" t="s">
        <v>14</v>
      </c>
      <c r="E3432" s="38">
        <v>2.0</v>
      </c>
      <c r="F3432" s="39">
        <v>4.3</v>
      </c>
      <c r="G3432" s="11">
        <v>12321.0</v>
      </c>
      <c r="H3432" s="34" t="str">
        <f>IFERROR(__xludf.DUMMYFUNCTION("LOWER(REGEXREPLACE(B3432&amp;"" ""&amp;C3432,""[^а-яa-z0-9 ]"","" ""))"),"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аполнитель"&amp;"  мебельный поролон  плотностью 25 36   ысота от пола до сидения  460 мм   ысота стула  860 мм ")</f>
        <v>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  мебельный поролон  плотностью 25 36   ысота от пола до сидения  460 мм   ысота стула  860 мм </v>
      </c>
    </row>
    <row r="3433">
      <c r="A3433" s="35" t="s">
        <v>8224</v>
      </c>
      <c r="B3433" s="31" t="s">
        <v>8225</v>
      </c>
      <c r="C3433" s="31" t="s">
        <v>8226</v>
      </c>
      <c r="D3433" s="37" t="s">
        <v>14</v>
      </c>
      <c r="E3433" s="38">
        <v>2.0</v>
      </c>
      <c r="F3433" s="38">
        <v>8.0</v>
      </c>
      <c r="G3433" s="11">
        <v>12640.0</v>
      </c>
      <c r="H3433" s="34" t="str">
        <f>IFERROR(__xludf.DUMMYFUNCTION("LOWER(REGEXREPLACE(B3433&amp;"" ""&amp;C3433,""[^а-яa-z0-9 ]"","" ""))")," тул полумягкий типа  зо   аркас металлический цветной   азмер  435х440х840мм  аркас металлический цветной   атериал обивки и цвет по согласованию с заказчиком ")</f>
        <v> тул полумягкий типа  зо   аркас металлический цветной   азмер  435х440х840мм  аркас металлический цветной   атериал обивки и цвет по согласованию с заказчиком </v>
      </c>
    </row>
    <row r="3434">
      <c r="A3434" s="35" t="s">
        <v>8227</v>
      </c>
      <c r="B3434" s="31" t="s">
        <v>8228</v>
      </c>
      <c r="C3434" s="31" t="s">
        <v>8229</v>
      </c>
      <c r="D3434" s="37" t="s">
        <v>14</v>
      </c>
      <c r="E3434" s="38">
        <v>2.0</v>
      </c>
      <c r="F3434" s="38">
        <v>8.0</v>
      </c>
      <c r="G3434" s="11">
        <v>7959.0</v>
      </c>
      <c r="H3434" s="34" t="str">
        <f>IFERROR(__xludf.DUMMYFUNCTION("LOWER(REGEXREPLACE(B3434&amp;"" ""&amp;C3434,""[^а-яa-z0-9 ]"","" ""))"),"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f>
        <v>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v>
      </c>
    </row>
    <row r="3435">
      <c r="A3435" s="35" t="s">
        <v>8230</v>
      </c>
      <c r="B3435" s="31" t="s">
        <v>8231</v>
      </c>
      <c r="C3435" s="31" t="s">
        <v>8232</v>
      </c>
      <c r="D3435" s="37" t="s">
        <v>14</v>
      </c>
      <c r="E3435" s="38">
        <v>2.0</v>
      </c>
      <c r="F3435" s="38">
        <v>8.0</v>
      </c>
      <c r="G3435" s="11">
        <v>13169.0</v>
      </c>
      <c r="H3435" s="34" t="str">
        <f>IFERROR(__xludf.DUMMYFUNCTION("LOWER(REGEXREPLACE(B3435&amp;"" ""&amp;C3435,""[^а-яa-z0-9 ]"","" ""))")," тул полумягкий типа        аркас металлический цветной   бивка гобелен   азмер  440х410х970мм  ысота от пола до сиденья 460мм   аркас металлический цветной ")</f>
        <v> тул полумягкий типа        аркас металлический цветной   бивка гобелен   азмер  440х410х970мм  ысота от пола до сиденья 460мм   аркас металлический цветной </v>
      </c>
    </row>
    <row r="3436">
      <c r="A3436" s="35" t="s">
        <v>8233</v>
      </c>
      <c r="B3436" s="31" t="s">
        <v>8234</v>
      </c>
      <c r="C3436" s="31" t="s">
        <v>8235</v>
      </c>
      <c r="D3436" s="37" t="s">
        <v>14</v>
      </c>
      <c r="E3436" s="38">
        <v>2.0</v>
      </c>
      <c r="F3436" s="38">
        <v>11.0</v>
      </c>
      <c r="G3436" s="11">
        <v>34897.0</v>
      </c>
      <c r="H3436" s="34" t="str">
        <f>IFERROR(__xludf.DUMMYFUNCTION("LOWER(REGEXREPLACE(B3436&amp;"" ""&amp;C3436,""[^а-яa-z0-9 ]"","" ""))"),"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f>
        <v>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v>
      </c>
    </row>
    <row r="3437">
      <c r="A3437" s="35" t="s">
        <v>8236</v>
      </c>
      <c r="B3437" s="31" t="s">
        <v>8237</v>
      </c>
      <c r="C3437" s="31" t="s">
        <v>8237</v>
      </c>
      <c r="D3437" s="37" t="s">
        <v>14</v>
      </c>
      <c r="E3437" s="38">
        <v>2.0</v>
      </c>
      <c r="F3437" s="38">
        <v>11.0</v>
      </c>
      <c r="G3437" s="11">
        <v>14400.0</v>
      </c>
      <c r="H3437" s="34" t="str">
        <f>IFERROR(__xludf.DUMMYFUNCTION("LOWER(REGEXREPLACE(B3437&amp;"" ""&amp;C3437,""[^а-яa-z0-9 ]"","" ""))"),"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f>
        <v>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v>
      </c>
    </row>
    <row r="3438">
      <c r="A3438" s="35" t="s">
        <v>8238</v>
      </c>
      <c r="B3438" s="31" t="s">
        <v>8239</v>
      </c>
      <c r="C3438" s="31" t="s">
        <v>8240</v>
      </c>
      <c r="D3438" s="37" t="s">
        <v>14</v>
      </c>
      <c r="E3438" s="38">
        <v>2.0</v>
      </c>
      <c r="F3438" s="38">
        <v>11.0</v>
      </c>
      <c r="G3438" s="11">
        <v>21102.0</v>
      </c>
      <c r="H3438" s="34" t="str">
        <f>IFERROR(__xludf.DUMMYFUNCTION("LOWER(REGEXREPLACE(B3438&amp;"" ""&amp;C3438,""[^а-яa-z0-9 ]"","" ""))")," тул полумягкий типа  иаф   аркас металлический цветной   бивка сетка   азмер  470х450х840мм  ысота от пола до сиденья 470мм   аркас металлический цветной")</f>
        <v> тул полумягкий типа  иаф   аркас металлический цветной   бивка сетка   азмер  470х450х840мм  ысота от пола до сиденья 470мм   аркас металлический цветной</v>
      </c>
    </row>
    <row r="3439">
      <c r="A3439" s="35" t="s">
        <v>8241</v>
      </c>
      <c r="B3439" s="31" t="s">
        <v>8242</v>
      </c>
      <c r="C3439" s="31" t="s">
        <v>8243</v>
      </c>
      <c r="D3439" s="37" t="s">
        <v>14</v>
      </c>
      <c r="E3439" s="38">
        <v>2.0</v>
      </c>
      <c r="F3439" s="39">
        <v>4.5</v>
      </c>
      <c r="G3439" s="11">
        <v>36585.0</v>
      </c>
      <c r="H3439" s="34" t="str">
        <f>IFERROR(__xludf.DUMMYFUNCTION("LOWER(REGEXREPLACE(B3439&amp;"" ""&amp;C3439,""[^а-яa-z0-9 ]"","" ""))"),"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глу"&amp;"бина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плоскоо"&amp;"вальной трубы 30х15х1 2 мм с помощью полуавтоматической сварки ")</f>
        <v>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мм с помощью полуавтоматической сварки </v>
      </c>
    </row>
    <row r="3440">
      <c r="A3440" s="35" t="s">
        <v>8244</v>
      </c>
      <c r="B3440" s="31" t="s">
        <v>8245</v>
      </c>
      <c r="C3440" s="31" t="s">
        <v>8246</v>
      </c>
      <c r="D3440" s="37" t="s">
        <v>14</v>
      </c>
      <c r="E3440" s="38">
        <v>2.0</v>
      </c>
      <c r="F3440" s="39">
        <v>4.5</v>
      </c>
      <c r="G3440" s="11">
        <v>41628.0</v>
      </c>
      <c r="H3440" s="34" t="str">
        <f>IFERROR(__xludf.DUMMYFUNCTION("LOWER(REGEXREPLACE(B3440&amp;"" ""&amp;C3440,""[^а-яa-z0-9 ]"","" ""))"),"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"&amp;"420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трубы"&amp;" 30х15х1 2 с помощью полуавтоматической сварки ")</f>
        <v>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с помощью полуавтоматической сварки </v>
      </c>
    </row>
    <row r="3441">
      <c r="A3441" s="35" t="s">
        <v>8247</v>
      </c>
      <c r="B3441" s="31" t="s">
        <v>8248</v>
      </c>
      <c r="C3441" s="31"/>
      <c r="D3441" s="37" t="s">
        <v>14</v>
      </c>
      <c r="E3441" s="10"/>
      <c r="F3441" s="36"/>
      <c r="G3441" s="11"/>
      <c r="H3441" s="34" t="str">
        <f>IFERROR(__xludf.DUMMYFUNCTION("LOWER(REGEXREPLACE(B3441&amp;"" ""&amp;C3441,""[^а-яa-z0-9 ]"","" ""))")," тул детский ")</f>
        <v> тул детский </v>
      </c>
    </row>
    <row r="3442">
      <c r="A3442" s="35" t="s">
        <v>8249</v>
      </c>
      <c r="B3442" s="31" t="s">
        <v>8250</v>
      </c>
      <c r="C3442" s="31" t="s">
        <v>8251</v>
      </c>
      <c r="D3442" s="37" t="s">
        <v>14</v>
      </c>
      <c r="E3442" s="10"/>
      <c r="F3442" s="36"/>
      <c r="G3442" s="11">
        <v>5846.0</v>
      </c>
      <c r="H3442" s="34" t="str">
        <f>IFERROR(__xludf.DUMMYFUNCTION("LOWER(REGEXREPLACE(B3442&amp;"" ""&amp;C3442,""[^а-яa-z0-9 ]"","" ""))"),"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3">
      <c r="A3443" s="35" t="s">
        <v>8252</v>
      </c>
      <c r="B3443" s="31" t="s">
        <v>8253</v>
      </c>
      <c r="C3443" s="31" t="s">
        <v>8251</v>
      </c>
      <c r="D3443" s="37" t="s">
        <v>14</v>
      </c>
      <c r="E3443" s="10"/>
      <c r="F3443" s="36"/>
      <c r="G3443" s="11">
        <v>5883.0</v>
      </c>
      <c r="H3443" s="34" t="str">
        <f>IFERROR(__xludf.DUMMYFUNCTION("LOWER(REGEXREPLACE(B3443&amp;"" ""&amp;C3443,""[^а-яa-z0-9 ]"","" ""))"),"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4">
      <c r="A3444" s="35" t="s">
        <v>8254</v>
      </c>
      <c r="B3444" s="31" t="s">
        <v>8255</v>
      </c>
      <c r="C3444" s="31" t="s">
        <v>8251</v>
      </c>
      <c r="D3444" s="37" t="s">
        <v>14</v>
      </c>
      <c r="E3444" s="10"/>
      <c r="F3444" s="36"/>
      <c r="G3444" s="11">
        <v>5937.0</v>
      </c>
      <c r="H3444" s="34" t="str">
        <f>IFERROR(__xludf.DUMMYFUNCTION("LOWER(REGEXREPLACE(B3444&amp;"" ""&amp;C3444,""[^а-яa-z0-9 ]"","" ""))"),"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5">
      <c r="A3445" s="35" t="s">
        <v>8256</v>
      </c>
      <c r="B3445" s="31" t="s">
        <v>8257</v>
      </c>
      <c r="C3445" s="31" t="s">
        <v>8258</v>
      </c>
      <c r="D3445" s="37" t="s">
        <v>14</v>
      </c>
      <c r="E3445" s="10"/>
      <c r="F3445" s="36"/>
      <c r="G3445" s="11">
        <v>7958.0</v>
      </c>
      <c r="H3445" s="34" t="str">
        <f>IFERROR(__xludf.DUMMYFUNCTION("LOWER(REGEXREPLACE(B3445&amp;"" ""&amp;C3445,""[^а-яa-z0-9 ]"","" ""))")," тул детский марки  02 31  атериал   лакированная фанера   ысота 340мм")</f>
        <v> тул детский марки  02 31  атериал   лакированная фанера   ысота 340мм</v>
      </c>
    </row>
    <row r="3446">
      <c r="A3446" s="35" t="s">
        <v>8259</v>
      </c>
      <c r="B3446" s="31" t="s">
        <v>8260</v>
      </c>
      <c r="C3446" s="31" t="s">
        <v>8261</v>
      </c>
      <c r="D3446" s="37" t="s">
        <v>14</v>
      </c>
      <c r="E3446" s="10"/>
      <c r="F3446" s="36"/>
      <c r="G3446" s="11">
        <v>3125.0</v>
      </c>
      <c r="H3446" s="34" t="str">
        <f>IFERROR(__xludf.DUMMYFUNCTION("LOWER(REGEXREPLACE(B3446&amp;"" ""&amp;C3446,""[^а-яa-z0-9 ]"","" ""))")," тул детский   алакай  размерами 280х230х500 мм  еталлический каркас  полимерно порошковое покрытие  основание фанера  280 230 580мм")</f>
        <v> тул детский   алакай  размерами 280х230х500 мм  еталлический каркас  полимерно порошковое покрытие  основание фанера  280 230 580мм</v>
      </c>
    </row>
    <row r="3447">
      <c r="A3447" s="35" t="s">
        <v>8262</v>
      </c>
      <c r="B3447" s="31" t="s">
        <v>8263</v>
      </c>
      <c r="C3447" s="31" t="s">
        <v>8264</v>
      </c>
      <c r="D3447" s="37" t="s">
        <v>14</v>
      </c>
      <c r="E3447" s="10"/>
      <c r="F3447" s="36"/>
      <c r="G3447" s="11">
        <v>4018.0</v>
      </c>
      <c r="H3447" s="34" t="str">
        <f>IFERROR(__xludf.DUMMYFUNCTION("LOWER(REGEXREPLACE(B3447&amp;"" ""&amp;C3447,""[^а-яa-z0-9 ]"","" ""))")," тул детский   астар  размерами 320х320х600 мм  еталлический каркас  полимерно порошковое покрытие  основание фанера 320 320 600мм")</f>
        <v> тул детский   астар  размерами 320х320х600 мм  еталлический каркас  полимерно порошковое покрытие  основание фанера 320 320 600мм</v>
      </c>
    </row>
    <row r="3448">
      <c r="A3448" s="35" t="s">
        <v>8265</v>
      </c>
      <c r="B3448" s="31" t="s">
        <v>8266</v>
      </c>
      <c r="C3448" s="31"/>
      <c r="D3448" s="37" t="s">
        <v>14</v>
      </c>
      <c r="E3448" s="10"/>
      <c r="F3448" s="36"/>
      <c r="G3448" s="11"/>
      <c r="H3448" s="34" t="str">
        <f>IFERROR(__xludf.DUMMYFUNCTION("LOWER(REGEXREPLACE(B3448&amp;"" ""&amp;C3448,""[^а-яa-z0-9 ]"","" ""))")," тул ученический ")</f>
        <v> тул ученический </v>
      </c>
    </row>
    <row r="3449">
      <c r="A3449" s="35" t="s">
        <v>8267</v>
      </c>
      <c r="B3449" s="31" t="s">
        <v>8268</v>
      </c>
      <c r="C3449" s="31" t="s">
        <v>8269</v>
      </c>
      <c r="D3449" s="37" t="s">
        <v>14</v>
      </c>
      <c r="E3449" s="10"/>
      <c r="F3449" s="36"/>
      <c r="G3449" s="11">
        <v>11530.0</v>
      </c>
      <c r="H3449" s="34" t="str">
        <f>IFERROR(__xludf.DUMMYFUNCTION("LOWER(REGEXREPLACE(B3449&amp;"" ""&amp;C3449,""[^а-яa-z0-9 ]"","" ""))"),"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f>
        <v>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v>
      </c>
    </row>
    <row r="3450">
      <c r="A3450" s="35" t="s">
        <v>8270</v>
      </c>
      <c r="B3450" s="31" t="s">
        <v>8271</v>
      </c>
      <c r="C3450" s="31" t="s">
        <v>8269</v>
      </c>
      <c r="D3450" s="37" t="s">
        <v>14</v>
      </c>
      <c r="E3450" s="10"/>
      <c r="F3450" s="36"/>
      <c r="G3450" s="11">
        <v>10329.0</v>
      </c>
      <c r="H3450" s="34" t="str">
        <f>IFERROR(__xludf.DUMMYFUNCTION("LOWER(REGEXREPLACE(B3450&amp;"" ""&amp;C3450,""[^а-яa-z0-9 ]"","" ""))"),"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f>
        <v>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v>
      </c>
    </row>
    <row r="3451">
      <c r="A3451" s="35" t="s">
        <v>8272</v>
      </c>
      <c r="B3451" s="31" t="s">
        <v>8273</v>
      </c>
      <c r="C3451" s="31" t="s">
        <v>8274</v>
      </c>
      <c r="D3451" s="37" t="s">
        <v>14</v>
      </c>
      <c r="E3451" s="38">
        <v>2.0</v>
      </c>
      <c r="F3451" s="38">
        <v>4.0</v>
      </c>
      <c r="G3451" s="11">
        <v>33791.0</v>
      </c>
      <c r="H3451" s="34" t="str">
        <f>IFERROR(__xludf.DUMMYFUNCTION("LOWER(REGEXREPLACE(B3451&amp;"" ""&amp;C3451,""[^а-яa-z0-9 ]"","" ""))"),"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ту"&amp;"л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"&amp;"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2"&amp;"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фо"&amp;"рмой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f>
        <v>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v>
      </c>
    </row>
    <row r="3452">
      <c r="A3452" s="35" t="s">
        <v>8275</v>
      </c>
      <c r="B3452" s="31" t="s">
        <v>8276</v>
      </c>
      <c r="C3452" s="31" t="s">
        <v>8277</v>
      </c>
      <c r="D3452" s="37" t="s">
        <v>14</v>
      </c>
      <c r="E3452" s="10"/>
      <c r="F3452" s="38">
        <v>6.0</v>
      </c>
      <c r="G3452" s="11">
        <v>45461.0</v>
      </c>
      <c r="H3452" s="34" t="str">
        <f>IFERROR(__xludf.DUMMYFUNCTION("LOWER(REGEXREPLACE(B3452&amp;"" ""&amp;C3452,""[^а-яa-z0-9 ]"","" ""))"),"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округле"&amp;"нную форму   меет выемку для ручки ")</f>
        <v>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округленную форму   меет выемку для ручки </v>
      </c>
    </row>
    <row r="3453">
      <c r="A3453" s="35" t="s">
        <v>8278</v>
      </c>
      <c r="B3453" s="31" t="s">
        <v>8279</v>
      </c>
      <c r="C3453" s="31" t="s">
        <v>8279</v>
      </c>
      <c r="D3453" s="37" t="s">
        <v>14</v>
      </c>
      <c r="E3453" s="10"/>
      <c r="F3453" s="38">
        <v>8.0</v>
      </c>
      <c r="G3453" s="11">
        <v>55357.0</v>
      </c>
      <c r="H3453" s="34" t="str">
        <f>IFERROR(__xludf.DUMMYFUNCTION("LOWER(REGEXREPLACE(B3453&amp;"" ""&amp;C3453,""[^а-яa-z0-9 ]"","" ""))"),"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f>
        <v>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v>
      </c>
    </row>
    <row r="3454">
      <c r="A3454" s="35" t="s">
        <v>8280</v>
      </c>
      <c r="B3454" s="31" t="s">
        <v>8281</v>
      </c>
      <c r="C3454" s="31" t="s">
        <v>8282</v>
      </c>
      <c r="D3454" s="37" t="s">
        <v>14</v>
      </c>
      <c r="E3454" s="10"/>
      <c r="F3454" s="36"/>
      <c r="G3454" s="11">
        <v>24640.0</v>
      </c>
      <c r="H3454" s="34" t="str">
        <f>IFERROR(__xludf.DUMMYFUNCTION("LOWER(REGEXREPLACE(B3454&amp;"" ""&amp;C3454,""[^а-яa-z0-9 ]"","" ""))"),"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f>
        <v>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v>
      </c>
    </row>
    <row r="3455">
      <c r="A3455" s="35" t="s">
        <v>8283</v>
      </c>
      <c r="B3455" s="31" t="s">
        <v>8284</v>
      </c>
      <c r="C3455" s="31" t="s">
        <v>8285</v>
      </c>
      <c r="D3455" s="37" t="s">
        <v>14</v>
      </c>
      <c r="E3455" s="38">
        <v>2.0</v>
      </c>
      <c r="F3455" s="39">
        <v>4.6</v>
      </c>
      <c r="G3455" s="11">
        <v>41385.0</v>
      </c>
      <c r="H3455" s="34" t="str">
        <f>IFERROR(__xludf.DUMMYFUNCTION("LOWER(REGEXREPLACE(B3455&amp;"" ""&amp;C3455,""[^а-яa-z0-9 ]"","" ""))"),"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ченически"&amp;"й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плоскоо"&amp;"вальной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"&amp;"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f>
        <v>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v>
      </c>
    </row>
    <row r="3456">
      <c r="A3456" s="35" t="s">
        <v>8286</v>
      </c>
      <c r="B3456" s="31" t="s">
        <v>8287</v>
      </c>
      <c r="C3456" s="31" t="s">
        <v>8288</v>
      </c>
      <c r="D3456" s="37" t="s">
        <v>14</v>
      </c>
      <c r="E3456" s="38">
        <v>2.0</v>
      </c>
      <c r="F3456" s="39">
        <v>3.6</v>
      </c>
      <c r="G3456" s="11">
        <v>13503.0</v>
      </c>
      <c r="H3456" s="34" t="str">
        <f>IFERROR(__xludf.DUMMYFUNCTION("LOWER(REGEXREPLACE(B3456&amp;"" ""&amp;C3456,""[^а-яa-z0-9 ]"","" ""))"),"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ок"&amp;"рашен износостойкой порошковой краской   абаритные размеры  ширина 430мм  глубина 430 мм  высота сидения 450 мм  высота с учетом спинки 810 мм")</f>
        <v>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окрашен износостойкой порошковой краской   абаритные размеры  ширина 430мм  глубина 430 мм  высота сидения 450 мм  высота с учетом спинки 810 мм</v>
      </c>
    </row>
    <row r="3457">
      <c r="A3457" s="35" t="s">
        <v>8289</v>
      </c>
      <c r="B3457" s="31" t="s">
        <v>8290</v>
      </c>
      <c r="C3457" s="31" t="s">
        <v>8291</v>
      </c>
      <c r="D3457" s="37" t="s">
        <v>14</v>
      </c>
      <c r="E3457" s="38">
        <v>2.0</v>
      </c>
      <c r="F3457" s="38">
        <v>9.0</v>
      </c>
      <c r="G3457" s="11">
        <v>12616.0</v>
      </c>
      <c r="H3457" s="34" t="str">
        <f>IFERROR(__xludf.DUMMYFUNCTION("LOWER(REGEXREPLACE(B3457&amp;"" ""&amp;C3457,""[^а-яa-z0-9 ]"","" ""))"),"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т"&amp;"руб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f>
        <v>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v>
      </c>
    </row>
    <row r="3458">
      <c r="A3458" s="35" t="s">
        <v>8292</v>
      </c>
      <c r="B3458" s="31" t="s">
        <v>8293</v>
      </c>
      <c r="C3458" s="31" t="s">
        <v>8294</v>
      </c>
      <c r="D3458" s="37" t="s">
        <v>14</v>
      </c>
      <c r="E3458" s="38">
        <v>2.0</v>
      </c>
      <c r="F3458" s="38">
        <v>10.0</v>
      </c>
      <c r="G3458" s="11">
        <v>26215.0</v>
      </c>
      <c r="H3458" s="34" t="str">
        <f>IFERROR(__xludf.DUMMYFUNCTION("LOWER(REGEXREPLACE(B3458&amp;"" ""&amp;C3458,""[^а-яa-z0-9 ]"","" ""))"),"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f>
        <v>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v>
      </c>
    </row>
    <row r="3459">
      <c r="A3459" s="35" t="s">
        <v>8295</v>
      </c>
      <c r="B3459" s="31" t="s">
        <v>8296</v>
      </c>
      <c r="C3459" s="31" t="s">
        <v>8297</v>
      </c>
      <c r="D3459" s="37" t="s">
        <v>14</v>
      </c>
      <c r="E3459" s="38">
        <v>2.0</v>
      </c>
      <c r="F3459" s="38">
        <v>8.0</v>
      </c>
      <c r="G3459" s="11">
        <v>28808.0</v>
      </c>
      <c r="H3459" s="34" t="str">
        <f>IFERROR(__xludf.DUMMYFUNCTION("LOWER(REGEXREPLACE(B3459&amp;"" ""&amp;C3459,""[^а-яa-z0-9 ]"","" ""))"),"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ученич"&amp;"еский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плоскоовальн"&amp;"ой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нагрузки"&amp;"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"&amp;"аглушки на основании ножек и переходник пластиковые черного цвета ")</f>
        <v>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аглушки на основании ножек и переходник пластиковые черного цвета </v>
      </c>
    </row>
    <row r="3460">
      <c r="A3460" s="35" t="s">
        <v>8298</v>
      </c>
      <c r="B3460" s="31" t="s">
        <v>8299</v>
      </c>
      <c r="C3460" s="31" t="s">
        <v>8300</v>
      </c>
      <c r="D3460" s="37" t="s">
        <v>14</v>
      </c>
      <c r="E3460" s="38">
        <v>2.0</v>
      </c>
      <c r="F3460" s="38">
        <v>6.0</v>
      </c>
      <c r="G3460" s="11">
        <v>44088.0</v>
      </c>
      <c r="H3460" s="34" t="str">
        <f>IFERROR(__xludf.DUMMYFUNCTION("LOWER(REGEXREPLACE(B3460&amp;"" ""&amp;C3460,""[^а-яa-z0-9 ]"","" ""))"),"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"&amp;"сварных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сиден"&amp;"ья стула 400 мм  края округленой формы   пинка имеет отверстия 80 мм  ширина спинки 400мм  высота спинки от сидения 400мм  высота спинки от пола 860мм ")</f>
        <v>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сиденья стула 400 мм  края округленой формы   пинка имеет отверстия 80 мм  ширина спинки 400мм  высота спинки от сидения 400мм  высота спинки от пола 860мм </v>
      </c>
    </row>
    <row r="3461">
      <c r="A3461" s="35" t="s">
        <v>8301</v>
      </c>
      <c r="B3461" s="9" t="s">
        <v>8302</v>
      </c>
      <c r="C3461" s="31" t="s">
        <v>8303</v>
      </c>
      <c r="D3461" s="37" t="s">
        <v>14</v>
      </c>
      <c r="E3461" s="38">
        <v>2.0</v>
      </c>
      <c r="F3461" s="38">
        <v>5.0</v>
      </c>
      <c r="G3461" s="11">
        <v>43185.0</v>
      </c>
      <c r="H3461" s="34" t="str">
        <f>IFERROR(__xludf.DUMMYFUNCTION("LOWER(REGEXREPLACE(B3461&amp;"" ""&amp;C3461,""[^а-яa-z0-9 ]"","" ""))"),"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"&amp;"полностью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"&amp;"30х15мм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обесцвечиваю"&amp;"тся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f>
        <v>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v>
      </c>
    </row>
    <row r="3462">
      <c r="A3462" s="35" t="s">
        <v>8304</v>
      </c>
      <c r="B3462" s="31" t="s">
        <v>8305</v>
      </c>
      <c r="C3462" s="31" t="s">
        <v>8306</v>
      </c>
      <c r="D3462" s="37" t="s">
        <v>14</v>
      </c>
      <c r="E3462" s="38">
        <v>2.0</v>
      </c>
      <c r="F3462" s="39">
        <v>4.8</v>
      </c>
      <c r="G3462" s="11">
        <v>16368.0</v>
      </c>
      <c r="H3462" s="34" t="str">
        <f>IFERROR(__xludf.DUMMYFUNCTION("LOWER(REGEXREPLACE(B3462&amp;"" ""&amp;C3462,""[^а-яa-z0-9 ]"","" ""))"),"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"&amp;"высоты осуществляется в соответствие с ростовыми группами  1 4   3 5   3 6   5 7")</f>
        <v>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высоты осуществляется в соответствие с ростовыми группами  1 4   3 5   3 6   5 7</v>
      </c>
    </row>
    <row r="3463">
      <c r="A3463" s="35" t="s">
        <v>8307</v>
      </c>
      <c r="B3463" s="9" t="s">
        <v>8308</v>
      </c>
      <c r="C3463" s="31" t="s">
        <v>8309</v>
      </c>
      <c r="D3463" s="37" t="s">
        <v>14</v>
      </c>
      <c r="E3463" s="38">
        <v>2.0</v>
      </c>
      <c r="F3463" s="38">
        <v>7.0</v>
      </c>
      <c r="G3463" s="11">
        <v>35099.0</v>
      </c>
      <c r="H3463" s="34" t="str">
        <f>IFERROR(__xludf.DUMMYFUNCTION("LOWER(REGEXREPLACE(B3463&amp;"" ""&amp;C3463,""[^а-яa-z0-9 ]"","" ""))"),"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электростати"&amp;"ческим порошком  цвет пластика и ножек по согласованию   азмеры  ширина сиденья  430мм  глубина сиденья  468мм  высота сиденья  435мм  высота стула  860мм")</f>
        <v>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электростатическим порошком  цвет пластика и ножек по согласованию   азмеры  ширина сиденья  430мм  глубина сиденья  468мм  высота сиденья  435мм  высота стула  860мм</v>
      </c>
    </row>
    <row r="3464">
      <c r="A3464" s="35" t="s">
        <v>8310</v>
      </c>
      <c r="B3464" s="31" t="s">
        <v>8311</v>
      </c>
      <c r="C3464" s="31" t="s">
        <v>8312</v>
      </c>
      <c r="D3464" s="37" t="s">
        <v>14</v>
      </c>
      <c r="E3464" s="38">
        <v>2.0</v>
      </c>
      <c r="F3464" s="38">
        <v>8.0</v>
      </c>
      <c r="G3464" s="11">
        <v>32022.0</v>
      </c>
      <c r="H3464" s="34" t="str">
        <f>IFERROR(__xludf.DUMMYFUNCTION("LOWER(REGEXREPLACE(B3464&amp;"" ""&amp;C3464,""[^а-яa-z0-9 ]"","" ""))"),"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гр"&amp;"уппой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плоскоовально"&amp;"го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репя"&amp;"тся к каркасу с помощью винтов ")</f>
        <v>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репятся к каркасу с помощью винтов </v>
      </c>
    </row>
    <row r="3465">
      <c r="A3465" s="35" t="s">
        <v>8313</v>
      </c>
      <c r="B3465" s="31" t="s">
        <v>8314</v>
      </c>
      <c r="C3465" s="31" t="s">
        <v>8315</v>
      </c>
      <c r="D3465" s="37" t="s">
        <v>14</v>
      </c>
      <c r="E3465" s="38">
        <v>2.0</v>
      </c>
      <c r="F3465" s="38">
        <v>8.0</v>
      </c>
      <c r="G3465" s="11">
        <v>26255.0</v>
      </c>
      <c r="H3465" s="34" t="str">
        <f>IFERROR(__xludf.DUMMYFUNCTION("LOWER(REGEXREPLACE(B3465&amp;"" ""&amp;C3465,""[^а-яa-z0-9 ]"","" ""))"),"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340 380"&amp;"мм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с"&amp;"иденьем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f>
        <v>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6">
      <c r="A3466" s="35" t="s">
        <v>8316</v>
      </c>
      <c r="B3466" s="31" t="s">
        <v>8317</v>
      </c>
      <c r="C3466" s="31" t="s">
        <v>8318</v>
      </c>
      <c r="D3466" s="37" t="s">
        <v>14</v>
      </c>
      <c r="E3466" s="38">
        <v>2.0</v>
      </c>
      <c r="F3466" s="38">
        <v>7.0</v>
      </c>
      <c r="G3466" s="11">
        <v>22027.0</v>
      </c>
      <c r="H3466" s="34" t="str">
        <f>IFERROR(__xludf.DUMMYFUNCTION("LOWER(REGEXREPLACE(B3466&amp;"" ""&amp;C3466,""[^а-яa-z0-9 ]"","" ""))"),"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к"&amp;"аркасе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тр"&amp;"убы не менее 1 4мм   аркас окрашен полиэфирной порошковой краской   пинка и сиденье изготовлены из гнутоклееной березовой фанеры толщиной 9 мм ")</f>
        <v>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7">
      <c r="A3467" s="35" t="s">
        <v>8319</v>
      </c>
      <c r="B3467" s="31" t="s">
        <v>8320</v>
      </c>
      <c r="C3467" s="31" t="s">
        <v>8321</v>
      </c>
      <c r="D3467" s="37" t="s">
        <v>14</v>
      </c>
      <c r="E3467" s="38">
        <v>2.0</v>
      </c>
      <c r="F3467" s="38">
        <v>4.0</v>
      </c>
      <c r="G3467" s="11">
        <v>23181.0</v>
      </c>
      <c r="H3467" s="34" t="str">
        <f>IFERROR(__xludf.DUMMYFUNCTION("LOWER(REGEXREPLACE(B3467&amp;"" ""&amp;C3467,""[^а-яa-z0-9 ]"","" ""))"),"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"&amp;"порошковой светло серой краской")</f>
        <v>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порошковой светло серой краской</v>
      </c>
    </row>
    <row r="3468">
      <c r="A3468" s="35" t="s">
        <v>8322</v>
      </c>
      <c r="B3468" s="31" t="s">
        <v>8323</v>
      </c>
      <c r="C3468" s="31" t="s">
        <v>8324</v>
      </c>
      <c r="D3468" s="37" t="s">
        <v>14</v>
      </c>
      <c r="E3468" s="38">
        <v>2.0</v>
      </c>
      <c r="F3468" s="38">
        <v>6.0</v>
      </c>
      <c r="G3468" s="11">
        <v>17345.0</v>
      </c>
      <c r="H3468" s="34" t="str">
        <f>IFERROR(__xludf.DUMMYFUNCTION("LOWER(REGEXREPLACE(B3468&amp;"" ""&amp;C3468,""[^а-яa-z0-9 ]"","" ""))"),"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"&amp;"ижняя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толщиной"&amp;"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с"&amp;"овмещения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осуществляетс"&amp;"я с помощью заклепки  а регулировка металлокаркаса с помощью винта и гайки   асвободныхконцахтрубустановленызаглушкиизударопрочныхполимеров ")</f>
        <v>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осуществляется с помощью заклепки  а регулировка металлокаркаса с помощью винта и гайки   асвободныхконцахтрубустановленызаглушкиизударопрочныхполимеров </v>
      </c>
    </row>
    <row r="3469">
      <c r="A3469" s="35" t="s">
        <v>8325</v>
      </c>
      <c r="B3469" s="31" t="s">
        <v>8326</v>
      </c>
      <c r="C3469" s="31" t="s">
        <v>8327</v>
      </c>
      <c r="D3469" s="37" t="s">
        <v>14</v>
      </c>
      <c r="E3469" s="38">
        <v>2.0</v>
      </c>
      <c r="F3469" s="38">
        <v>5.0</v>
      </c>
      <c r="G3469" s="11">
        <v>17341.0</v>
      </c>
      <c r="H3469" s="34" t="str">
        <f>IFERROR(__xludf.DUMMYFUNCTION("LOWER(REGEXREPLACE(B3469&amp;"" ""&amp;C3469,""[^а-яa-z0-9 ]"","" ""))"),"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"&amp;"каркаса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размерам"&amp;"и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перемы"&amp;"чки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к"&amp;"репится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f>
        <v>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v>
      </c>
    </row>
    <row r="3470">
      <c r="A3470" s="35" t="s">
        <v>8328</v>
      </c>
      <c r="B3470" s="31" t="s">
        <v>8329</v>
      </c>
      <c r="C3470" s="31"/>
      <c r="D3470" s="37" t="s">
        <v>14</v>
      </c>
      <c r="E3470" s="10"/>
      <c r="F3470" s="36"/>
      <c r="G3470" s="11"/>
      <c r="H3470" s="34" t="str">
        <f>IFERROR(__xludf.DUMMYFUNCTION("LOWER(REGEXREPLACE(B3470&amp;"" ""&amp;C3470,""[^а-яa-z0-9 ]"","" ""))")," тул или кресло для президиума ")</f>
        <v> тул или кресло для президиума </v>
      </c>
    </row>
    <row r="3471">
      <c r="A3471" s="35" t="s">
        <v>8330</v>
      </c>
      <c r="B3471" s="31" t="s">
        <v>8331</v>
      </c>
      <c r="C3471" s="31" t="s">
        <v>8332</v>
      </c>
      <c r="D3471" s="37" t="s">
        <v>14</v>
      </c>
      <c r="E3471" s="38">
        <v>2.0</v>
      </c>
      <c r="F3471" s="38">
        <v>12.0</v>
      </c>
      <c r="G3471" s="11">
        <v>40514.0</v>
      </c>
      <c r="H3471" s="34" t="str">
        <f>IFERROR(__xludf.DUMMYFUNCTION("LOWER(REGEXREPLACE(B3471&amp;"" ""&amp;C3471,""[^а-яa-z0-9 ]"","" ""))"),"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f>
        <v>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v>
      </c>
    </row>
    <row r="3472">
      <c r="A3472" s="35" t="s">
        <v>8333</v>
      </c>
      <c r="B3472" s="31" t="s">
        <v>8334</v>
      </c>
      <c r="C3472" s="31"/>
      <c r="D3472" s="37" t="s">
        <v>14</v>
      </c>
      <c r="E3472" s="10"/>
      <c r="F3472" s="36"/>
      <c r="G3472" s="11"/>
      <c r="H3472" s="34" t="str">
        <f>IFERROR(__xludf.DUMMYFUNCTION("LOWER(REGEXREPLACE(B3472&amp;"" ""&amp;C3472,""[^а-яa-z0-9 ]"","" ""))")," ресло руководителя ")</f>
        <v> ресло руководителя </v>
      </c>
    </row>
    <row r="3473">
      <c r="A3473" s="35" t="s">
        <v>8335</v>
      </c>
      <c r="B3473" s="9" t="s">
        <v>8336</v>
      </c>
      <c r="C3473" s="31"/>
      <c r="D3473" s="37" t="s">
        <v>14</v>
      </c>
      <c r="E3473" s="10"/>
      <c r="F3473" s="36"/>
      <c r="G3473" s="11">
        <v>50216.0</v>
      </c>
      <c r="H3473" s="34" t="str">
        <f>IFERROR(__xludf.DUMMYFUNCTION("LOWER(REGEXREPLACE(B3473&amp;"" ""&amp;C3473,""[^а-яa-z0-9 ]"","" ""))"),"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f>
        <v>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v>
      </c>
    </row>
    <row r="3474">
      <c r="A3474" s="35" t="s">
        <v>8337</v>
      </c>
      <c r="B3474" s="31" t="s">
        <v>8338</v>
      </c>
      <c r="C3474" s="31"/>
      <c r="D3474" s="37" t="s">
        <v>14</v>
      </c>
      <c r="E3474" s="10"/>
      <c r="F3474" s="36"/>
      <c r="G3474" s="11">
        <v>43705.0</v>
      </c>
      <c r="H3474" s="34" t="str">
        <f>IFERROR(__xludf.DUMMYFUNCTION("LOWER(REGEXREPLACE(B3474&amp;"" ""&amp;C3474,""[^а-яa-z0-9 ]"","" ""))"),"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f>
        <v>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v>
      </c>
    </row>
    <row r="3475">
      <c r="A3475" s="35" t="s">
        <v>8339</v>
      </c>
      <c r="B3475" s="31" t="s">
        <v>8340</v>
      </c>
      <c r="C3475" s="31"/>
      <c r="D3475" s="37" t="s">
        <v>14</v>
      </c>
      <c r="E3475" s="10"/>
      <c r="F3475" s="36"/>
      <c r="G3475" s="11">
        <v>45643.0</v>
      </c>
      <c r="H3475" s="34" t="str">
        <f>IFERROR(__xludf.DUMMYFUNCTION("LOWER(REGEXREPLACE(B3475&amp;"" ""&amp;C3475,""[^а-яa-z0-9 ]"","" ""))")," ресло  модель     88    ысота  1160 мм  высота спинки  700 мм  ширина  480 мм  глубина  480 мм  материал  крестовина   хром металл       подлокотники   хром 196 506  обивка   сетка  гобелен ")</f>
        <v> ресло  модель     88    ысота  1160 мм  высота спинки  700 мм  ширина  480 мм  глубина  480 мм  материал  крестовина   хром металл       подлокотники   хром 196 506  обивка   сетка  гобелен </v>
      </c>
    </row>
    <row r="3476">
      <c r="A3476" s="35" t="s">
        <v>8341</v>
      </c>
      <c r="B3476" s="31" t="s">
        <v>8342</v>
      </c>
      <c r="C3476" s="31"/>
      <c r="D3476" s="37" t="s">
        <v>14</v>
      </c>
      <c r="E3476" s="10"/>
      <c r="F3476" s="36"/>
      <c r="G3476" s="11">
        <v>79848.0</v>
      </c>
      <c r="H3476" s="34" t="str">
        <f>IFERROR(__xludf.DUMMYFUNCTION("LOWER(REGEXREPLACE(B3476&amp;"" ""&amp;C3476,""[^а-яa-z0-9 ]"","" ""))")," ресло  модель     888    ысота  1200 1300 мм  высота от пола до сидения  480 580 мм  высота спинки  770 мм  ширина  500 мм  глубина  490 мм  подлокотники    01     крестовина хромированная ")</f>
        <v> ресло  модель     888    ысота  1200 1300 мм  высота от пола до сидения  480 580 мм  высота спинки  770 мм  ширина  500 мм  глубина  490 мм  подлокотники    01     крестовина хромированная </v>
      </c>
    </row>
    <row r="3477">
      <c r="A3477" s="35" t="s">
        <v>8343</v>
      </c>
      <c r="B3477" s="31" t="s">
        <v>8344</v>
      </c>
      <c r="C3477" s="31"/>
      <c r="D3477" s="37" t="s">
        <v>14</v>
      </c>
      <c r="E3477" s="10"/>
      <c r="F3477" s="36"/>
      <c r="G3477" s="11">
        <v>76336.0</v>
      </c>
      <c r="H3477" s="34" t="str">
        <f>IFERROR(__xludf.DUMMYFUNCTION("LOWER(REGEXREPLACE(B3477&amp;"" ""&amp;C3477,""[^а-яa-z0-9 ]"","" ""))"),"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f>
        <v>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v>
      </c>
    </row>
    <row r="3478">
      <c r="A3478" s="35" t="s">
        <v>8345</v>
      </c>
      <c r="B3478" s="31" t="s">
        <v>8346</v>
      </c>
      <c r="C3478" s="31"/>
      <c r="D3478" s="37" t="s">
        <v>14</v>
      </c>
      <c r="E3478" s="10"/>
      <c r="F3478" s="36"/>
      <c r="G3478" s="11">
        <v>60077.0</v>
      </c>
      <c r="H3478" s="34" t="str">
        <f>IFERROR(__xludf.DUMMYFUNCTION("LOWER(REGEXREPLACE(B3478&amp;"" ""&amp;C3478,""[^а-яa-z0-9 ]"","" ""))")," ресло  модель   зат    ысота спинки  760 мм  ширина  500 мм  длина  510 мм  материал  крестовина  пластик  подлокотники   пластик  енатор  обивка   эко кожа ")</f>
        <v> ресло  модель   зат    ысота спинки  760 мм  ширина  500 мм  длина  510 мм  материал  крестовина  пластик  подлокотники   пластик  енатор  обивка   эко кожа </v>
      </c>
    </row>
    <row r="3479">
      <c r="A3479" s="35" t="s">
        <v>8347</v>
      </c>
      <c r="B3479" s="31" t="s">
        <v>8348</v>
      </c>
      <c r="C3479" s="31"/>
      <c r="D3479" s="37" t="s">
        <v>14</v>
      </c>
      <c r="E3479" s="10"/>
      <c r="F3479" s="36"/>
      <c r="G3479" s="11">
        <v>55846.0</v>
      </c>
      <c r="H3479" s="34" t="str">
        <f>IFERROR(__xludf.DUMMYFUNCTION("LOWER(REGEXREPLACE(B3479&amp;"" ""&amp;C3479,""[^а-яa-z0-9 ]"","" ""))")," ресло  модель   зат    ысота спинки  760 мм  ширина  500 мм  глубина  510 мм  материал  полозья   металл  подлокотники   пластик 818  эко кожа   обивка   гобелен  эко кожа ")</f>
        <v> ресло  модель   зат    ысота спинки  760 мм  ширина  500 мм  глубина  510 мм  материал  полозья   металл  подлокотники   пластик 818  эко кожа   обивка   гобелен  эко кожа </v>
      </c>
    </row>
    <row r="3480">
      <c r="A3480" s="35" t="s">
        <v>8349</v>
      </c>
      <c r="B3480" s="31" t="s">
        <v>8350</v>
      </c>
      <c r="C3480" s="31"/>
      <c r="D3480" s="37" t="s">
        <v>14</v>
      </c>
      <c r="E3480" s="10"/>
      <c r="F3480" s="36"/>
      <c r="G3480" s="11">
        <v>53391.0</v>
      </c>
      <c r="H3480" s="34" t="str">
        <f>IFERROR(__xludf.DUMMYFUNCTION("LOWER(REGEXREPLACE(B3480&amp;"" ""&amp;C3480,""[^а-яa-z0-9 ]"","" ""))")," ресло  модель   зат    ысота спинки  760 мм  ширина  500 мм  глубина  510 мм  материал  крестовина   пластик d680  подлокотники   пластик 818 1  эко кожа   обивка   гобелен  эко кожа ")</f>
        <v> ресло  модель   зат    ысота спинки  760 мм  ширина  500 мм  глубина  510 мм  материал  крестовина   пластик d680  подлокотники   пластик 818 1  эко кожа   обивка   гобелен  эко кожа </v>
      </c>
    </row>
    <row r="3481">
      <c r="A3481" s="35" t="s">
        <v>8351</v>
      </c>
      <c r="B3481" s="31" t="s">
        <v>8352</v>
      </c>
      <c r="C3481" s="31"/>
      <c r="D3481" s="37" t="s">
        <v>14</v>
      </c>
      <c r="E3481" s="10"/>
      <c r="F3481" s="36"/>
      <c r="G3481" s="11">
        <v>60077.0</v>
      </c>
      <c r="H3481" s="34" t="str">
        <f>IFERROR(__xludf.DUMMYFUNCTION("LOWER(REGEXREPLACE(B3481&amp;"" ""&amp;C3481,""[^а-яa-z0-9 ]"","" ""))")," ресло  модель   зат    ысота спинки  760 мм  ширина  500 мм  глубина  510 мм  материал  крестовина   пластик d680     подлокотники   пластик 818 1  эко кожа   обивка   эко кожа ")</f>
        <v> ресло  модель   зат    ысота спинки  760 мм  ширина  500 мм  глубина  510 мм  материал  крестовина   пластик d680     подлокотники   пластик 818 1  эко кожа   обивка   эко кожа </v>
      </c>
    </row>
    <row r="3482">
      <c r="A3482" s="35" t="s">
        <v>8353</v>
      </c>
      <c r="B3482" s="9" t="s">
        <v>8354</v>
      </c>
      <c r="C3482" s="31"/>
      <c r="D3482" s="37" t="s">
        <v>14</v>
      </c>
      <c r="E3482" s="10"/>
      <c r="F3482" s="36"/>
      <c r="G3482" s="11">
        <v>74933.0</v>
      </c>
      <c r="H3482" s="34" t="str">
        <f>IFERROR(__xludf.DUMMYFUNCTION("LOWER(REGEXREPLACE(B3482&amp;"" ""&amp;C3482,""[^а-яa-z0-9 ]"","" ""))")," ресло  модель   зат    ысота спинки  760 мм  ширина  500 мм  глубина  510 мм  материал  крестовина   хром  подлокотники   хром  эко кожа 420  обивка   гобелен  эко кожа ")</f>
        <v> ресло  модель   зат    ысота спинки  760 мм  ширина  500 мм  глубина  510 мм  материал  крестовина   хром  подлокотники   хром  эко кожа 420  обивка   гобелен  эко кожа </v>
      </c>
    </row>
    <row r="3483">
      <c r="A3483" s="35" t="s">
        <v>8355</v>
      </c>
      <c r="B3483" s="31" t="s">
        <v>8356</v>
      </c>
      <c r="C3483" s="31"/>
      <c r="D3483" s="37" t="s">
        <v>14</v>
      </c>
      <c r="E3483" s="10"/>
      <c r="F3483" s="36"/>
      <c r="G3483" s="11">
        <v>73611.0</v>
      </c>
      <c r="H3483" s="34" t="str">
        <f>IFERROR(__xludf.DUMMYFUNCTION("LOWER(REGEXREPLACE(B3483&amp;"" ""&amp;C3483,""[^а-яa-z0-9 ]"","" ""))")," ресло  модель   льберт    ысота спинки  770 мм  ширина  500 мм  глубина  500 мм  материал  крестовина   хром  подлокотники   хром  эко кожа 420 ")</f>
        <v> ресло  модель   льберт    ысота спинки  770 мм  ширина  500 мм  глубина  500 мм  материал  крестовина   хром  подлокотники   хром  эко кожа 420 </v>
      </c>
    </row>
    <row r="3484">
      <c r="A3484" s="35" t="s">
        <v>8357</v>
      </c>
      <c r="B3484" s="9" t="s">
        <v>8358</v>
      </c>
      <c r="C3484" s="31"/>
      <c r="D3484" s="37" t="s">
        <v>14</v>
      </c>
      <c r="E3484" s="10"/>
      <c r="F3484" s="36"/>
      <c r="G3484" s="11">
        <v>57284.0</v>
      </c>
      <c r="H3484" s="34" t="str">
        <f>IFERROR(__xludf.DUMMYFUNCTION("LOWER(REGEXREPLACE(B3484&amp;"" ""&amp;C3484,""[^а-яa-z0-9 ]"","" ""))")," ресло  модель   льберт    ысота спинки  770 мм  ширина  500 мм  глубина  500 мм  материал  крестовина пластик 680  подлокотники   пластик 818  эко кожа  ")</f>
        <v> ресло  модель   льберт    ысота спинки  770 мм  ширина  500 мм  глубина  500 мм  материал  крестовина пластик 680  подлокотники   пластик 818  эко кожа  </v>
      </c>
    </row>
    <row r="3485">
      <c r="A3485" s="35" t="s">
        <v>8359</v>
      </c>
      <c r="B3485" s="31" t="s">
        <v>8360</v>
      </c>
      <c r="C3485" s="31"/>
      <c r="D3485" s="37" t="s">
        <v>14</v>
      </c>
      <c r="E3485" s="10"/>
      <c r="F3485" s="36"/>
      <c r="G3485" s="11">
        <v>53615.0</v>
      </c>
      <c r="H3485" s="34" t="str">
        <f>IFERROR(__xludf.DUMMYFUNCTION("LOWER(REGEXREPLACE(B3485&amp;"" ""&amp;C3485,""[^а-яa-z0-9 ]"","" ""))"),"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f>
        <v>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v>
      </c>
    </row>
    <row r="3486">
      <c r="A3486" s="35" t="s">
        <v>8361</v>
      </c>
      <c r="B3486" s="31" t="s">
        <v>8362</v>
      </c>
      <c r="C3486" s="31"/>
      <c r="D3486" s="37" t="s">
        <v>14</v>
      </c>
      <c r="E3486" s="10"/>
      <c r="F3486" s="36"/>
      <c r="G3486" s="11">
        <v>53777.0</v>
      </c>
      <c r="H3486" s="34" t="str">
        <f>IFERROR(__xludf.DUMMYFUNCTION("LOWER(REGEXREPLACE(B3486&amp;"" ""&amp;C3486,""[^а-яa-z0-9 ]"","" ""))")," ресло  модель   ртур  2    ысота спинки  670 мм  ширина  500 мм  глубина  500 мм  материал  крестовина d680  подлокотники   пластик  эко кожа   обивка    эко кожа ")</f>
        <v> ресло  модель   ртур  2    ысота спинки  670 мм  ширина  500 мм  глубина  500 мм  материал  крестовина d680  подлокотники   пластик  эко кожа   обивка    эко кожа </v>
      </c>
    </row>
    <row r="3487">
      <c r="A3487" s="35" t="s">
        <v>8363</v>
      </c>
      <c r="B3487" s="31" t="s">
        <v>8364</v>
      </c>
      <c r="C3487" s="31"/>
      <c r="D3487" s="37" t="s">
        <v>14</v>
      </c>
      <c r="E3487" s="10"/>
      <c r="F3487" s="36"/>
      <c r="G3487" s="11">
        <v>53777.0</v>
      </c>
      <c r="H3487" s="34" t="str">
        <f>IFERROR(__xludf.DUMMYFUNCTION("LOWER(REGEXREPLACE(B3487&amp;"" ""&amp;C3487,""[^а-яa-z0-9 ]"","" ""))")," ресло  модель   ртур  2    ысота спинки  670 мм  ширина  500 мм  глубина  500 мм  материал  крестовина d680  подлокотники   пластик 818 1  эко кожа   обивка    эко кожа ")</f>
        <v> ресло  модель   ртур  2    ысота спинки  670 мм  ширина  500 мм  глубина  500 мм  материал  крестовина d680  подлокотники   пластик 818 1  эко кожа   обивка    эко кожа </v>
      </c>
    </row>
    <row r="3488">
      <c r="A3488" s="35" t="s">
        <v>8365</v>
      </c>
      <c r="B3488" s="31" t="s">
        <v>8366</v>
      </c>
      <c r="C3488" s="31"/>
      <c r="D3488" s="37" t="s">
        <v>14</v>
      </c>
      <c r="E3488" s="10"/>
      <c r="F3488" s="36"/>
      <c r="G3488" s="11">
        <v>85643.0</v>
      </c>
      <c r="H3488" s="34" t="str">
        <f>IFERROR(__xludf.DUMMYFUNCTION("LOWER(REGEXREPLACE(B3488&amp;"" ""&amp;C3488,""[^а-яa-z0-9 ]"","" ""))")," ресло экокожа  подлокотники дерево хром  крестовина хром  высота сиденья регулируется  модель      879 ")</f>
        <v> ресло экокожа  подлокотники дерево хром  крестовина хром  высота сиденья регулируется  модель      879 </v>
      </c>
    </row>
    <row r="3489">
      <c r="A3489" s="35" t="s">
        <v>8367</v>
      </c>
      <c r="B3489" s="9" t="s">
        <v>8368</v>
      </c>
      <c r="C3489" s="31"/>
      <c r="D3489" s="37" t="s">
        <v>14</v>
      </c>
      <c r="E3489" s="10"/>
      <c r="F3489" s="36"/>
      <c r="G3489" s="11">
        <v>35427.0</v>
      </c>
      <c r="H3489" s="34" t="str">
        <f>IFERROR(__xludf.DUMMYFUNCTION("LOWER(REGEXREPLACE(B3489&amp;"" ""&amp;C3489,""[^а-яa-z0-9 ]"","" ""))")," ресло  модель     иректор  мет каркас     ысота спинки  640 мм  ширина  500 мм  глубина  480 мм  материал  крестовина пластик d660  подлокотники   пластик  енатор  обивка   гобелен ")</f>
        <v> ресло  модель     иректор  мет каркас     ысота спинки  640 мм  ширина  500 мм  глубина  480 мм  материал  крестовина пластик d660  подлокотники   пластик  енатор  обивка   гобелен </v>
      </c>
    </row>
    <row r="3490">
      <c r="A3490" s="35" t="s">
        <v>8369</v>
      </c>
      <c r="B3490" s="31" t="s">
        <v>8370</v>
      </c>
      <c r="C3490" s="31"/>
      <c r="D3490" s="37" t="s">
        <v>14</v>
      </c>
      <c r="E3490" s="10"/>
      <c r="F3490" s="36"/>
      <c r="G3490" s="11">
        <v>38330.0</v>
      </c>
      <c r="H3490" s="34" t="str">
        <f>IFERROR(__xludf.DUMMYFUNCTION("LOWER(REGEXREPLACE(B3490&amp;"" ""&amp;C3490,""[^а-яa-z0-9 ]"","" ""))")," ресло  модель     иректор  2    ысота спинки  640 мм  ширина  520 мм  глубина  490 мм  материал  крестовина   пластик  подлокотники   пластик  енатор  обивка   гобелен ")</f>
        <v> ресло  модель     иректор  2    ысота спинки  640 мм  ширина  520 мм  глубина  490 мм  материал  крестовина   пластик  подлокотники   пластик  енатор  обивка   гобелен </v>
      </c>
    </row>
    <row r="3491">
      <c r="A3491" s="35" t="s">
        <v>8371</v>
      </c>
      <c r="B3491" s="31" t="s">
        <v>8372</v>
      </c>
      <c r="C3491" s="31"/>
      <c r="D3491" s="37" t="s">
        <v>14</v>
      </c>
      <c r="E3491" s="10"/>
      <c r="F3491" s="36"/>
      <c r="G3491" s="11">
        <v>55808.0</v>
      </c>
      <c r="H3491" s="34" t="str">
        <f>IFERROR(__xludf.DUMMYFUNCTION("LOWER(REGEXREPLACE(B3491&amp;"" ""&amp;C3491,""[^а-яa-z0-9 ]"","" ""))"),"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"&amp;"уплотненная ")</f>
        <v>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уплотненная </v>
      </c>
    </row>
    <row r="3492">
      <c r="A3492" s="35" t="s">
        <v>8373</v>
      </c>
      <c r="B3492" s="31" t="s">
        <v>8374</v>
      </c>
      <c r="C3492" s="31"/>
      <c r="D3492" s="37" t="s">
        <v>14</v>
      </c>
      <c r="E3492" s="10"/>
      <c r="F3492" s="36"/>
      <c r="G3492" s="11">
        <v>44107.0</v>
      </c>
      <c r="H3492" s="34" t="str">
        <f>IFERROR(__xludf.DUMMYFUNCTION("LOWER(REGEXREPLACE(B3492&amp;"" ""&amp;C3492,""[^а-яa-z0-9 ]"","" ""))"),"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f>
        <v>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v>
      </c>
    </row>
    <row r="3493">
      <c r="A3493" s="35" t="s">
        <v>8375</v>
      </c>
      <c r="B3493" s="31" t="s">
        <v>8376</v>
      </c>
      <c r="C3493" s="31"/>
      <c r="D3493" s="37" t="s">
        <v>14</v>
      </c>
      <c r="E3493" s="10"/>
      <c r="F3493" s="36"/>
      <c r="G3493" s="11">
        <v>136206.0</v>
      </c>
      <c r="H3493" s="34" t="str">
        <f>IFERROR(__xludf.DUMMYFUNCTION("LOWER(REGEXREPLACE(B3493&amp;"" ""&amp;C3493,""[^а-яa-z0-9 ]"","" ""))")," ресло кожзам с деревянными подлокотниками  крестовина дерево  модель  естерфилд ")</f>
        <v> ресло кожзам с деревянными подлокотниками  крестовина дерево  модель  естерфилд </v>
      </c>
    </row>
    <row r="3494">
      <c r="A3494" s="35" t="s">
        <v>8377</v>
      </c>
      <c r="B3494" s="9" t="s">
        <v>8378</v>
      </c>
      <c r="C3494" s="31"/>
      <c r="D3494" s="37" t="s">
        <v>14</v>
      </c>
      <c r="E3494" s="10"/>
      <c r="F3494" s="36"/>
      <c r="G3494" s="11">
        <v>143496.0</v>
      </c>
      <c r="H3494" s="34" t="str">
        <f>IFERROR(__xludf.DUMMYFUNCTION("LOWER(REGEXREPLACE(B3494&amp;"" ""&amp;C3494,""[^а-яa-z0-9 ]"","" ""))")," ресло  модель   атыр    ысота спинки  760 мм  ширина  580 мм  глубина  550 мм  материал  крестовина   дерево  подлокотники   дерево  омб  обивка   эко кожа ")</f>
        <v> ресло  модель   атыр    ысота спинки  760 мм  ширина  580 мм  глубина  550 мм  материал  крестовина   дерево  подлокотники   дерево  омб  обивка   эко кожа </v>
      </c>
    </row>
    <row r="3495">
      <c r="A3495" s="35" t="s">
        <v>8379</v>
      </c>
      <c r="B3495" s="31" t="s">
        <v>8380</v>
      </c>
      <c r="C3495" s="31"/>
      <c r="D3495" s="37" t="s">
        <v>14</v>
      </c>
      <c r="E3495" s="10"/>
      <c r="F3495" s="36"/>
      <c r="G3495" s="11">
        <v>54578.0</v>
      </c>
      <c r="H3495" s="34" t="str">
        <f>IFERROR(__xludf.DUMMYFUNCTION("LOWER(REGEXREPLACE(B3495&amp;"" ""&amp;C3495,""[^а-яa-z0-9 ]"","" ""))")," ресло кожзам с пластиковыми подлокотниками  крестовина пластик  модель  ркер 818 1 ")</f>
        <v> ресло кожзам с пластиковыми подлокотниками  крестовина пластик  модель  ркер 818 1 </v>
      </c>
    </row>
    <row r="3496">
      <c r="A3496" s="35" t="s">
        <v>8381</v>
      </c>
      <c r="B3496" s="31" t="s">
        <v>8382</v>
      </c>
      <c r="C3496" s="31"/>
      <c r="D3496" s="37" t="s">
        <v>14</v>
      </c>
      <c r="E3496" s="10"/>
      <c r="F3496" s="36"/>
      <c r="G3496" s="11">
        <v>75679.0</v>
      </c>
      <c r="H3496" s="34" t="str">
        <f>IFERROR(__xludf.DUMMYFUNCTION("LOWER(REGEXREPLACE(B3496&amp;"" ""&amp;C3496,""[^а-яa-z0-9 ]"","" ""))")," ресло  модель   ахыт    ысота спинки  790 мм  ширина  510 мм  глубина  490 мм  материал  крестовина   хром  подлокотники   хром 420  обивка   эко кожа ")</f>
        <v> ресло  модель   ахыт    ысота спинки  790 мм  ширина  510 мм  глубина  490 мм  материал  крестовина   хром  подлокотники   хром 420  обивка   эко кожа </v>
      </c>
    </row>
    <row r="3497">
      <c r="A3497" s="35" t="s">
        <v>8383</v>
      </c>
      <c r="B3497" s="31" t="s">
        <v>8384</v>
      </c>
      <c r="C3497" s="31"/>
      <c r="D3497" s="37" t="s">
        <v>14</v>
      </c>
      <c r="E3497" s="10"/>
      <c r="F3497" s="36"/>
      <c r="G3497" s="11">
        <v>56415.0</v>
      </c>
      <c r="H3497" s="34" t="str">
        <f>IFERROR(__xludf.DUMMYFUNCTION("LOWER(REGEXREPLACE(B3497&amp;"" ""&amp;C3497,""[^а-яa-z0-9 ]"","" ""))")," ресло  модель   ахыт    ысота спинки  790 мм  ширина  510 мм  глубина  490 мм  материал  обивка   эко кожа ")</f>
        <v> ресло  модель   ахыт    ысота спинки  790 мм  ширина  510 мм  глубина  490 мм  материал  обивка   эко кожа </v>
      </c>
    </row>
    <row r="3498">
      <c r="A3498" s="35" t="s">
        <v>8385</v>
      </c>
      <c r="B3498" s="31" t="s">
        <v>8386</v>
      </c>
      <c r="C3498" s="31"/>
      <c r="D3498" s="37" t="s">
        <v>14</v>
      </c>
      <c r="E3498" s="10"/>
      <c r="F3498" s="36"/>
      <c r="G3498" s="11">
        <v>107594.0</v>
      </c>
      <c r="H3498" s="34" t="str">
        <f>IFERROR(__xludf.DUMMYFUNCTION("LOWER(REGEXREPLACE(B3498&amp;"" ""&amp;C3498,""[^а-яa-z0-9 ]"","" ""))")," ресло  модель   ахыт    ысота спинки  790 мм  ширина  510 мм  глубина  490 мм  материал  подлокотники   420  эко кожа  ")</f>
        <v> ресло  модель   ахыт    ысота спинки  790 мм  ширина  510 мм  глубина  490 мм  материал  подлокотники   420  эко кожа  </v>
      </c>
    </row>
    <row r="3499">
      <c r="A3499" s="35" t="s">
        <v>8387</v>
      </c>
      <c r="B3499" s="9" t="s">
        <v>8388</v>
      </c>
      <c r="C3499" s="31"/>
      <c r="D3499" s="37" t="s">
        <v>14</v>
      </c>
      <c r="E3499" s="10"/>
      <c r="F3499" s="36"/>
      <c r="G3499" s="11">
        <v>74951.0</v>
      </c>
      <c r="H3499" s="34" t="str">
        <f>IFERROR(__xludf.DUMMYFUNCTION("LOWER(REGEXREPLACE(B3499&amp;"" ""&amp;C3499,""[^а-яa-z0-9 ]"","" ""))"),"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f>
        <v>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v>
      </c>
    </row>
    <row r="3500">
      <c r="A3500" s="35" t="s">
        <v>8389</v>
      </c>
      <c r="B3500" s="31" t="s">
        <v>8390</v>
      </c>
      <c r="C3500" s="31"/>
      <c r="D3500" s="37" t="s">
        <v>14</v>
      </c>
      <c r="E3500" s="10"/>
      <c r="F3500" s="36"/>
      <c r="G3500" s="11">
        <v>45964.0</v>
      </c>
      <c r="H3500" s="34" t="str">
        <f>IFERROR(__xludf.DUMMYFUNCTION("LOWER(REGEXREPLACE(B3500&amp;"" ""&amp;C3500,""[^а-яa-z0-9 ]"","" ""))")," ресло  модель   ильгельм    ысота спинки  770 мм  ширина  500 мм  глубина  500 мм  материал  крестовина   хром  подлокотники   пластик  енатор ")</f>
        <v> ресло  модель   ильгельм    ысота спинки  770 мм  ширина  500 мм  глубина  500 мм  материал  крестовина   хром  подлокотники   пластик  енатор </v>
      </c>
    </row>
    <row r="3501">
      <c r="A3501" s="35" t="s">
        <v>8391</v>
      </c>
      <c r="B3501" s="31" t="s">
        <v>8392</v>
      </c>
      <c r="C3501" s="31"/>
      <c r="D3501" s="37" t="s">
        <v>14</v>
      </c>
      <c r="E3501" s="10"/>
      <c r="F3501" s="36"/>
      <c r="G3501" s="11">
        <v>58589.0</v>
      </c>
      <c r="H3501" s="34" t="str">
        <f>IFERROR(__xludf.DUMMYFUNCTION("LOWER(REGEXREPLACE(B3501&amp;"" ""&amp;C3501,""[^а-яa-z0-9 ]"","" ""))"),"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f>
        <v>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v>
      </c>
    </row>
    <row r="3502">
      <c r="A3502" s="35" t="s">
        <v>8393</v>
      </c>
      <c r="B3502" s="31" t="s">
        <v>8394</v>
      </c>
      <c r="C3502" s="31"/>
      <c r="D3502" s="37" t="s">
        <v>14</v>
      </c>
      <c r="E3502" s="10"/>
      <c r="F3502" s="36"/>
      <c r="G3502" s="11">
        <v>65634.0</v>
      </c>
      <c r="H3502" s="34" t="str">
        <f>IFERROR(__xludf.DUMMYFUNCTION("LOWER(REGEXREPLACE(B3502&amp;"" ""&amp;C3502,""[^а-яa-z0-9 ]"","" ""))")," ресло  модель   ермес    ысота спинки  720 мм  ширина  520 мм  глубина  490 мм  материал  крестовина   хром     подлокотники   пластик 351 410  обивка   эко кожа ")</f>
        <v> ресло  модель   ермес    ысота спинки  720 мм  ширина  520 мм  глубина  490 мм  материал  крестовина   хром     подлокотники   пластик 351 410  обивка   эко кожа </v>
      </c>
    </row>
    <row r="3503">
      <c r="A3503" s="35" t="s">
        <v>8395</v>
      </c>
      <c r="B3503" s="31" t="s">
        <v>8396</v>
      </c>
      <c r="C3503" s="31"/>
      <c r="D3503" s="37" t="s">
        <v>14</v>
      </c>
      <c r="E3503" s="10"/>
      <c r="F3503" s="36"/>
      <c r="G3503" s="11">
        <v>56580.0</v>
      </c>
      <c r="H3503" s="34" t="str">
        <f>IFERROR(__xludf.DUMMYFUNCTION("LOWER(REGEXREPLACE(B3503&amp;"" ""&amp;C3503,""[^а-яa-z0-9 ]"","" ""))")," ресло  модель   ермес    ысота спинки  720 мм  ширина  520 мм  глубина  490 мм  материал  крестовина   пластик d680     подлокотники   пластик 818 1  эко кожа   обивка    эко кожа ")</f>
        <v> ресло  модель   ермес    ысота спинки  720 мм  ширина  520 мм  глубина  490 мм  материал  крестовина   пластик d680     подлокотники   пластик 818 1  эко кожа   обивка    эко кожа </v>
      </c>
    </row>
    <row r="3504">
      <c r="A3504" s="35" t="s">
        <v>8397</v>
      </c>
      <c r="B3504" s="9" t="s">
        <v>8398</v>
      </c>
      <c r="C3504" s="31"/>
      <c r="D3504" s="37" t="s">
        <v>14</v>
      </c>
      <c r="E3504" s="10"/>
      <c r="F3504" s="36"/>
      <c r="G3504" s="11">
        <v>57246.0</v>
      </c>
      <c r="H3504" s="34" t="str">
        <f>IFERROR(__xludf.DUMMYFUNCTION("LOWER(REGEXREPLACE(B3504&amp;"" ""&amp;C3504,""[^а-яa-z0-9 ]"","" ""))")," ресло  модель   ермес    ысота спинки  720 мм  ширина  520 мм  глубина  490 мм  материал  крестовина   пластик 350 10 350 8  подлокотники   пластик 603 609 613 811  обивка    эко кожа ")</f>
        <v> ресло  модель   ермес    ысота спинки  720 мм  ширина  520 мм  глубина  490 мм  материал  крестовина   пластик 350 10 350 8  подлокотники   пластик 603 609 613 811  обивка    эко кожа </v>
      </c>
    </row>
    <row r="3505">
      <c r="A3505" s="35" t="s">
        <v>8399</v>
      </c>
      <c r="B3505" s="9" t="s">
        <v>8400</v>
      </c>
      <c r="C3505" s="31"/>
      <c r="D3505" s="37" t="s">
        <v>14</v>
      </c>
      <c r="E3505" s="10"/>
      <c r="F3505" s="36"/>
      <c r="G3505" s="11">
        <v>61826.0</v>
      </c>
      <c r="H3505" s="34" t="str">
        <f>IFERROR(__xludf.DUMMYFUNCTION("LOWER(REGEXREPLACE(B3505&amp;"" ""&amp;C3505,""[^а-яa-z0-9 ]"","" ""))")," ресло  модель   ермес    ысота спинки  720 мм  ширина  520 мм  глубина  490 мм  материал  крестовина   пластик 350 10 350 8  подлокотники   пластик 627  хром вставка   обивка    эко кожа ")</f>
        <v> ресло  модель   ермес    ысота спинки  720 мм  ширина  520 мм  глубина  490 мм  материал  крестовина   пластик 350 10 350 8  подлокотники   пластик 627  хром вставка   обивка    эко кожа </v>
      </c>
    </row>
    <row r="3506">
      <c r="A3506" s="35" t="s">
        <v>8401</v>
      </c>
      <c r="B3506" s="31" t="s">
        <v>8402</v>
      </c>
      <c r="C3506" s="31"/>
      <c r="D3506" s="37" t="s">
        <v>14</v>
      </c>
      <c r="E3506" s="10"/>
      <c r="F3506" s="36"/>
      <c r="G3506" s="11">
        <v>46313.0</v>
      </c>
      <c r="H3506" s="34" t="str">
        <f>IFERROR(__xludf.DUMMYFUNCTION("LOWER(REGEXREPLACE(B3506&amp;"" ""&amp;C3506,""[^а-яa-z0-9 ]"","" ""))")," ресло  модель   еко  2    ысота спинки  760 мм  ширина  510 мм  глубина  500 мм  материал  крестовина   пластик d680    011  подлокотники   пластик 818  гобелен   обивка   гобелен ")</f>
        <v> ресло  модель   еко  2    ысота спинки  760 мм  ширина  510 мм  глубина  500 мм  материал  крестовина   пластик d680    011  подлокотники   пластик 818  гобелен   обивка   гобелен </v>
      </c>
    </row>
    <row r="3507">
      <c r="A3507" s="35" t="s">
        <v>8403</v>
      </c>
      <c r="B3507" s="31" t="s">
        <v>8404</v>
      </c>
      <c r="C3507" s="31"/>
      <c r="D3507" s="37" t="s">
        <v>14</v>
      </c>
      <c r="E3507" s="10"/>
      <c r="F3507" s="36"/>
      <c r="G3507" s="11">
        <v>43866.0</v>
      </c>
      <c r="H3507" s="34" t="str">
        <f>IFERROR(__xludf.DUMMYFUNCTION("LOWER(REGEXREPLACE(B3507&amp;"" ""&amp;C3507,""[^а-яa-z0-9 ]"","" ""))")," ресло  модель   еко  3 с кантом    ысота спинки  760 мм  ширина  510 мм  глубина  500 мм  материал  крестовина   пластик d680     подлокотники   пластик 818  гобелен   обивка   гобелен ")</f>
        <v> ресло  модель   еко  3 с кантом    ысота спинки  760 мм  ширина  510 мм  глубина  500 мм  материал  крестовина   пластик d680     подлокотники   пластик 818  гобелен   обивка   гобелен </v>
      </c>
    </row>
    <row r="3508">
      <c r="A3508" s="35" t="s">
        <v>8405</v>
      </c>
      <c r="B3508" s="31" t="s">
        <v>8406</v>
      </c>
      <c r="C3508" s="31"/>
      <c r="D3508" s="37" t="s">
        <v>14</v>
      </c>
      <c r="E3508" s="10"/>
      <c r="F3508" s="36"/>
      <c r="G3508" s="11">
        <v>43866.0</v>
      </c>
      <c r="H3508" s="34" t="str">
        <f>IFERROR(__xludf.DUMMYFUNCTION("LOWER(REGEXREPLACE(B3508&amp;"" ""&amp;C3508,""[^а-яa-z0-9 ]"","" ""))")," ресло  модель   еко  3    ысота спинки  760 мм  ширина  510 мм  глубина  500 мм  материал  крестовина   пластик d680    011  подлокотники   пластик 818  гобелен  ")</f>
        <v> ресло  модель   еко  3    ысота спинки  760 мм  ширина  510 мм  глубина  500 мм  материал  крестовина   пластик d680    011  подлокотники   пластик 818  гобелен  </v>
      </c>
    </row>
    <row r="3509">
      <c r="A3509" s="35" t="s">
        <v>8407</v>
      </c>
      <c r="B3509" s="31" t="s">
        <v>8408</v>
      </c>
      <c r="C3509" s="31"/>
      <c r="D3509" s="37" t="s">
        <v>14</v>
      </c>
      <c r="E3509" s="10"/>
      <c r="F3509" s="36"/>
      <c r="G3509" s="11">
        <v>48348.0</v>
      </c>
      <c r="H3509" s="34" t="str">
        <f>IFERROR(__xludf.DUMMYFUNCTION("LOWER(REGEXREPLACE(B3509&amp;"" ""&amp;C3509,""[^а-яa-z0-9 ]"","" ""))")," ресло  модель   еко  2    ысота спинки  760 мм  ширина  510 мм  глубина  500 мм  материал  крестовина   пластик d680   081  подлокотники   пластик 818  эко кожа   обивка   эко кожа ")</f>
        <v> ресло  модель   еко  2    ысота спинки  760 мм  ширина  510 мм  глубина  500 мм  материал  крестовина   пластик d680   081  подлокотники   пластик 818  эко кожа   обивка   эко кожа </v>
      </c>
    </row>
    <row r="3510">
      <c r="A3510" s="35" t="s">
        <v>8409</v>
      </c>
      <c r="B3510" s="31" t="s">
        <v>8410</v>
      </c>
      <c r="C3510" s="31"/>
      <c r="D3510" s="37" t="s">
        <v>14</v>
      </c>
      <c r="E3510" s="10"/>
      <c r="F3510" s="36"/>
      <c r="G3510" s="11">
        <v>48348.0</v>
      </c>
      <c r="H3510" s="34" t="str">
        <f>IFERROR(__xludf.DUMMYFUNCTION("LOWER(REGEXREPLACE(B3510&amp;"" ""&amp;C3510,""[^а-яa-z0-9 ]"","" ""))")," ресло  модель   еко    ысота спинки  760 мм  ширина  510 мм  глубина  500 мм  материал  крестовина   пластик d680     подлокотники   пластик 818 1  эко кожа   обивка   эко кожа   гобелен ")</f>
        <v> ресло  модель   еко    ысота спинки  760 мм  ширина  510 мм  глубина  500 мм  материал  крестовина   пластик d680     подлокотники   пластик 818 1  эко кожа   обивка   эко кожа   гобелен </v>
      </c>
    </row>
    <row r="3511">
      <c r="A3511" s="35" t="s">
        <v>8411</v>
      </c>
      <c r="B3511" s="31" t="s">
        <v>8412</v>
      </c>
      <c r="C3511" s="31"/>
      <c r="D3511" s="37" t="s">
        <v>14</v>
      </c>
      <c r="E3511" s="10"/>
      <c r="F3511" s="36"/>
      <c r="G3511" s="11">
        <v>41884.0</v>
      </c>
      <c r="H3511" s="34" t="str">
        <f>IFERROR(__xludf.DUMMYFUNCTION("LOWER(REGEXREPLACE(B3511&amp;"" ""&amp;C3511,""[^а-яa-z0-9 ]"","" ""))"),"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f>
        <v>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v>
      </c>
    </row>
    <row r="3512">
      <c r="A3512" s="35" t="s">
        <v>8413</v>
      </c>
      <c r="B3512" s="31" t="s">
        <v>8414</v>
      </c>
      <c r="C3512" s="31"/>
      <c r="D3512" s="37" t="s">
        <v>14</v>
      </c>
      <c r="E3512" s="10"/>
      <c r="F3512" s="36"/>
      <c r="G3512" s="11">
        <v>78071.0</v>
      </c>
      <c r="H3512" s="34" t="str">
        <f>IFERROR(__xludf.DUMMYFUNCTION("LOWER(REGEXREPLACE(B3512&amp;"" ""&amp;C3512,""[^а-яa-z0-9 ]"","" ""))")," ресло  модель   евс    ысота спинки  730 мм  ширина  510 мм  глубина  500 мм  материал  крестовина   хром  подлокотники   хром  эко кожа  420  обивка   эко кожа ")</f>
        <v> ресло  модель   евс    ысота спинки  730 мм  ширина  510 мм  глубина  500 мм  материал  крестовина   хром  подлокотники   хром  эко кожа  420  обивка   эко кожа </v>
      </c>
    </row>
    <row r="3513">
      <c r="A3513" s="35" t="s">
        <v>8415</v>
      </c>
      <c r="B3513" s="31" t="s">
        <v>8416</v>
      </c>
      <c r="C3513" s="31"/>
      <c r="D3513" s="37" t="s">
        <v>14</v>
      </c>
      <c r="E3513" s="10"/>
      <c r="F3513" s="36"/>
      <c r="G3513" s="11">
        <v>58634.0</v>
      </c>
      <c r="H3513" s="34" t="str">
        <f>IFERROR(__xludf.DUMMYFUNCTION("LOWER(REGEXREPLACE(B3513&amp;"" ""&amp;C3513,""[^а-яa-z0-9 ]"","" ""))")," ресло  модель   евс    ысота спинки  730 мм  ширина  510 мм  глубина  500 мм  материал  крестовина   пластик 680 рк  подлокотники   818  эко кожа   обивка   эко кожа ")</f>
        <v> ресло  модель   евс    ысота спинки  730 мм  ширина  510 мм  глубина  500 мм  материал  крестовина   пластик 680 рк  подлокотники   818  эко кожа   обивка   эко кожа </v>
      </c>
    </row>
    <row r="3514">
      <c r="A3514" s="35" t="s">
        <v>8417</v>
      </c>
      <c r="B3514" s="31" t="s">
        <v>8418</v>
      </c>
      <c r="C3514" s="31"/>
      <c r="D3514" s="37" t="s">
        <v>14</v>
      </c>
      <c r="E3514" s="10"/>
      <c r="F3514" s="36"/>
      <c r="G3514" s="11">
        <v>63326.0</v>
      </c>
      <c r="H3514" s="34" t="str">
        <f>IFERROR(__xludf.DUMMYFUNCTION("LOWER(REGEXREPLACE(B3514&amp;"" ""&amp;C3514,""[^а-яa-z0-9 ]"","" ""))")," ресло  модель   евс    ысота спинки  730 мм  ширина  510 мм  глубина  500 мм  материал  крестовина   пластик d680     подлокотники   818 1  эко кожа   обивка   эко кожа ")</f>
        <v> ресло  модель   евс    ысота спинки  730 мм  ширина  510 мм  глубина  500 мм  материал  крестовина   пластик d680     подлокотники   818 1  эко кожа   обивка   эко кожа </v>
      </c>
    </row>
    <row r="3515">
      <c r="A3515" s="35" t="s">
        <v>8419</v>
      </c>
      <c r="B3515" s="9" t="s">
        <v>8420</v>
      </c>
      <c r="C3515" s="31"/>
      <c r="D3515" s="37" t="s">
        <v>14</v>
      </c>
      <c r="E3515" s="10"/>
      <c r="F3515" s="36"/>
      <c r="G3515" s="11">
        <v>68563.0</v>
      </c>
      <c r="H3515" s="34" t="str">
        <f>IFERROR(__xludf.DUMMYFUNCTION("LOWER(REGEXREPLACE(B3515&amp;"" ""&amp;C3515,""[^а-яa-z0-9 ]"","" ""))")," ресло  модель   евс    ысота спинки  730 мм  ширина  510 мм  глубина  500 мм  материал  крестовина   пластик  350 10  350 8  818  подлокотники   пластик  603 609 613 811  обивка   эко кожа ")</f>
        <v> ресло  модель   евс    ысота спинки  730 мм  ширина  510 мм  глубина  500 мм  материал  крестовина   пластик  350 10  350 8  818  подлокотники   пластик  603 609 613 811  обивка   эко кожа </v>
      </c>
    </row>
    <row r="3516">
      <c r="A3516" s="35" t="s">
        <v>8421</v>
      </c>
      <c r="B3516" s="31" t="s">
        <v>8422</v>
      </c>
      <c r="C3516" s="31"/>
      <c r="D3516" s="37" t="s">
        <v>14</v>
      </c>
      <c r="E3516" s="10"/>
      <c r="F3516" s="36"/>
      <c r="G3516" s="11">
        <v>73067.0</v>
      </c>
      <c r="H3516" s="34" t="str">
        <f>IFERROR(__xludf.DUMMYFUNCTION("LOWER(REGEXREPLACE(B3516&amp;"" ""&amp;C3516,""[^а-яa-z0-9 ]"","" ""))")," ресло  модель   аспий    ысота спинки  800 мм  ширина  470 мм  глубина  540 мм  материал  крестовина   хром  обивка   эко кожа ")</f>
        <v> ресло  модель   аспий    ысота спинки  800 мм  ширина  470 мм  глубина  540 мм  материал  крестовина   хром  обивка   эко кожа </v>
      </c>
    </row>
    <row r="3517">
      <c r="A3517" s="35" t="s">
        <v>8423</v>
      </c>
      <c r="B3517" s="31" t="s">
        <v>8424</v>
      </c>
      <c r="C3517" s="31"/>
      <c r="D3517" s="37" t="s">
        <v>14</v>
      </c>
      <c r="E3517" s="38">
        <v>2.0</v>
      </c>
      <c r="F3517" s="38">
        <v>22.0</v>
      </c>
      <c r="G3517" s="11">
        <v>105002.0</v>
      </c>
      <c r="H3517" s="34" t="str">
        <f>IFERROR(__xludf.DUMMYFUNCTION("LOWER(REGEXREPLACE(B3517&amp;"" ""&amp;C3517,""[^а-яa-z0-9 ]"","" ""))"),"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f>
        <v>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v>
      </c>
    </row>
    <row r="3518">
      <c r="A3518" s="35" t="s">
        <v>8425</v>
      </c>
      <c r="B3518" s="9" t="s">
        <v>8426</v>
      </c>
      <c r="C3518" s="31"/>
      <c r="D3518" s="37" t="s">
        <v>14</v>
      </c>
      <c r="E3518" s="38">
        <v>2.0</v>
      </c>
      <c r="F3518" s="38">
        <v>22.0</v>
      </c>
      <c r="G3518" s="11">
        <v>114754.0</v>
      </c>
      <c r="H3518" s="34" t="str">
        <f>IFERROR(__xludf.DUMMYFUNCTION("LOWER(REGEXREPLACE(B3518&amp;"" ""&amp;C3518,""[^а-яa-z0-9 ]"","" ""))"),"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f>
        <v>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v>
      </c>
    </row>
    <row r="3519">
      <c r="A3519" s="35" t="s">
        <v>8427</v>
      </c>
      <c r="B3519" s="31" t="s">
        <v>8428</v>
      </c>
      <c r="C3519" s="31"/>
      <c r="D3519" s="37" t="s">
        <v>14</v>
      </c>
      <c r="E3519" s="38">
        <v>2.0</v>
      </c>
      <c r="F3519" s="38">
        <v>20.0</v>
      </c>
      <c r="G3519" s="11">
        <v>49305.0</v>
      </c>
      <c r="H3519" s="34" t="str">
        <f>IFERROR(__xludf.DUMMYFUNCTION("LOWER(REGEXREPLACE(B3519&amp;"" ""&amp;C3519,""[^а-яa-z0-9 ]"","" ""))")," ресло  модель   онсул  2    ысота спинки  770 мм  длина 520 мм  ширина 535 мм  высота 1230 мм  материал  крестовина    680   ч рная   подлокотники     818 1   обивка   уплотненная эко кожа ")</f>
        <v> ресло  модель   онсул  2    ысота спинки  770 мм  длина 520 мм  ширина 535 мм  высота 1230 мм  материал  крестовина    680   ч рная   подлокотники     818 1   обивка   уплотненная эко кожа </v>
      </c>
    </row>
    <row r="3520">
      <c r="A3520" s="35" t="s">
        <v>8429</v>
      </c>
      <c r="B3520" s="31" t="s">
        <v>8430</v>
      </c>
      <c r="C3520" s="31"/>
      <c r="D3520" s="37" t="s">
        <v>14</v>
      </c>
      <c r="E3520" s="10"/>
      <c r="F3520" s="36"/>
      <c r="G3520" s="11">
        <v>43129.0</v>
      </c>
      <c r="H3520" s="34" t="str">
        <f>IFERROR(__xludf.DUMMYFUNCTION("LOWER(REGEXREPLACE(B3520&amp;"" ""&amp;C3520,""[^а-яa-z0-9 ]"","" ""))")," ресло  модель   енайс    ысота от пола до сидения  500 мм  высота спинки  800 мм  ширина  470 мм  глубина  450 мм  материал каркаса  пластик  материал сиденья  сетка  гобелен ")</f>
        <v> ресло  модель   енайс    ысота от пола до сидения  500 мм  высота спинки  800 мм  ширина  470 мм  глубина  450 мм  материал каркаса  пластик  материал сиденья  сетка  гобелен </v>
      </c>
    </row>
    <row r="3521">
      <c r="A3521" s="35" t="s">
        <v>8431</v>
      </c>
      <c r="B3521" s="31" t="s">
        <v>8432</v>
      </c>
      <c r="C3521" s="31"/>
      <c r="D3521" s="37" t="s">
        <v>14</v>
      </c>
      <c r="E3521" s="10"/>
      <c r="F3521" s="36"/>
      <c r="G3521" s="11">
        <v>34705.0</v>
      </c>
      <c r="H3521" s="34" t="str">
        <f>IFERROR(__xludf.DUMMYFUNCTION("LOWER(REGEXREPLACE(B3521&amp;"" ""&amp;C3521,""[^а-яa-z0-9 ]"","" ""))"),"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f>
        <v>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v>
      </c>
    </row>
    <row r="3522">
      <c r="A3522" s="35" t="s">
        <v>8433</v>
      </c>
      <c r="B3522" s="9" t="s">
        <v>8434</v>
      </c>
      <c r="C3522" s="31"/>
      <c r="D3522" s="37" t="s">
        <v>14</v>
      </c>
      <c r="E3522" s="10"/>
      <c r="F3522" s="36"/>
      <c r="G3522" s="11">
        <v>50728.0</v>
      </c>
      <c r="H3522" s="34" t="str">
        <f>IFERROR(__xludf.DUMMYFUNCTION("LOWER(REGEXREPLACE(B3522&amp;"" ""&amp;C3522,""[^а-яa-z0-9 ]"","" ""))"),"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э"&amp;"ко кожа ")</f>
        <v>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эко кожа </v>
      </c>
    </row>
    <row r="3523">
      <c r="A3523" s="35" t="s">
        <v>8435</v>
      </c>
      <c r="B3523" s="9" t="s">
        <v>8436</v>
      </c>
      <c r="C3523" s="31"/>
      <c r="D3523" s="37" t="s">
        <v>14</v>
      </c>
      <c r="E3523" s="10"/>
      <c r="F3523" s="36"/>
      <c r="G3523" s="11">
        <v>42888.0</v>
      </c>
      <c r="H3523" s="34" t="str">
        <f>IFERROR(__xludf.DUMMYFUNCTION("LOWER(REGEXREPLACE(B3523&amp;"" ""&amp;C3523,""[^а-яa-z0-9 ]"","" ""))"),"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f>
        <v>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v>
      </c>
    </row>
    <row r="3524">
      <c r="A3524" s="35" t="s">
        <v>8437</v>
      </c>
      <c r="B3524" s="31" t="s">
        <v>8438</v>
      </c>
      <c r="C3524" s="31"/>
      <c r="D3524" s="37" t="s">
        <v>14</v>
      </c>
      <c r="E3524" s="10"/>
      <c r="F3524" s="36"/>
      <c r="G3524" s="11">
        <v>34263.0</v>
      </c>
      <c r="H3524" s="34" t="str">
        <f>IFERROR(__xludf.DUMMYFUNCTION("LOWER(REGEXREPLACE(B3524&amp;"" ""&amp;C3524,""[^а-яa-z0-9 ]"","" ""))")," ресло  модель   аджестик      ысота спинки  660 мм  ширина  520 мм  глубина  490 мм  материал  полозья   металл  подлокотники    пластик  енатор  обивка   гобелен ")</f>
        <v> ресло  модель   аджестик      ысота спинки  660 мм  ширина  520 мм  глубина  490 мм  материал  полозья   металл  подлокотники    пластик  енатор  обивка   гобелен </v>
      </c>
    </row>
    <row r="3525">
      <c r="A3525" s="35" t="s">
        <v>8439</v>
      </c>
      <c r="B3525" s="31" t="s">
        <v>8440</v>
      </c>
      <c r="C3525" s="31"/>
      <c r="D3525" s="37" t="s">
        <v>14</v>
      </c>
      <c r="E3525" s="10"/>
      <c r="F3525" s="36"/>
      <c r="G3525" s="11">
        <v>40835.0</v>
      </c>
      <c r="H3525" s="34" t="str">
        <f>IFERROR(__xludf.DUMMYFUNCTION("LOWER(REGEXREPLACE(B3525&amp;"" ""&amp;C3525,""[^а-яa-z0-9 ]"","" ""))")," ресло  модель   алибу    ысота спинки  750 мм  ширина  520 мм  глубина  480 мм  материал  крестовина   пластик  подлокотники   пластик  енатор 906 606  обивка   эко кожа ")</f>
        <v> ресло  модель   алибу    ысота спинки  750 мм  ширина  520 мм  глубина  480 мм  материал  крестовина   пластик  подлокотники   пластик  енатор 906 606  обивка   эко кожа </v>
      </c>
    </row>
    <row r="3526">
      <c r="A3526" s="35" t="s">
        <v>8441</v>
      </c>
      <c r="B3526" s="9" t="s">
        <v>8442</v>
      </c>
      <c r="C3526" s="31" t="s">
        <v>8443</v>
      </c>
      <c r="D3526" s="37" t="s">
        <v>14</v>
      </c>
      <c r="E3526" s="38">
        <v>2.0</v>
      </c>
      <c r="F3526" s="38">
        <v>15.0</v>
      </c>
      <c r="G3526" s="11">
        <v>129106.0</v>
      </c>
      <c r="H3526" s="34" t="str">
        <f>IFERROR(__xludf.DUMMYFUNCTION("LOWER(REGEXREPLACE(B3526&amp;"" ""&amp;C3526,""[^а-яa-z0-9 ]"","" ""))"),"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"&amp;"граничение по весу  181 кг")</f>
        <v>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граничение по весу  181 кг</v>
      </c>
    </row>
    <row r="3527">
      <c r="A3527" s="35" t="s">
        <v>8444</v>
      </c>
      <c r="B3527" s="31" t="s">
        <v>8445</v>
      </c>
      <c r="C3527" s="31" t="s">
        <v>8446</v>
      </c>
      <c r="D3527" s="37" t="s">
        <v>14</v>
      </c>
      <c r="E3527" s="38">
        <v>2.0</v>
      </c>
      <c r="F3527" s="38">
        <v>15.0</v>
      </c>
      <c r="G3527" s="11">
        <v>126408.0</v>
      </c>
      <c r="H3527" s="34" t="str">
        <f>IFERROR(__xludf.DUMMYFUNCTION("LOWER(REGEXREPLACE(B3527&amp;"" ""&amp;C3527,""[^а-яa-z0-9 ]"","" ""))"),"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вес"&amp;" и фиксацией в вертикальном положении   граничение по весу  120 кг ")</f>
        <v>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 и фиксацией в вертикальном положении   граничение по весу  120 кг </v>
      </c>
    </row>
    <row r="3528">
      <c r="A3528" s="35" t="s">
        <v>8447</v>
      </c>
      <c r="B3528" s="9" t="s">
        <v>8448</v>
      </c>
      <c r="C3528" s="31" t="s">
        <v>8449</v>
      </c>
      <c r="D3528" s="37" t="s">
        <v>14</v>
      </c>
      <c r="E3528" s="38">
        <v>2.0</v>
      </c>
      <c r="F3528" s="38">
        <v>15.0</v>
      </c>
      <c r="G3528" s="11">
        <v>148081.0</v>
      </c>
      <c r="H3528" s="34" t="str">
        <f>IFERROR(__xludf.DUMMYFUNCTION("LOWER(REGEXREPLACE(B3528&amp;"" ""&amp;C3528,""[^а-яa-z0-9 ]"","" ""))"),"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"&amp;"лифт  отклонение спинки и сидения  фиксация в рабочем положении   атериал обивки  экокожа   азмер  1160 1260х720х780мм")</f>
        <v>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v>
      </c>
    </row>
    <row r="3529">
      <c r="A3529" s="35" t="s">
        <v>8450</v>
      </c>
      <c r="B3529" s="31" t="s">
        <v>8451</v>
      </c>
      <c r="C3529" s="31" t="s">
        <v>8452</v>
      </c>
      <c r="D3529" s="37" t="s">
        <v>14</v>
      </c>
      <c r="E3529" s="38">
        <v>2.0</v>
      </c>
      <c r="F3529" s="38">
        <v>25.0</v>
      </c>
      <c r="G3529" s="11">
        <v>116325.0</v>
      </c>
      <c r="H3529" s="34" t="str">
        <f>IFERROR(__xludf.DUMMYFUNCTION("LOWER(REGEXREPLACE(B3529&amp;"" ""&amp;C3529,""[^а-яa-z0-9 ]"","" ""))"),"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комплект"&amp;"уется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"&amp;"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сид"&amp;"енья  износостойкий материал кожзам без прошивки  ятилучье  стальное хромированное  с прямоугольным сечением лучей   олики  с полиуретановым ободком       50 мм")</f>
        <v>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сиденья  износостойкий материал кожзам без прошивки  ятилучье  стальное хромированное  с прямоугольным сечением лучей   олики  с полиуретановым ободком       50 мм</v>
      </c>
    </row>
    <row r="3530">
      <c r="A3530" s="35" t="s">
        <v>8453</v>
      </c>
      <c r="B3530" s="9" t="s">
        <v>8454</v>
      </c>
      <c r="C3530" s="31" t="s">
        <v>8455</v>
      </c>
      <c r="D3530" s="37" t="s">
        <v>14</v>
      </c>
      <c r="E3530" s="38">
        <v>2.0</v>
      </c>
      <c r="F3530" s="38">
        <v>13.0</v>
      </c>
      <c r="G3530" s="11">
        <v>32356.0</v>
      </c>
      <c r="H3530" s="34" t="str">
        <f>IFERROR(__xludf.DUMMYFUNCTION("LOWER(REGEXREPLACE(B3530&amp;"" ""&amp;C3530,""[^а-яa-z0-9 ]"","" ""))"),"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накл"&amp;"она регулируется ")</f>
        <v>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наклона регулируется </v>
      </c>
    </row>
    <row r="3531">
      <c r="A3531" s="35" t="s">
        <v>8456</v>
      </c>
      <c r="B3531" s="9" t="s">
        <v>8457</v>
      </c>
      <c r="C3531" s="31" t="s">
        <v>8458</v>
      </c>
      <c r="D3531" s="37" t="s">
        <v>14</v>
      </c>
      <c r="E3531" s="38">
        <v>2.0</v>
      </c>
      <c r="F3531" s="38">
        <v>14.0</v>
      </c>
      <c r="G3531" s="11">
        <v>41188.0</v>
      </c>
      <c r="H3531" s="34" t="str">
        <f>IFERROR(__xludf.DUMMYFUNCTION("LOWER(REGEXREPLACE(B3531&amp;"" ""&amp;C3531,""[^а-яa-z0-9 ]"","" ""))"),"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платиков"&amp;"ая   ртопедическое сиденье   одголовник   одлокотники пластиковые   етчатая спинка   гол наклона регулируется")</f>
        <v>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платиковая   ртопедическое сиденье   одголовник   одлокотники пластиковые   етчатая спинка   гол наклона регулируется</v>
      </c>
    </row>
    <row r="3532">
      <c r="A3532" s="35" t="s">
        <v>8459</v>
      </c>
      <c r="B3532" s="9" t="s">
        <v>8460</v>
      </c>
      <c r="C3532" s="31" t="s">
        <v>8461</v>
      </c>
      <c r="D3532" s="37" t="s">
        <v>14</v>
      </c>
      <c r="E3532" s="38">
        <v>2.0</v>
      </c>
      <c r="F3532" s="38">
        <v>13.0</v>
      </c>
      <c r="G3532" s="11">
        <v>26495.0</v>
      </c>
      <c r="H3532" s="34" t="str">
        <f>IFERROR(__xludf.DUMMYFUNCTION("LOWER(REGEXREPLACE(B3532&amp;"" ""&amp;C3532,""[^а-яa-z0-9 ]"","" ""))"),"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накло"&amp;"на регулируется")</f>
        <v>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наклона регулируется</v>
      </c>
    </row>
    <row r="3533">
      <c r="A3533" s="35" t="s">
        <v>8462</v>
      </c>
      <c r="B3533" s="9" t="s">
        <v>8463</v>
      </c>
      <c r="C3533" s="31" t="s">
        <v>8464</v>
      </c>
      <c r="D3533" s="37" t="s">
        <v>14</v>
      </c>
      <c r="E3533" s="38">
        <v>2.0</v>
      </c>
      <c r="F3533" s="38">
        <v>13.0</v>
      </c>
      <c r="G3533" s="11">
        <v>35981.0</v>
      </c>
      <c r="H3533" s="34" t="str">
        <f>IFERROR(__xludf.DUMMYFUNCTION("LOWER(REGEXREPLACE(B3533&amp;"" ""&amp;C3533,""[^а-яa-z0-9 ]"","" ""))"),"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спин"&amp;"ка   гол наклона регулируется")</f>
        <v>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спинка   гол наклона регулируется</v>
      </c>
    </row>
    <row r="3534">
      <c r="A3534" s="35" t="s">
        <v>8465</v>
      </c>
      <c r="B3534" s="31" t="s">
        <v>8466</v>
      </c>
      <c r="C3534" s="31"/>
      <c r="D3534" s="37" t="s">
        <v>14</v>
      </c>
      <c r="E3534" s="10"/>
      <c r="F3534" s="36"/>
      <c r="G3534" s="11"/>
      <c r="H3534" s="34" t="str">
        <f>IFERROR(__xludf.DUMMYFUNCTION("LOWER(REGEXREPLACE(B3534&amp;"" ""&amp;C3534,""[^а-яa-z0-9 ]"","" ""))")," ресло секционное ")</f>
        <v> ресло секционное </v>
      </c>
    </row>
    <row r="3535">
      <c r="A3535" s="35" t="s">
        <v>8467</v>
      </c>
      <c r="B3535" s="31" t="s">
        <v>8468</v>
      </c>
      <c r="C3535" s="31" t="s">
        <v>8469</v>
      </c>
      <c r="D3535" s="37" t="s">
        <v>14</v>
      </c>
      <c r="E3535" s="10"/>
      <c r="F3535" s="36"/>
      <c r="G3535" s="11">
        <v>116799.0</v>
      </c>
      <c r="H3535" s="34" t="str">
        <f>IFERROR(__xludf.DUMMYFUNCTION("LOWER(REGEXREPLACE(B3535&amp;"" ""&amp;C3535,""[^а-яa-z0-9 ]"","" ""))")," ресло для конференц залов  рио мод   82 2  ресло для конференц залов  рио мод   82 2   рехместная секция ")</f>
        <v> ресло для конференц залов  рио мод   82 2  ресло для конференц залов  рио мод   82 2   рехместная секция </v>
      </c>
    </row>
    <row r="3536">
      <c r="A3536" s="35" t="s">
        <v>8470</v>
      </c>
      <c r="B3536" s="31" t="s">
        <v>8471</v>
      </c>
      <c r="C3536" s="31" t="s">
        <v>8472</v>
      </c>
      <c r="D3536" s="37" t="s">
        <v>14</v>
      </c>
      <c r="E3536" s="10"/>
      <c r="F3536" s="36"/>
      <c r="G3536" s="11">
        <v>147204.0</v>
      </c>
      <c r="H3536" s="34" t="str">
        <f>IFERROR(__xludf.DUMMYFUNCTION("LOWER(REGEXREPLACE(B3536&amp;"" ""&amp;C3536,""[^а-яa-z0-9 ]"","" ""))")," ресло для конференц залов  ракт мод   82 6  ресло для конференц залов  ракт мод   82 6   рехместная секция ")</f>
        <v> ресло для конференц залов  ракт мод   82 6  ресло для конференц залов  ракт мод   82 6   рехместная секция </v>
      </c>
    </row>
    <row r="3537">
      <c r="A3537" s="35" t="s">
        <v>8473</v>
      </c>
      <c r="B3537" s="31" t="s">
        <v>8474</v>
      </c>
      <c r="C3537" s="31" t="s">
        <v>8475</v>
      </c>
      <c r="D3537" s="37" t="s">
        <v>14</v>
      </c>
      <c r="E3537" s="10"/>
      <c r="F3537" s="36"/>
      <c r="G3537" s="11">
        <v>107114.0</v>
      </c>
      <c r="H3537" s="34" t="str">
        <f>IFERROR(__xludf.DUMMYFUNCTION("LOWER(REGEXREPLACE(B3537&amp;"" ""&amp;C3537,""[^а-яa-z0-9 ]"","" ""))")," ресло для конференц залов  ринт мод   82 3  ресло для конференц залов  ринт мод   82 3   рехместная секция ")</f>
        <v> ресло для конференц залов  ринт мод   82 3  ресло для конференц залов  ринт мод   82 3   рехместная секция </v>
      </c>
    </row>
    <row r="3538">
      <c r="A3538" s="35" t="s">
        <v>8476</v>
      </c>
      <c r="B3538" s="31" t="s">
        <v>8477</v>
      </c>
      <c r="C3538" s="31" t="s">
        <v>8478</v>
      </c>
      <c r="D3538" s="37" t="s">
        <v>14</v>
      </c>
      <c r="E3538" s="10"/>
      <c r="F3538" s="36"/>
      <c r="G3538" s="11">
        <v>116736.0</v>
      </c>
      <c r="H3538" s="34" t="str">
        <f>IFERROR(__xludf.DUMMYFUNCTION("LOWER(REGEXREPLACE(B3538&amp;"" ""&amp;C3538,""[^а-яa-z0-9 ]"","" ""))")," ресло для конференц залов     3 х местн  на раме  ресло для конференц залов     3 х местн  на раме   рехместная секция   атериал обивки экокожа ")</f>
        <v> ресло для конференц залов     3 х местн  на раме  ресло для конференц залов     3 х местн  на раме   рехместная секция   атериал обивки экокожа </v>
      </c>
    </row>
    <row r="3539">
      <c r="A3539" s="35" t="s">
        <v>8479</v>
      </c>
      <c r="B3539" s="31" t="s">
        <v>8480</v>
      </c>
      <c r="C3539" s="31" t="s">
        <v>8481</v>
      </c>
      <c r="D3539" s="37" t="s">
        <v>14</v>
      </c>
      <c r="E3539" s="38">
        <v>2.0</v>
      </c>
      <c r="F3539" s="38">
        <v>26.0</v>
      </c>
      <c r="G3539" s="11">
        <v>42421.0</v>
      </c>
      <c r="H3539" s="34" t="str">
        <f>IFERROR(__xludf.DUMMYFUNCTION("LOWER(REGEXREPLACE(B3539&amp;"" ""&amp;C3539,""[^а-яa-z0-9 ]"","" ""))"),"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ысот"&amp;"а от пола до сиденья 500мм ")</f>
        <v>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ысота от пола до сиденья 500мм </v>
      </c>
    </row>
    <row r="3540">
      <c r="A3540" s="35" t="s">
        <v>8482</v>
      </c>
      <c r="B3540" s="9" t="s">
        <v>8483</v>
      </c>
      <c r="C3540" s="31" t="s">
        <v>8484</v>
      </c>
      <c r="D3540" s="37" t="s">
        <v>14</v>
      </c>
      <c r="E3540" s="38">
        <v>2.0</v>
      </c>
      <c r="F3540" s="38">
        <v>25.0</v>
      </c>
      <c r="G3540" s="11">
        <v>135892.0</v>
      </c>
      <c r="H3540" s="34" t="str">
        <f>IFERROR(__xludf.DUMMYFUNCTION("LOWER(REGEXREPLACE(B3540&amp;"" ""&amp;C3540,""[^а-яa-z0-9 ]"","" ""))"),"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"&amp;"и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о"&amp;"поры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торц"&amp;"ы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"&amp;"очищаемого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f>
        <v>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v>
      </c>
    </row>
    <row r="3541">
      <c r="A3541" s="35" t="s">
        <v>8485</v>
      </c>
      <c r="B3541" s="9" t="s">
        <v>8486</v>
      </c>
      <c r="C3541" s="31" t="s">
        <v>8487</v>
      </c>
      <c r="D3541" s="37" t="s">
        <v>14</v>
      </c>
      <c r="E3541" s="38">
        <v>2.0</v>
      </c>
      <c r="F3541" s="38">
        <v>30.0</v>
      </c>
      <c r="G3541" s="11">
        <v>182469.0</v>
      </c>
      <c r="H3541" s="34" t="str">
        <f>IFERROR(__xludf.DUMMYFUNCTION("LOWER(REGEXREPLACE(B3541&amp;"" ""&amp;C3541,""[^а-яa-z0-9 ]"","" ""))"),"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толщ"&amp;"иной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компен"&amp;"сирующие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холодно"&amp;"катанного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"&amp;"труб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f>
        <v>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v>
      </c>
    </row>
    <row r="3542">
      <c r="A3542" s="35" t="s">
        <v>8488</v>
      </c>
      <c r="B3542" s="31" t="s">
        <v>8489</v>
      </c>
      <c r="C3542" s="31" t="s">
        <v>8490</v>
      </c>
      <c r="D3542" s="37" t="s">
        <v>14</v>
      </c>
      <c r="E3542" s="38">
        <v>2.0</v>
      </c>
      <c r="F3542" s="38">
        <v>32.0</v>
      </c>
      <c r="G3542" s="11">
        <v>208666.0</v>
      </c>
      <c r="H3542" s="34" t="str">
        <f>IFERROR(__xludf.DUMMYFUNCTION("LOWER(REGEXREPLACE(B3542&amp;"" ""&amp;C3542,""[^а-яa-z0-9 ]"","" ""))"),"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компенсирующи"&amp;"е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воздейст"&amp;"виям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f>
        <v>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v>
      </c>
    </row>
    <row r="3543">
      <c r="A3543" s="35" t="s">
        <v>8491</v>
      </c>
      <c r="B3543" s="31" t="s">
        <v>8492</v>
      </c>
      <c r="C3543" s="31" t="s">
        <v>8493</v>
      </c>
      <c r="D3543" s="37" t="s">
        <v>14</v>
      </c>
      <c r="E3543" s="38">
        <v>2.0</v>
      </c>
      <c r="F3543" s="38">
        <v>28.0</v>
      </c>
      <c r="G3543" s="11">
        <v>189251.0</v>
      </c>
      <c r="H3543" s="34" t="str">
        <f>IFERROR(__xludf.DUMMYFUNCTION("LOWER(REGEXREPLACE(B3543&amp;"" ""&amp;C3543,""[^а-яa-z0-9 ]"","" ""))"),"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эле"&amp;"менты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"&amp;"трубка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хро"&amp;"м ")</f>
        <v>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хром </v>
      </c>
    </row>
    <row r="3544">
      <c r="A3544" s="35" t="s">
        <v>8494</v>
      </c>
      <c r="B3544" s="31" t="s">
        <v>8495</v>
      </c>
      <c r="C3544" s="31"/>
      <c r="D3544" s="37" t="s">
        <v>14</v>
      </c>
      <c r="E3544" s="10"/>
      <c r="F3544" s="36"/>
      <c r="G3544" s="11"/>
      <c r="H3544" s="34" t="str">
        <f>IFERROR(__xludf.DUMMYFUNCTION("LOWER(REGEXREPLACE(B3544&amp;"" ""&amp;C3544,""[^а-яa-z0-9 ]"","" ""))")," ресло на колесиках ")</f>
        <v> ресло на колесиках </v>
      </c>
    </row>
    <row r="3545">
      <c r="A3545" s="35" t="s">
        <v>8496</v>
      </c>
      <c r="B3545" s="31" t="s">
        <v>8497</v>
      </c>
      <c r="C3545" s="31" t="s">
        <v>8498</v>
      </c>
      <c r="D3545" s="37" t="s">
        <v>14</v>
      </c>
      <c r="E3545" s="10"/>
      <c r="F3545" s="36"/>
      <c r="G3545" s="11">
        <v>54473.0</v>
      </c>
      <c r="H3545" s="34" t="str">
        <f>IFERROR(__xludf.DUMMYFUNCTION("LOWER(REGEXREPLACE(B3545&amp;"" ""&amp;C3545,""[^а-яa-z0-9 ]"","" ""))"),"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f>
        <v>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v>
      </c>
    </row>
    <row r="3546">
      <c r="A3546" s="35" t="s">
        <v>8499</v>
      </c>
      <c r="B3546" s="31" t="s">
        <v>8500</v>
      </c>
      <c r="C3546" s="31" t="s">
        <v>8501</v>
      </c>
      <c r="D3546" s="37" t="s">
        <v>14</v>
      </c>
      <c r="E3546" s="10"/>
      <c r="F3546" s="36"/>
      <c r="G3546" s="11">
        <v>127813.0</v>
      </c>
      <c r="H3546" s="34" t="str">
        <f>IFERROR(__xludf.DUMMYFUNCTION("LOWER(REGEXREPLACE(B3546&amp;"" ""&amp;C3546,""[^а-яa-z0-9 ]"","" ""))"),"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f>
        <v>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v>
      </c>
    </row>
    <row r="3547">
      <c r="A3547" s="35" t="s">
        <v>8502</v>
      </c>
      <c r="B3547" s="31" t="s">
        <v>8503</v>
      </c>
      <c r="C3547" s="31" t="s">
        <v>8504</v>
      </c>
      <c r="D3547" s="37" t="s">
        <v>14</v>
      </c>
      <c r="E3547" s="10"/>
      <c r="F3547" s="36"/>
      <c r="G3547" s="11">
        <v>108589.0</v>
      </c>
      <c r="H3547" s="34" t="str">
        <f>IFERROR(__xludf.DUMMYFUNCTION("LOWER(REGEXREPLACE(B3547&amp;"" ""&amp;C3547,""[^а-яa-z0-9 ]"","" ""))")," ресло офисное        еханизм подъ ма без функции качания   одлокотник  крестовина и ролики   пластик ")</f>
        <v> ресло офисное        еханизм подъ ма без функции качания   одлокотник  крестовина и ролики   пластик </v>
      </c>
    </row>
    <row r="3548">
      <c r="A3548" s="35" t="s">
        <v>8505</v>
      </c>
      <c r="B3548" s="31" t="s">
        <v>8506</v>
      </c>
      <c r="C3548" s="31" t="s">
        <v>8507</v>
      </c>
      <c r="D3548" s="37" t="s">
        <v>14</v>
      </c>
      <c r="E3548" s="38">
        <v>2.0</v>
      </c>
      <c r="F3548" s="38">
        <v>12.0</v>
      </c>
      <c r="G3548" s="11">
        <v>75704.0</v>
      </c>
      <c r="H3548" s="34" t="str">
        <f>IFERROR(__xludf.DUMMYFUNCTION("LOWER(REGEXREPLACE(B3548&amp;"" ""&amp;C3548,""[^а-яa-z0-9 ]"","" ""))"),"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f>
        <v>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v>
      </c>
    </row>
    <row r="3549">
      <c r="A3549" s="35" t="s">
        <v>8508</v>
      </c>
      <c r="B3549" s="31" t="s">
        <v>8509</v>
      </c>
      <c r="C3549" s="31" t="s">
        <v>8510</v>
      </c>
      <c r="D3549" s="37" t="s">
        <v>14</v>
      </c>
      <c r="E3549" s="38">
        <v>2.0</v>
      </c>
      <c r="F3549" s="39">
        <v>8.4</v>
      </c>
      <c r="G3549" s="11">
        <v>30384.0</v>
      </c>
      <c r="H3549" s="34" t="str">
        <f>IFERROR(__xludf.DUMMYFUNCTION("LOWER(REGEXREPLACE(B3549&amp;"" ""&amp;C3549,""[^а-яa-z0-9 ]"","" ""))")," ресло офисное типа  uno  обивка гобелен  ысота сиденья регулируемая   атериал  крестовина   пластик  подлокотники   пластик   обивка   гобелен ")</f>
        <v> ресло офисное типа  uno  обивка гобелен  ысота сиденья регулируемая   атериал  крестовина   пластик  подлокотники   пластик   обивка   гобелен </v>
      </c>
    </row>
    <row r="3550">
      <c r="A3550" s="35" t="s">
        <v>8511</v>
      </c>
      <c r="B3550" s="31" t="s">
        <v>8512</v>
      </c>
      <c r="C3550" s="31" t="s">
        <v>8513</v>
      </c>
      <c r="D3550" s="37" t="s">
        <v>14</v>
      </c>
      <c r="E3550" s="38">
        <v>2.0</v>
      </c>
      <c r="F3550" s="38">
        <v>16.0</v>
      </c>
      <c r="G3550" s="11">
        <v>89091.0</v>
      </c>
      <c r="H3550" s="34" t="str">
        <f>IFERROR(__xludf.DUMMYFUNCTION("LOWER(REGEXREPLACE(B3550&amp;"" ""&amp;C3550,""[^а-яa-z0-9 ]"","" ""))"),"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поли"&amp;"уретановые колеса ")</f>
        <v>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полиуретановые колеса </v>
      </c>
    </row>
    <row r="3551">
      <c r="A3551" s="35" t="s">
        <v>8514</v>
      </c>
      <c r="B3551" s="31" t="s">
        <v>8515</v>
      </c>
      <c r="C3551" s="31" t="s">
        <v>8516</v>
      </c>
      <c r="D3551" s="37" t="s">
        <v>14</v>
      </c>
      <c r="E3551" s="38">
        <v>2.0</v>
      </c>
      <c r="F3551" s="39">
        <v>19.3</v>
      </c>
      <c r="G3551" s="11">
        <v>67521.0</v>
      </c>
      <c r="H3551" s="34" t="str">
        <f>IFERROR(__xludf.DUMMYFUNCTION("LOWER(REGEXREPLACE(B3551&amp;"" ""&amp;C3551,""[^а-яa-z0-9 ]"","" ""))")," ресло офисное типа  uno  обивка эко кожа  ресло регулиреумое по высоте   бивка эко кожа   ысота спинки   не более 670мм")</f>
        <v> ресло офисное типа  uno  обивка эко кожа  ресло регулиреумое по высоте   бивка эко кожа   ысота спинки   не более 670мм</v>
      </c>
    </row>
    <row r="3552">
      <c r="A3552" s="35" t="s">
        <v>8517</v>
      </c>
      <c r="B3552" s="31" t="s">
        <v>8518</v>
      </c>
      <c r="C3552" s="31" t="s">
        <v>8519</v>
      </c>
      <c r="D3552" s="37" t="s">
        <v>14</v>
      </c>
      <c r="E3552" s="38">
        <v>2.0</v>
      </c>
      <c r="F3552" s="38">
        <v>17.0</v>
      </c>
      <c r="G3552" s="11">
        <v>128034.0</v>
      </c>
      <c r="H3552" s="34" t="str">
        <f>IFERROR(__xludf.DUMMYFUNCTION("LOWER(REGEXREPLACE(B3552&amp;"" ""&amp;C3552,""[^а-яa-z0-9 ]"","" ""))"),"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синхронизиро"&amp;"ванный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f>
        <v>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v>
      </c>
    </row>
    <row r="3553">
      <c r="A3553" s="35" t="s">
        <v>8520</v>
      </c>
      <c r="B3553" s="31" t="s">
        <v>8521</v>
      </c>
      <c r="C3553" s="31" t="s">
        <v>8522</v>
      </c>
      <c r="D3553" s="37" t="s">
        <v>14</v>
      </c>
      <c r="E3553" s="38">
        <v>2.0</v>
      </c>
      <c r="F3553" s="38">
        <v>13.0</v>
      </c>
      <c r="G3553" s="11">
        <v>88181.0</v>
      </c>
      <c r="H3553" s="34" t="str">
        <f>IFERROR(__xludf.DUMMYFUNCTION("LOWER(REGEXREPLACE(B3553&amp;"" ""&amp;C3553,""[^а-яa-z0-9 ]"","" ""))"),"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сетч"&amp;"атая спинка   сиденье из пенополиуретана   азмеры 660 мм 990 660 мм")</f>
        <v>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сетчатая спинка   сиденье из пенополиуретана   азмеры 660 мм 990 660 мм</v>
      </c>
    </row>
    <row r="3554">
      <c r="A3554" s="35" t="s">
        <v>8523</v>
      </c>
      <c r="B3554" s="9" t="s">
        <v>8524</v>
      </c>
      <c r="C3554" s="31" t="s">
        <v>8525</v>
      </c>
      <c r="D3554" s="37" t="s">
        <v>14</v>
      </c>
      <c r="E3554" s="38">
        <v>2.0</v>
      </c>
      <c r="F3554" s="38">
        <v>10.0</v>
      </c>
      <c r="G3554" s="11">
        <v>44554.0</v>
      </c>
      <c r="H3554" s="34" t="str">
        <f>IFERROR(__xludf.DUMMYFUNCTION("LOWER(REGEXREPLACE(B3554&amp;"" ""&amp;C3554,""[^а-яa-z0-9 ]"","" ""))"),"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спи"&amp;"нка  сетка  сиденье  ткань")</f>
        <v>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спинка  сетка  сиденье  ткань</v>
      </c>
    </row>
    <row r="3555">
      <c r="A3555" s="35" t="s">
        <v>8526</v>
      </c>
      <c r="B3555" s="31" t="s">
        <v>8527</v>
      </c>
      <c r="C3555" s="31" t="s">
        <v>8528</v>
      </c>
      <c r="D3555" s="37" t="s">
        <v>14</v>
      </c>
      <c r="E3555" s="38">
        <v>2.0</v>
      </c>
      <c r="F3555" s="38">
        <v>10.0</v>
      </c>
      <c r="G3555" s="11">
        <v>53052.0</v>
      </c>
      <c r="H3555" s="34" t="str">
        <f>IFERROR(__xludf.DUMMYFUNCTION("LOWER(REGEXREPLACE(B3555&amp;"" ""&amp;C3555,""[^а-яa-z0-9 ]"","" ""))"),"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f>
        <v>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v>
      </c>
    </row>
    <row r="3556">
      <c r="A3556" s="35" t="s">
        <v>8529</v>
      </c>
      <c r="B3556" s="9" t="s">
        <v>8530</v>
      </c>
      <c r="C3556" s="31" t="s">
        <v>8531</v>
      </c>
      <c r="D3556" s="37" t="s">
        <v>14</v>
      </c>
      <c r="E3556" s="38">
        <v>2.0</v>
      </c>
      <c r="F3556" s="38">
        <v>15.0</v>
      </c>
      <c r="G3556" s="11">
        <v>70652.0</v>
      </c>
      <c r="H3556" s="34" t="str">
        <f>IFERROR(__xludf.DUMMYFUNCTION("LOWER(REGEXREPLACE(B3556&amp;"" ""&amp;C3556,""[^а-яa-z0-9 ]"","" ""))"),"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"&amp;"высоты  газлифт    одлокотники металлические с пластиковыми накладками   рестовина металлическая разборная   ластиковые колеса   граничение по весу  120 кг")</f>
        <v>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высоты  газлифт    одлокотники металлические с пластиковыми накладками   рестовина металлическая разборная   ластиковые колеса   граничение по весу  120 кг</v>
      </c>
    </row>
    <row r="3557">
      <c r="A3557" s="35" t="s">
        <v>8532</v>
      </c>
      <c r="B3557" s="31" t="s">
        <v>8533</v>
      </c>
      <c r="C3557" s="31" t="s">
        <v>8534</v>
      </c>
      <c r="D3557" s="37" t="s">
        <v>14</v>
      </c>
      <c r="E3557" s="38">
        <v>2.0</v>
      </c>
      <c r="F3557" s="38">
        <v>15.0</v>
      </c>
      <c r="G3557" s="11">
        <v>82972.0</v>
      </c>
      <c r="H3557" s="34" t="str">
        <f>IFERROR(__xludf.DUMMYFUNCTION("LOWER(REGEXREPLACE(B3557&amp;"" ""&amp;C3557,""[^а-яa-z0-9 ]"","" ""))"),"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регулировк"&amp;"ой под вес и возможностью фиксации в вертикальном положении   оддержка поясницы  2 резиновые ленты    граничение по весу  120 кг ")</f>
        <v>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регулировкой под вес и возможностью фиксации в вертикальном положении   оддержка поясницы  2 резиновые ленты    граничение по весу  120 кг </v>
      </c>
    </row>
    <row r="3558">
      <c r="A3558" s="35" t="s">
        <v>8535</v>
      </c>
      <c r="B3558" s="31" t="s">
        <v>8536</v>
      </c>
      <c r="C3558" s="31" t="s">
        <v>8537</v>
      </c>
      <c r="D3558" s="37" t="s">
        <v>14</v>
      </c>
      <c r="E3558" s="38">
        <v>2.0</v>
      </c>
      <c r="F3558" s="38">
        <v>15.0</v>
      </c>
      <c r="G3558" s="11">
        <v>92235.0</v>
      </c>
      <c r="H3558" s="34" t="str">
        <f>IFERROR(__xludf.DUMMYFUNCTION("LOWER(REGEXREPLACE(B3558&amp;"" ""&amp;C3558,""[^а-яa-z0-9 ]"","" ""))"),"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кг"&amp;" ")</f>
        <v>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 </v>
      </c>
    </row>
    <row r="3559">
      <c r="A3559" s="35" t="s">
        <v>8538</v>
      </c>
      <c r="B3559" s="31" t="s">
        <v>8539</v>
      </c>
      <c r="C3559" s="31" t="s">
        <v>8540</v>
      </c>
      <c r="D3559" s="37" t="s">
        <v>14</v>
      </c>
      <c r="E3559" s="38">
        <v>2.0</v>
      </c>
      <c r="F3559" s="38">
        <v>15.0</v>
      </c>
      <c r="G3559" s="11">
        <v>98800.0</v>
      </c>
      <c r="H3559" s="34" t="str">
        <f>IFERROR(__xludf.DUMMYFUNCTION("LOWER(REGEXREPLACE(B3559&amp;"" ""&amp;C3559,""[^а-яa-z0-9 ]"","" ""))"),"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ве"&amp;"су  120 кг   атериал обивки  эко кожа   азмер  545х475х1140мм")</f>
        <v>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весу  120 кг   атериал обивки  эко кожа   азмер  545х475х1140мм</v>
      </c>
    </row>
    <row r="3560">
      <c r="A3560" s="35" t="s">
        <v>8541</v>
      </c>
      <c r="B3560" s="31" t="s">
        <v>8542</v>
      </c>
      <c r="C3560" s="31" t="s">
        <v>8543</v>
      </c>
      <c r="D3560" s="37" t="s">
        <v>14</v>
      </c>
      <c r="E3560" s="38">
        <v>2.0</v>
      </c>
      <c r="F3560" s="38">
        <v>15.0</v>
      </c>
      <c r="G3560" s="11">
        <v>85760.0</v>
      </c>
      <c r="H3560" s="34" t="str">
        <f>IFERROR(__xludf.DUMMYFUNCTION("LOWER(REGEXREPLACE(B3560&amp;"" ""&amp;C3560,""[^а-яa-z0-9 ]"","" ""))"),"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рег"&amp;"улировкой под вес и фиксацией в вертикальном положении   граничение по весу  120 кг ")</f>
        <v>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регулировкой под вес и фиксацией в вертикальном положении   граничение по весу  120 кг </v>
      </c>
    </row>
    <row r="3561">
      <c r="A3561" s="35" t="s">
        <v>8544</v>
      </c>
      <c r="B3561" s="9" t="s">
        <v>8545</v>
      </c>
      <c r="C3561" s="31" t="s">
        <v>8543</v>
      </c>
      <c r="D3561" s="37" t="s">
        <v>14</v>
      </c>
      <c r="E3561" s="38">
        <v>2.0</v>
      </c>
      <c r="F3561" s="38">
        <v>15.0</v>
      </c>
      <c r="G3561" s="11">
        <v>102217.0</v>
      </c>
      <c r="H3561" s="34" t="str">
        <f>IFERROR(__xludf.DUMMYFUNCTION("LOWER(REGEXREPLACE(B3561&amp;"" ""&amp;C3561,""[^а-яa-z0-9 ]"","" ""))"),"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в"&amp;"ертикальном положении   граничение по весу  120 кг ")</f>
        <v>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вертикальном положении   граничение по весу  120 кг </v>
      </c>
    </row>
    <row r="3562">
      <c r="A3562" s="35" t="s">
        <v>8546</v>
      </c>
      <c r="B3562" s="31" t="s">
        <v>8547</v>
      </c>
      <c r="C3562" s="31" t="s">
        <v>8548</v>
      </c>
      <c r="D3562" s="37" t="s">
        <v>14</v>
      </c>
      <c r="E3562" s="38">
        <v>2.0</v>
      </c>
      <c r="F3562" s="38">
        <v>10.0</v>
      </c>
      <c r="G3562" s="11">
        <v>60111.0</v>
      </c>
      <c r="H3562" s="34" t="str">
        <f>IFERROR(__xludf.DUMMYFUNCTION("LOWER(REGEXREPLACE(B3562&amp;"" ""&amp;C3562,""[^а-яa-z0-9 ]"","" ""))"),"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сиденье"&amp;"   ткань   граничение по весу  120 кг")</f>
        <v>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   ткань   граничение по весу  120 кг</v>
      </c>
    </row>
    <row r="3563">
      <c r="A3563" s="35" t="s">
        <v>8549</v>
      </c>
      <c r="B3563" s="31" t="s">
        <v>8550</v>
      </c>
      <c r="C3563" s="31" t="s">
        <v>8551</v>
      </c>
      <c r="D3563" s="37" t="s">
        <v>14</v>
      </c>
      <c r="E3563" s="38">
        <v>2.0</v>
      </c>
      <c r="F3563" s="38">
        <v>10.0</v>
      </c>
      <c r="G3563" s="11">
        <v>67207.0</v>
      </c>
      <c r="H3563" s="34" t="str">
        <f>IFERROR(__xludf.DUMMYFUNCTION("LOWER(REGEXREPLACE(B3563&amp;"" ""&amp;C3563,""[^а-яa-z0-9 ]"","" ""))"),"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f>
        <v>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v>
      </c>
    </row>
    <row r="3564">
      <c r="A3564" s="35" t="s">
        <v>8552</v>
      </c>
      <c r="B3564" s="31" t="s">
        <v>8553</v>
      </c>
      <c r="C3564" s="31" t="s">
        <v>8554</v>
      </c>
      <c r="D3564" s="37" t="s">
        <v>14</v>
      </c>
      <c r="E3564" s="38">
        <v>2.0</v>
      </c>
      <c r="F3564" s="38">
        <v>10.0</v>
      </c>
      <c r="G3564" s="11">
        <v>75669.0</v>
      </c>
      <c r="H3564" s="34" t="str">
        <f>IFERROR(__xludf.DUMMYFUNCTION("LOWER(REGEXREPLACE(B3564&amp;"" ""&amp;C3564,""[^а-яa-z0-9 ]"","" ""))"),"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м"&amp;"еталлическая разборная   граничение по весу  120 кг")</f>
        <v>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металлическая разборная   граничение по весу  120 кг</v>
      </c>
    </row>
    <row r="3565">
      <c r="A3565" s="35" t="s">
        <v>8555</v>
      </c>
      <c r="B3565" s="31" t="s">
        <v>8556</v>
      </c>
      <c r="C3565" s="31" t="s">
        <v>8557</v>
      </c>
      <c r="D3565" s="37" t="s">
        <v>14</v>
      </c>
      <c r="E3565" s="38">
        <v>2.0</v>
      </c>
      <c r="F3565" s="38">
        <v>16.0</v>
      </c>
      <c r="G3565" s="11">
        <v>98969.0</v>
      </c>
      <c r="H3565" s="34" t="str">
        <f>IFERROR(__xludf.DUMMYFUNCTION("LOWER(REGEXREPLACE(B3565&amp;"" ""&amp;C3565,""[^а-яa-z0-9 ]"","" ""))"),"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спину"&amp;"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р"&amp;"егулируемая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f>
        <v>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v>
      </c>
    </row>
    <row r="3566">
      <c r="A3566" s="35" t="s">
        <v>8558</v>
      </c>
      <c r="B3566" s="31" t="s">
        <v>8559</v>
      </c>
      <c r="C3566" s="31" t="s">
        <v>8560</v>
      </c>
      <c r="D3566" s="37" t="s">
        <v>14</v>
      </c>
      <c r="E3566" s="38">
        <v>2.0</v>
      </c>
      <c r="F3566" s="38">
        <v>16.0</v>
      </c>
      <c r="G3566" s="11">
        <v>120661.0</v>
      </c>
      <c r="H3566" s="34" t="str">
        <f>IFERROR(__xludf.DUMMYFUNCTION("LOWER(REGEXREPLACE(B3566&amp;"" ""&amp;C3566,""[^а-яa-z0-9 ]"","" ""))"),"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одви"&amp;"жная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г"&amp;"убка   войной рычаг  механизм наклона спинки назад   ластиковые колеса ")</f>
        <v>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губка   войной рычаг  механизм наклона спинки назад   ластиковые колеса </v>
      </c>
    </row>
    <row r="3567">
      <c r="A3567" s="35" t="s">
        <v>8561</v>
      </c>
      <c r="B3567" s="31" t="s">
        <v>8562</v>
      </c>
      <c r="C3567" s="31" t="s">
        <v>8563</v>
      </c>
      <c r="D3567" s="37" t="s">
        <v>14</v>
      </c>
      <c r="E3567" s="38">
        <v>2.0</v>
      </c>
      <c r="F3567" s="38">
        <v>14.0</v>
      </c>
      <c r="G3567" s="11">
        <v>95297.0</v>
      </c>
      <c r="H3567" s="34" t="str">
        <f>IFERROR(__xludf.DUMMYFUNCTION("LOWER(REGEXREPLACE(B3567&amp;"" ""&amp;C3567,""[^а-яa-z0-9 ]"","" ""))"),"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12"&amp;"0 кг   аполнитель  пена полиуритан   вет  черный   егулировка высоты ")</f>
        <v>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120 кг   аполнитель  пена полиуритан   вет  черный   егулировка высоты </v>
      </c>
    </row>
    <row r="3568">
      <c r="A3568" s="35" t="s">
        <v>8564</v>
      </c>
      <c r="B3568" s="31" t="s">
        <v>8565</v>
      </c>
      <c r="C3568" s="31" t="s">
        <v>8566</v>
      </c>
      <c r="D3568" s="37" t="s">
        <v>14</v>
      </c>
      <c r="E3568" s="38">
        <v>2.0</v>
      </c>
      <c r="F3568" s="38">
        <v>12.0</v>
      </c>
      <c r="G3568" s="11">
        <v>82961.0</v>
      </c>
      <c r="H3568" s="34" t="str">
        <f>IFERROR(__xludf.DUMMYFUNCTION("LOWER(REGEXREPLACE(B3568&amp;"" ""&amp;C3568,""[^а-яa-z0-9 ]"","" ""))"),"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f>
        <v>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v>
      </c>
    </row>
    <row r="3569">
      <c r="A3569" s="35" t="s">
        <v>8567</v>
      </c>
      <c r="B3569" s="31" t="s">
        <v>8568</v>
      </c>
      <c r="C3569" s="31" t="s">
        <v>8569</v>
      </c>
      <c r="D3569" s="37" t="s">
        <v>14</v>
      </c>
      <c r="E3569" s="38">
        <v>2.0</v>
      </c>
      <c r="F3569" s="38">
        <v>12.0</v>
      </c>
      <c r="G3569" s="11">
        <v>104075.0</v>
      </c>
      <c r="H3569" s="34" t="str">
        <f>IFERROR(__xludf.DUMMYFUNCTION("LOWER(REGEXREPLACE(B3569&amp;"" ""&amp;C3569,""[^а-яa-z0-9 ]"","" ""))"),"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f>
        <v>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v>
      </c>
    </row>
    <row r="3570">
      <c r="A3570" s="35" t="s">
        <v>8570</v>
      </c>
      <c r="B3570" s="31" t="s">
        <v>8571</v>
      </c>
      <c r="C3570" s="31" t="s">
        <v>8572</v>
      </c>
      <c r="D3570" s="37" t="s">
        <v>14</v>
      </c>
      <c r="E3570" s="38">
        <v>2.0</v>
      </c>
      <c r="F3570" s="39">
        <v>8.5</v>
      </c>
      <c r="G3570" s="11">
        <v>32587.0</v>
      </c>
      <c r="H3570" s="34" t="str">
        <f>IFERROR(__xludf.DUMMYFUNCTION("LOWER(REGEXREPLACE(B3570&amp;"" ""&amp;C3570,""[^а-яa-z0-9 ]"","" ""))"),"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сидень"&amp;"е  ткань ")</f>
        <v>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сиденье  ткань </v>
      </c>
    </row>
    <row r="3571">
      <c r="A3571" s="35" t="s">
        <v>8573</v>
      </c>
      <c r="B3571" s="31" t="s">
        <v>8574</v>
      </c>
      <c r="C3571" s="31"/>
      <c r="D3571" s="37" t="s">
        <v>14</v>
      </c>
      <c r="E3571" s="10"/>
      <c r="F3571" s="36"/>
      <c r="G3571" s="11"/>
      <c r="H3571" s="34" t="str">
        <f>IFERROR(__xludf.DUMMYFUNCTION("LOWER(REGEXREPLACE(B3571&amp;"" ""&amp;C3571,""[^а-яa-z0-9 ]"","" ""))")," каф для одежды ")</f>
        <v> каф для одежды </v>
      </c>
    </row>
    <row r="3572">
      <c r="A3572" s="35" t="s">
        <v>8575</v>
      </c>
      <c r="B3572" s="31" t="s">
        <v>8576</v>
      </c>
      <c r="C3572" s="31"/>
      <c r="D3572" s="37" t="s">
        <v>14</v>
      </c>
      <c r="E3572" s="10"/>
      <c r="F3572" s="36"/>
      <c r="G3572" s="11">
        <v>104054.0</v>
      </c>
      <c r="H3572" s="34" t="str">
        <f>IFERROR(__xludf.DUMMYFUNCTION("LOWER(REGEXREPLACE(B3572&amp;"" ""&amp;C3572,""[^а-яa-z0-9 ]"","" ""))")," каф для одежды двухсекционный с вытяжным патрубком 800х500х2000 мм ")</f>
        <v> каф для одежды двухсекционный с вытяжным патрубком 800х500х2000 мм </v>
      </c>
    </row>
    <row r="3573">
      <c r="A3573" s="35" t="s">
        <v>8577</v>
      </c>
      <c r="B3573" s="31" t="s">
        <v>8578</v>
      </c>
      <c r="C3573" s="31" t="s">
        <v>8579</v>
      </c>
      <c r="D3573" s="37" t="s">
        <v>14</v>
      </c>
      <c r="E3573" s="10"/>
      <c r="F3573" s="36"/>
      <c r="G3573" s="11">
        <v>81429.0</v>
      </c>
      <c r="H3573" s="34" t="str">
        <f>IFERROR(__xludf.DUMMYFUNCTION("LOWER(REGEXREPLACE(B3573&amp;"" ""&amp;C3573,""[^а-яa-z0-9 ]"","" ""))")," каф для одежды 800х540х1930 мм  каф для одежды 800х540х1930 мм   есущие части  полки  фасадная часть        16 мм")</f>
        <v> каф для одежды 800х540х1930 мм  каф для одежды 800х540х1930 мм   есущие части  полки  фасадная часть        16 мм</v>
      </c>
    </row>
    <row r="3574">
      <c r="A3574" s="35" t="s">
        <v>8580</v>
      </c>
      <c r="B3574" s="31" t="s">
        <v>8581</v>
      </c>
      <c r="C3574" s="31"/>
      <c r="D3574" s="37" t="s">
        <v>14</v>
      </c>
      <c r="E3574" s="10"/>
      <c r="F3574" s="36"/>
      <c r="G3574" s="11">
        <v>55977.0</v>
      </c>
      <c r="H3574" s="34" t="str">
        <f>IFERROR(__xludf.DUMMYFUNCTION("LOWER(REGEXREPLACE(B3574&amp;"" ""&amp;C3574,""[^а-яa-z0-9 ]"","" ""))")," каф для одежды 800х540х1950 мм ")</f>
        <v> каф для одежды 800х540х1950 мм </v>
      </c>
    </row>
    <row r="3575">
      <c r="A3575" s="35" t="s">
        <v>8582</v>
      </c>
      <c r="B3575" s="31" t="s">
        <v>8583</v>
      </c>
      <c r="C3575" s="31" t="s">
        <v>8584</v>
      </c>
      <c r="D3575" s="37" t="s">
        <v>14</v>
      </c>
      <c r="E3575" s="10"/>
      <c r="F3575" s="36"/>
      <c r="G3575" s="11">
        <v>53571.0</v>
      </c>
      <c r="H3575" s="34" t="str">
        <f>IFERROR(__xludf.DUMMYFUNCTION("LOWER(REGEXREPLACE(B3575&amp;"" ""&amp;C3575,""[^а-яa-z0-9 ]"","" ""))")," каф для одежды 800х450х1800 мм  каф для одежды 800х450х1800 мм       16мм   олки для одежды и головного убора ")</f>
        <v> каф для одежды 800х450х1800 мм  каф для одежды 800х450х1800 мм       16мм   олки для одежды и головного убора </v>
      </c>
    </row>
    <row r="3576">
      <c r="A3576" s="35" t="s">
        <v>8585</v>
      </c>
      <c r="B3576" s="31" t="s">
        <v>8586</v>
      </c>
      <c r="C3576" s="31" t="s">
        <v>8587</v>
      </c>
      <c r="D3576" s="37" t="s">
        <v>14</v>
      </c>
      <c r="E3576" s="10"/>
      <c r="F3576" s="36"/>
      <c r="G3576" s="11">
        <v>44643.0</v>
      </c>
      <c r="H3576" s="34" t="str">
        <f>IFERROR(__xludf.DUMMYFUNCTION("LOWER(REGEXREPLACE(B3576&amp;"" ""&amp;C3576,""[^а-яa-z0-9 ]"","" ""))")," каф для одежды 600х450х1800 мм  каф для одежды 600х450х1800 мм       16мм   олка для головного убора и перекладина ")</f>
        <v> каф для одежды 600х450х1800 мм  каф для одежды 600х450х1800 мм       16мм   олка для головного убора и перекладина </v>
      </c>
    </row>
    <row r="3577">
      <c r="A3577" s="35" t="s">
        <v>8588</v>
      </c>
      <c r="B3577" s="31" t="s">
        <v>8589</v>
      </c>
      <c r="C3577" s="31" t="s">
        <v>8590</v>
      </c>
      <c r="D3577" s="37" t="s">
        <v>14</v>
      </c>
      <c r="E3577" s="10"/>
      <c r="F3577" s="36"/>
      <c r="G3577" s="11">
        <v>49107.0</v>
      </c>
      <c r="H3577" s="34" t="str">
        <f>IFERROR(__xludf.DUMMYFUNCTION("LOWER(REGEXREPLACE(B3577&amp;"" ""&amp;C3577,""[^а-яa-z0-9 ]"","" ""))")," каф для одежды 1000х450х1800 мм  каф для одежды 1000х450х1800 мм       16мм   олка для головного убора и перекладина ")</f>
        <v> каф для одежды 1000х450х1800 мм  каф для одежды 1000х450х1800 мм       16мм   олка для головного убора и перекладина </v>
      </c>
    </row>
    <row r="3578">
      <c r="A3578" s="35" t="s">
        <v>8591</v>
      </c>
      <c r="B3578" s="31" t="s">
        <v>8592</v>
      </c>
      <c r="C3578" s="31" t="s">
        <v>8593</v>
      </c>
      <c r="D3578" s="37" t="s">
        <v>14</v>
      </c>
      <c r="E3578" s="10"/>
      <c r="F3578" s="38">
        <v>80.0</v>
      </c>
      <c r="G3578" s="11">
        <v>110502.0</v>
      </c>
      <c r="H3578" s="34" t="str">
        <f>IFERROR(__xludf.DUMMYFUNCTION("LOWER(REGEXREPLACE(B3578&amp;"" ""&amp;C3578,""[^а-яa-z0-9 ]"","" ""))"),"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79">
      <c r="A3579" s="35" t="s">
        <v>8594</v>
      </c>
      <c r="B3579" s="31" t="s">
        <v>8595</v>
      </c>
      <c r="C3579" s="31" t="s">
        <v>8596</v>
      </c>
      <c r="D3579" s="37" t="s">
        <v>14</v>
      </c>
      <c r="E3579" s="38">
        <v>2.0</v>
      </c>
      <c r="F3579" s="38">
        <v>95.0</v>
      </c>
      <c r="G3579" s="11">
        <v>98380.0</v>
      </c>
      <c r="H3579" s="34" t="str">
        <f>IFERROR(__xludf.DUMMYFUNCTION("LOWER(REGEXREPLACE(B3579&amp;"" ""&amp;C3579,""[^а-яa-z0-9 ]"","" ""))"),"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гол"&amp;"овных уборов и обуви  а также 2 крючка для одежды   редусмотрено крепление шкафа к стене ")</f>
        <v>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80">
      <c r="A3580" s="35" t="s">
        <v>8597</v>
      </c>
      <c r="B3580" s="31" t="s">
        <v>8598</v>
      </c>
      <c r="C3580" s="31" t="s">
        <v>8599</v>
      </c>
      <c r="D3580" s="37" t="s">
        <v>14</v>
      </c>
      <c r="E3580" s="38">
        <v>2.0</v>
      </c>
      <c r="F3580" s="38">
        <v>55.0</v>
      </c>
      <c r="G3580" s="11">
        <v>42331.0</v>
      </c>
      <c r="H3580" s="34" t="str">
        <f>IFERROR(__xludf.DUMMYFUNCTION("LOWER(REGEXREPLACE(B3580&amp;"" ""&amp;C3580,""[^а-яa-z0-9 ]"","" ""))")," каф для одежды 849х376х1835 мм  каф для одежды 849х376х1835 мм       16мм   олка для головного убора  перекладина  полки для одежды  2 дверцы")</f>
        <v> каф для одежды 849х376х1835 мм  каф для одежды 849х376х1835 мм       16мм   олка для головного убора  перекладина  полки для одежды  2 дверцы</v>
      </c>
    </row>
    <row r="3581">
      <c r="A3581" s="35" t="s">
        <v>8600</v>
      </c>
      <c r="B3581" s="31" t="s">
        <v>8601</v>
      </c>
      <c r="C3581" s="31" t="s">
        <v>8602</v>
      </c>
      <c r="D3581" s="37" t="s">
        <v>14</v>
      </c>
      <c r="E3581" s="38">
        <v>2.0</v>
      </c>
      <c r="F3581" s="38">
        <v>45.0</v>
      </c>
      <c r="G3581" s="11">
        <v>84350.0</v>
      </c>
      <c r="H3581" s="34" t="str">
        <f>IFERROR(__xludf.DUMMYFUNCTION("LOWER(REGEXREPLACE(B3581&amp;"" ""&amp;C3581,""[^а-яa-z0-9 ]"","" ""))"),"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f>
        <v>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v>
      </c>
    </row>
    <row r="3582">
      <c r="A3582" s="35" t="s">
        <v>8603</v>
      </c>
      <c r="B3582" s="31" t="s">
        <v>8604</v>
      </c>
      <c r="C3582" s="31" t="s">
        <v>8605</v>
      </c>
      <c r="D3582" s="37" t="s">
        <v>14</v>
      </c>
      <c r="E3582" s="38">
        <v>2.0</v>
      </c>
      <c r="F3582" s="38">
        <v>63.0</v>
      </c>
      <c r="G3582" s="11">
        <v>65533.0</v>
      </c>
      <c r="H3582" s="34" t="str">
        <f>IFERROR(__xludf.DUMMYFUNCTION("LOWER(REGEXREPLACE(B3582&amp;"" ""&amp;C3582,""[^а-яa-z0-9 ]"","" ""))"),"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"&amp;"без пластиковых элементов    авес мебельный типа       ножка мебельная  ручки")</f>
        <v>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без пластиковых элементов    авес мебельный типа       ножка мебельная  ручки</v>
      </c>
    </row>
    <row r="3583">
      <c r="A3583" s="35" t="s">
        <v>8606</v>
      </c>
      <c r="B3583" s="31" t="s">
        <v>8607</v>
      </c>
      <c r="C3583" s="31" t="s">
        <v>8608</v>
      </c>
      <c r="D3583" s="37" t="s">
        <v>14</v>
      </c>
      <c r="E3583" s="38">
        <v>2.0</v>
      </c>
      <c r="F3583" s="38">
        <v>35.0</v>
      </c>
      <c r="G3583" s="11">
        <v>76575.0</v>
      </c>
      <c r="H3583" s="34" t="str">
        <f>IFERROR(__xludf.DUMMYFUNCTION("LOWER(REGEXREPLACE(B3583&amp;"" ""&amp;C3583,""[^а-яa-z0-9 ]"","" ""))"),"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конфирм"&amp;"аты  стяжка типа       кромка       2мм  ручка кнопка без острых углов  навес мебельный типа       ножка мебельная   вет      по согласованию с заказчиком ")</f>
        <v>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конфирматы  стяжка типа       кромка       2мм  ручка кнопка без острых углов  навес мебельный типа       ножка мебельная   вет      по согласованию с заказчиком </v>
      </c>
    </row>
    <row r="3584">
      <c r="A3584" s="35" t="s">
        <v>8609</v>
      </c>
      <c r="B3584" s="31" t="s">
        <v>8610</v>
      </c>
      <c r="C3584" s="31" t="s">
        <v>8611</v>
      </c>
      <c r="D3584" s="37" t="s">
        <v>14</v>
      </c>
      <c r="E3584" s="38">
        <v>2.0</v>
      </c>
      <c r="F3584" s="38">
        <v>90.0</v>
      </c>
      <c r="G3584" s="11">
        <v>568518.0</v>
      </c>
      <c r="H3584" s="34" t="str">
        <f>IFERROR(__xludf.DUMMYFUNCTION("LOWER(REGEXREPLACE(B3584&amp;"" ""&amp;C3584,""[^а-яa-z0-9 ]"","" ""))"),"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"&amp;"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предусм"&amp;"отрены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f>
        <v>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v>
      </c>
    </row>
    <row r="3585">
      <c r="A3585" s="35" t="s">
        <v>8612</v>
      </c>
      <c r="B3585" s="31" t="s">
        <v>8613</v>
      </c>
      <c r="C3585" s="31" t="s">
        <v>8614</v>
      </c>
      <c r="D3585" s="37" t="s">
        <v>14</v>
      </c>
      <c r="E3585" s="38">
        <v>2.0</v>
      </c>
      <c r="F3585" s="38">
        <v>55.0</v>
      </c>
      <c r="G3585" s="11">
        <v>71437.0</v>
      </c>
      <c r="H3585" s="34" t="str">
        <f>IFERROR(__xludf.DUMMYFUNCTION("LOWER(REGEXREPLACE(B3585&amp;"" ""&amp;C3585,""[^а-яa-z0-9 ]"","" ""))"),"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т"&amp;"олщиной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f>
        <v>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v>
      </c>
    </row>
    <row r="3586">
      <c r="A3586" s="35" t="s">
        <v>8615</v>
      </c>
      <c r="B3586" s="31" t="s">
        <v>8616</v>
      </c>
      <c r="C3586" s="31" t="s">
        <v>8617</v>
      </c>
      <c r="D3586" s="37" t="s">
        <v>14</v>
      </c>
      <c r="E3586" s="38">
        <v>2.0</v>
      </c>
      <c r="F3586" s="38">
        <v>27.0</v>
      </c>
      <c r="G3586" s="11">
        <v>172228.0</v>
      </c>
      <c r="H3586" s="34" t="str">
        <f>IFERROR(__xludf.DUMMYFUNCTION("LOWER(REGEXREPLACE(B3586&amp;"" ""&amp;C3586,""[^а-яa-z0-9 ]"","" ""))"),"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"&amp;"глухой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"&amp;"   ножка мебельная")</f>
        <v>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ножка мебельная</v>
      </c>
    </row>
    <row r="3587">
      <c r="A3587" s="35" t="s">
        <v>8618</v>
      </c>
      <c r="B3587" s="31" t="s">
        <v>8619</v>
      </c>
      <c r="C3587" s="31" t="s">
        <v>8620</v>
      </c>
      <c r="D3587" s="37" t="s">
        <v>14</v>
      </c>
      <c r="E3587" s="38">
        <v>2.0</v>
      </c>
      <c r="F3587" s="38">
        <v>78.0</v>
      </c>
      <c r="G3587" s="11">
        <v>136275.0</v>
      </c>
      <c r="H3587" s="34" t="str">
        <f>IFERROR(__xludf.DUMMYFUNCTION("LOWER(REGEXREPLACE(B3587&amp;"" ""&amp;C3587,""[^а-яa-z0-9 ]"","" ""))"),"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толщин"&amp;"а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inifi"&amp;"x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f>
        <v>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v>
      </c>
    </row>
    <row r="3588">
      <c r="A3588" s="35" t="s">
        <v>8621</v>
      </c>
      <c r="B3588" s="31" t="s">
        <v>8622</v>
      </c>
      <c r="C3588" s="31" t="s">
        <v>8623</v>
      </c>
      <c r="D3588" s="37" t="s">
        <v>14</v>
      </c>
      <c r="E3588" s="38">
        <v>2.0</v>
      </c>
      <c r="F3588" s="38">
        <v>98.0</v>
      </c>
      <c r="G3588" s="11">
        <v>169590.0</v>
      </c>
      <c r="H3588" s="34" t="str">
        <f>IFERROR(__xludf.DUMMYFUNCTION("LOWER(REGEXREPLACE(B3588&amp;"" ""&amp;C3588,""[^а-яa-z0-9 ]"","" ""))"),"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толщи"&amp;"на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inif"&amp;"ix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f>
        <v>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v>
      </c>
    </row>
    <row r="3589">
      <c r="A3589" s="35" t="s">
        <v>8624</v>
      </c>
      <c r="B3589" s="31" t="s">
        <v>8625</v>
      </c>
      <c r="C3589" s="31" t="s">
        <v>8626</v>
      </c>
      <c r="D3589" s="37" t="s">
        <v>14</v>
      </c>
      <c r="E3589" s="38">
        <v>2.0</v>
      </c>
      <c r="F3589" s="38">
        <v>75.0</v>
      </c>
      <c r="G3589" s="11">
        <v>90939.0</v>
      </c>
      <c r="H3589" s="34" t="str">
        <f>IFERROR(__xludf.DUMMYFUNCTION("LOWER(REGEXREPLACE(B3589&amp;"" ""&amp;C3589,""[^а-яa-z0-9 ]"","" ""))"),"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"&amp;"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нижне"&amp;"й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f>
        <v>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v>
      </c>
    </row>
    <row r="3590">
      <c r="A3590" s="35" t="s">
        <v>8627</v>
      </c>
      <c r="B3590" s="31" t="s">
        <v>8628</v>
      </c>
      <c r="C3590" s="31" t="s">
        <v>8629</v>
      </c>
      <c r="D3590" s="37" t="s">
        <v>14</v>
      </c>
      <c r="E3590" s="38">
        <v>2.0</v>
      </c>
      <c r="F3590" s="39">
        <v>43.3</v>
      </c>
      <c r="G3590" s="11">
        <v>46526.0</v>
      </c>
      <c r="H3590" s="34" t="str">
        <f>IFERROR(__xludf.DUMMYFUNCTION("LOWER(REGEXREPLACE(B3590&amp;"" ""&amp;C3590,""[^а-яa-z0-9 ]"","" ""))"),"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f>
        <v>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v>
      </c>
    </row>
    <row r="3591">
      <c r="A3591" s="35" t="s">
        <v>8630</v>
      </c>
      <c r="B3591" s="31" t="s">
        <v>8631</v>
      </c>
      <c r="C3591" s="31" t="s">
        <v>8632</v>
      </c>
      <c r="D3591" s="37" t="s">
        <v>14</v>
      </c>
      <c r="E3591" s="38">
        <v>2.0</v>
      </c>
      <c r="F3591" s="39">
        <v>56.4</v>
      </c>
      <c r="G3591" s="11">
        <v>44914.0</v>
      </c>
      <c r="H3591" s="34" t="str">
        <f>IFERROR(__xludf.DUMMYFUNCTION("LOWER(REGEXREPLACE(B3591&amp;"" ""&amp;C3591,""[^а-яa-z0-9 ]"","" ""))")," каф для одежды 800х500х1970мм  ирина   800мм  глубина   500мм  высота 1970мм   каф выполнен из      16мм   орцы облицованы ударопрочной кромкой     толщиной 2мм   учки металлические ")</f>
        <v> каф для одежды 800х500х1970мм  ирина   800мм  глубина   500мм  высота 1970мм   каф выполнен из      16мм   орцы облицованы ударопрочной кромкой     толщиной 2мм   учки металлические </v>
      </c>
    </row>
    <row r="3592">
      <c r="A3592" s="35" t="s">
        <v>8633</v>
      </c>
      <c r="B3592" s="31" t="s">
        <v>8634</v>
      </c>
      <c r="C3592" s="31" t="s">
        <v>8635</v>
      </c>
      <c r="D3592" s="37" t="s">
        <v>14</v>
      </c>
      <c r="E3592" s="38">
        <v>2.0</v>
      </c>
      <c r="F3592" s="39">
        <v>72.7</v>
      </c>
      <c r="G3592" s="11">
        <v>85773.0</v>
      </c>
      <c r="H3592" s="34" t="str">
        <f>IFERROR(__xludf.DUMMYFUNCTION("LOWER(REGEXREPLACE(B3592&amp;"" ""&amp;C3592,""[^а-яa-z0-9 ]"","" ""))"),"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93">
      <c r="A3593" s="35" t="s">
        <v>8636</v>
      </c>
      <c r="B3593" s="31" t="s">
        <v>8637</v>
      </c>
      <c r="C3593" s="31" t="s">
        <v>8638</v>
      </c>
      <c r="D3593" s="37" t="s">
        <v>14</v>
      </c>
      <c r="E3593" s="38">
        <v>2.0</v>
      </c>
      <c r="F3593" s="38">
        <v>46.0</v>
      </c>
      <c r="G3593" s="11">
        <v>85602.0</v>
      </c>
      <c r="H3593" s="34" t="str">
        <f>IFERROR(__xludf.DUMMYFUNCTION("LOWER(REGEXREPLACE(B3593&amp;"" ""&amp;C3593,""[^а-яa-z0-9 ]"","" ""))"),"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"&amp;"  вет по согласованию с заказчиком   верцы распашные ")</f>
        <v>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вет по согласованию с заказчиком   верцы распашные </v>
      </c>
    </row>
    <row r="3594">
      <c r="A3594" s="35" t="s">
        <v>8639</v>
      </c>
      <c r="B3594" s="31" t="s">
        <v>8640</v>
      </c>
      <c r="C3594" s="31" t="s">
        <v>8641</v>
      </c>
      <c r="D3594" s="37" t="s">
        <v>14</v>
      </c>
      <c r="E3594" s="38">
        <v>2.0</v>
      </c>
      <c r="F3594" s="38">
        <v>59.0</v>
      </c>
      <c r="G3594" s="11">
        <v>157604.0</v>
      </c>
      <c r="H3594" s="34" t="str">
        <f>IFERROR(__xludf.DUMMYFUNCTION("LOWER(REGEXREPLACE(B3594&amp;"" ""&amp;C3594,""[^а-яa-z0-9 ]"","" ""))"),"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ф"&amp;"асада       16 мм   вет корпуса по согласованию   вет задней стенки  белый      4 мм ")</f>
        <v>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фасада       16 мм   вет корпуса по согласованию   вет задней стенки  белый      4 мм </v>
      </c>
    </row>
    <row r="3595">
      <c r="A3595" s="35" t="s">
        <v>8642</v>
      </c>
      <c r="B3595" s="31" t="s">
        <v>8643</v>
      </c>
      <c r="C3595" s="31" t="s">
        <v>8644</v>
      </c>
      <c r="D3595" s="37" t="s">
        <v>14</v>
      </c>
      <c r="E3595" s="38">
        <v>2.0</v>
      </c>
      <c r="F3595" s="38">
        <v>71.0</v>
      </c>
      <c r="G3595" s="11">
        <v>96213.0</v>
      </c>
      <c r="H3595" s="34" t="str">
        <f>IFERROR(__xludf.DUMMYFUNCTION("LOWER(REGEXREPLACE(B3595&amp;"" ""&amp;C3595,""[^а-яa-z0-9 ]"","" ""))"),"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ла"&amp;"минированного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"&amp;"фрезеруется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f>
        <v>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v>
      </c>
    </row>
    <row r="3596">
      <c r="A3596" s="35" t="s">
        <v>8645</v>
      </c>
      <c r="B3596" s="31" t="s">
        <v>8646</v>
      </c>
      <c r="C3596" s="31" t="s">
        <v>8647</v>
      </c>
      <c r="D3596" s="37" t="s">
        <v>14</v>
      </c>
      <c r="E3596" s="38">
        <v>2.0</v>
      </c>
      <c r="F3596" s="38">
        <v>59.0</v>
      </c>
      <c r="G3596" s="11">
        <v>80999.0</v>
      </c>
      <c r="H3596" s="34" t="str">
        <f>IFERROR(__xludf.DUMMYFUNCTION("LOWER(REGEXREPLACE(B3596&amp;"" ""&amp;C3596,""[^а-яa-z0-9 ]"","" ""))"),"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мм"&amp;"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боковы"&amp;"х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7">
      <c r="A3597" s="35" t="s">
        <v>8648</v>
      </c>
      <c r="B3597" s="31" t="s">
        <v>8649</v>
      </c>
      <c r="C3597" s="31" t="s">
        <v>8650</v>
      </c>
      <c r="D3597" s="37" t="s">
        <v>14</v>
      </c>
      <c r="E3597" s="38">
        <v>2.0</v>
      </c>
      <c r="F3597" s="38">
        <v>68.0</v>
      </c>
      <c r="G3597" s="11">
        <v>87138.0</v>
      </c>
      <c r="H3597" s="34" t="str">
        <f>IFERROR(__xludf.DUMMYFUNCTION("LOWER(REGEXREPLACE(B3597&amp;"" ""&amp;C3597,""[^а-яa-z0-9 ]"","" ""))"),"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"&amp;"стенка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мини"&amp;"фикс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8">
      <c r="A3598" s="35" t="s">
        <v>8651</v>
      </c>
      <c r="B3598" s="31" t="s">
        <v>8652</v>
      </c>
      <c r="C3598" s="31" t="s">
        <v>8653</v>
      </c>
      <c r="D3598" s="37" t="s">
        <v>14</v>
      </c>
      <c r="E3598" s="38">
        <v>2.0</v>
      </c>
      <c r="F3598" s="38">
        <v>59.0</v>
      </c>
      <c r="G3598" s="11">
        <v>60861.0</v>
      </c>
      <c r="H3598" s="34" t="str">
        <f>IFERROR(__xludf.DUMMYFUNCTION("LOWER(REGEXREPLACE(B3598&amp;"" ""&amp;C3598,""[^а-яa-z0-9 ]"","" ""))"),"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н"&amp;"им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неровносте"&amp;"й пола ")</f>
        <v>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неровностей пола </v>
      </c>
    </row>
    <row r="3599">
      <c r="A3599" s="35" t="s">
        <v>8654</v>
      </c>
      <c r="B3599" s="31" t="s">
        <v>8655</v>
      </c>
      <c r="C3599" s="31" t="s">
        <v>8656</v>
      </c>
      <c r="D3599" s="37" t="s">
        <v>14</v>
      </c>
      <c r="E3599" s="38">
        <v>2.0</v>
      </c>
      <c r="F3599" s="38">
        <v>20.0</v>
      </c>
      <c r="G3599" s="11">
        <v>100954.0</v>
      </c>
      <c r="H3599" s="34" t="str">
        <f>IFERROR(__xludf.DUMMYFUNCTION("LOWER(REGEXREPLACE(B3599&amp;"" ""&amp;C3599,""[^а-яa-z0-9 ]"","" ""))"),"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f>
        <v>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v>
      </c>
    </row>
    <row r="3600">
      <c r="A3600" s="35" t="s">
        <v>8657</v>
      </c>
      <c r="B3600" s="31" t="s">
        <v>8658</v>
      </c>
      <c r="C3600" s="31" t="s">
        <v>8656</v>
      </c>
      <c r="D3600" s="37" t="s">
        <v>14</v>
      </c>
      <c r="E3600" s="38">
        <v>2.0</v>
      </c>
      <c r="F3600" s="38">
        <v>25.0</v>
      </c>
      <c r="G3600" s="11">
        <v>116106.0</v>
      </c>
      <c r="H3600" s="34" t="str">
        <f>IFERROR(__xludf.DUMMYFUNCTION("LOWER(REGEXREPLACE(B3600&amp;"" ""&amp;C3600,""[^а-яa-z0-9 ]"","" ""))"),"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f>
        <v>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v>
      </c>
    </row>
    <row r="3601">
      <c r="A3601" s="35" t="s">
        <v>8659</v>
      </c>
      <c r="B3601" s="31" t="s">
        <v>8660</v>
      </c>
      <c r="C3601" s="31" t="s">
        <v>8661</v>
      </c>
      <c r="D3601" s="37" t="s">
        <v>14</v>
      </c>
      <c r="E3601" s="38">
        <v>2.0</v>
      </c>
      <c r="F3601" s="38">
        <v>32.0</v>
      </c>
      <c r="G3601" s="11">
        <v>121178.0</v>
      </c>
      <c r="H3601" s="34" t="str">
        <f>IFERROR(__xludf.DUMMYFUNCTION("LOWER(REGEXREPLACE(B3601&amp;"" ""&amp;C3601,""[^а-яa-z0-9 ]"","" ""))"),"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2">
      <c r="A3602" s="35" t="s">
        <v>8662</v>
      </c>
      <c r="B3602" s="31" t="s">
        <v>8663</v>
      </c>
      <c r="C3602" s="31" t="s">
        <v>8661</v>
      </c>
      <c r="D3602" s="37" t="s">
        <v>14</v>
      </c>
      <c r="E3602" s="38">
        <v>2.0</v>
      </c>
      <c r="F3602" s="38">
        <v>32.0</v>
      </c>
      <c r="G3602" s="11">
        <v>138831.0</v>
      </c>
      <c r="H3602" s="34" t="str">
        <f>IFERROR(__xludf.DUMMYFUNCTION("LOWER(REGEXREPLACE(B3602&amp;"" ""&amp;C3602,""[^а-яa-z0-9 ]"","" ""))"),"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3">
      <c r="A3603" s="35" t="s">
        <v>8664</v>
      </c>
      <c r="B3603" s="31" t="s">
        <v>8665</v>
      </c>
      <c r="C3603" s="31" t="s">
        <v>8666</v>
      </c>
      <c r="D3603" s="37" t="s">
        <v>14</v>
      </c>
      <c r="E3603" s="38">
        <v>2.0</v>
      </c>
      <c r="F3603" s="38">
        <v>16.0</v>
      </c>
      <c r="G3603" s="11">
        <v>111025.0</v>
      </c>
      <c r="H3603" s="34" t="str">
        <f>IFERROR(__xludf.DUMMYFUNCTION("LOWER(REGEXREPLACE(B3603&amp;"" ""&amp;C3603,""[^а-яa-z0-9 ]"","" ""))")," каф локер  размеры 400х450х1598 мм  4 распашные двери       16 мм  кромка      орпус  толщина 16мм выполнены из       кромка     не менее 1мм в цвет        адняя стенка       распашные двери")</f>
        <v> каф локер  размеры 400х450х1598 мм  4 распашные двери       16 мм  кромка      орпус  толщина 16мм выполнены из       кромка     не менее 1мм в цвет        адняя стенка       распашные двери</v>
      </c>
    </row>
    <row r="3604">
      <c r="A3604" s="35" t="s">
        <v>8667</v>
      </c>
      <c r="B3604" s="31" t="s">
        <v>8668</v>
      </c>
      <c r="C3604" s="31"/>
      <c r="D3604" s="37" t="s">
        <v>14</v>
      </c>
      <c r="E3604" s="10"/>
      <c r="F3604" s="36"/>
      <c r="G3604" s="11"/>
      <c r="H3604" s="34" t="str">
        <f>IFERROR(__xludf.DUMMYFUNCTION("LOWER(REGEXREPLACE(B3604&amp;"" ""&amp;C3604,""[^а-яa-z0-9 ]"","" ""))")," каф закрытый ")</f>
        <v> каф закрытый </v>
      </c>
    </row>
    <row r="3605">
      <c r="A3605" s="35" t="s">
        <v>8669</v>
      </c>
      <c r="B3605" s="9" t="s">
        <v>8670</v>
      </c>
      <c r="C3605" s="31"/>
      <c r="D3605" s="37" t="s">
        <v>14</v>
      </c>
      <c r="E3605" s="10"/>
      <c r="F3605" s="38">
        <v>37.0</v>
      </c>
      <c r="G3605" s="11">
        <v>82857.0</v>
      </c>
      <c r="H3605" s="34" t="str">
        <f>IFERROR(__xludf.DUMMYFUNCTION("LOWER(REGEXREPLACE(B3605&amp;"" ""&amp;C3605,""[^а-яa-z0-9 ]"","" ""))")," каф закрытый 800х420х1930 мм       16мм   олки закрытые ")</f>
        <v> каф закрытый 800х420х1930 мм       16мм   олки закрытые </v>
      </c>
    </row>
    <row r="3606">
      <c r="A3606" s="35" t="s">
        <v>8671</v>
      </c>
      <c r="B3606" s="9" t="s">
        <v>8672</v>
      </c>
      <c r="C3606" s="31"/>
      <c r="D3606" s="37" t="s">
        <v>14</v>
      </c>
      <c r="E3606" s="10"/>
      <c r="F3606" s="36"/>
      <c r="G3606" s="11">
        <v>81123.0</v>
      </c>
      <c r="H3606" s="34" t="str">
        <f>IFERROR(__xludf.DUMMYFUNCTION("LOWER(REGEXREPLACE(B3606&amp;"" ""&amp;C3606,""[^а-яa-z0-9 ]"","" ""))")," каф закрытый 800х400х1802 мм       16мм   олки закрытые ")</f>
        <v> каф закрытый 800х400х1802 мм       16мм   олки закрытые </v>
      </c>
    </row>
    <row r="3607">
      <c r="A3607" s="35" t="s">
        <v>8673</v>
      </c>
      <c r="B3607" s="9" t="s">
        <v>8674</v>
      </c>
      <c r="C3607" s="31"/>
      <c r="D3607" s="37" t="s">
        <v>14</v>
      </c>
      <c r="E3607" s="10"/>
      <c r="F3607" s="36"/>
      <c r="G3607" s="11">
        <v>67483.0</v>
      </c>
      <c r="H3607" s="34" t="str">
        <f>IFERROR(__xludf.DUMMYFUNCTION("LOWER(REGEXREPLACE(B3607&amp;"" ""&amp;C3607,""[^а-яa-z0-9 ]"","" ""))")," каф закрытый 800х400х1452 мм       16мм   олки закрытые ")</f>
        <v> каф закрытый 800х400х1452 мм       16мм   олки закрытые </v>
      </c>
    </row>
    <row r="3608">
      <c r="A3608" s="35" t="s">
        <v>8675</v>
      </c>
      <c r="B3608" s="9" t="s">
        <v>8676</v>
      </c>
      <c r="C3608" s="31" t="s">
        <v>8677</v>
      </c>
      <c r="D3608" s="37" t="s">
        <v>14</v>
      </c>
      <c r="E3608" s="10"/>
      <c r="F3608" s="36"/>
      <c r="G3608" s="11">
        <v>43215.0</v>
      </c>
      <c r="H3608" s="34" t="str">
        <f>IFERROR(__xludf.DUMMYFUNCTION("LOWER(REGEXREPLACE(B3608&amp;"" ""&amp;C3608,""[^а-яa-z0-9 ]"","" ""))")," каф закрытый 800х400х750мм       16мм   олки закрытые  каф закрытый 800х400х750мм       16мм   олки закрытые")</f>
        <v> каф закрытый 800х400х750мм       16мм   олки закрытые  каф закрытый 800х400х750мм       16мм   олки закрытые</v>
      </c>
    </row>
    <row r="3609">
      <c r="A3609" s="35" t="s">
        <v>8678</v>
      </c>
      <c r="B3609" s="9" t="s">
        <v>8679</v>
      </c>
      <c r="C3609" s="31" t="s">
        <v>8680</v>
      </c>
      <c r="D3609" s="37" t="s">
        <v>14</v>
      </c>
      <c r="E3609" s="38">
        <v>2.0</v>
      </c>
      <c r="F3609" s="38">
        <v>90.0</v>
      </c>
      <c r="G3609" s="11">
        <v>107005.0</v>
      </c>
      <c r="H3609" s="34" t="str">
        <f>IFERROR(__xludf.DUMMYFUNCTION("LOWER(REGEXREPLACE(B3609&amp;"" ""&amp;C3609,""[^а-яa-z0-9 ]"","" ""))"),"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по"&amp;"лкодержатель металлический  без пластиковых элементов   ручка 128 мм  без острых углов   навес мебельный       ножка мебельная ")</f>
        <v>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полкодержатель металлический  без пластиковых элементов   ручка 128 мм  без острых углов   навес мебельный       ножка мебельная </v>
      </c>
    </row>
    <row r="3610">
      <c r="A3610" s="35" t="s">
        <v>8681</v>
      </c>
      <c r="B3610" s="9" t="s">
        <v>8682</v>
      </c>
      <c r="C3610" s="31" t="s">
        <v>8683</v>
      </c>
      <c r="D3610" s="37" t="s">
        <v>14</v>
      </c>
      <c r="E3610" s="38">
        <v>2.0</v>
      </c>
      <c r="F3610" s="38">
        <v>64.0</v>
      </c>
      <c r="G3610" s="11">
        <v>58627.0</v>
      </c>
      <c r="H3610" s="34" t="str">
        <f>IFERROR(__xludf.DUMMYFUNCTION("LOWER(REGEXREPLACE(B3610&amp;"" ""&amp;C3610,""[^а-яa-z0-9 ]"","" ""))"),"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др"&amp;"угих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"&amp;"шкафа фрезеруется канал  в которую монтируется задняя стенка   ля предотвращения воздействия воды и влаги на шкаф предусмотрены 4 ножки высотой 5 см")</f>
        <v>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611">
      <c r="A3611" s="35" t="s">
        <v>8684</v>
      </c>
      <c r="B3611" s="9" t="s">
        <v>8685</v>
      </c>
      <c r="C3611" s="31" t="s">
        <v>8686</v>
      </c>
      <c r="D3611" s="37" t="s">
        <v>14</v>
      </c>
      <c r="E3611" s="38">
        <v>2.0</v>
      </c>
      <c r="F3611" s="38">
        <v>13.0</v>
      </c>
      <c r="G3611" s="11">
        <v>24015.0</v>
      </c>
      <c r="H3611" s="34" t="str">
        <f>IFERROR(__xludf.DUMMYFUNCTION("LOWER(REGEXREPLACE(B3611&amp;"" ""&amp;C3611,""[^а-яa-z0-9 ]"","" ""))"),"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f>
        <v>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v>
      </c>
    </row>
    <row r="3612">
      <c r="A3612" s="35" t="s">
        <v>8687</v>
      </c>
      <c r="B3612" s="9" t="s">
        <v>8688</v>
      </c>
      <c r="C3612" s="31" t="s">
        <v>8689</v>
      </c>
      <c r="D3612" s="37" t="s">
        <v>14</v>
      </c>
      <c r="E3612" s="38">
        <v>2.0</v>
      </c>
      <c r="F3612" s="38">
        <v>26.0</v>
      </c>
      <c r="G3612" s="11">
        <v>41716.0</v>
      </c>
      <c r="H3612" s="34" t="str">
        <f>IFERROR(__xludf.DUMMYFUNCTION("LOWER(REGEXREPLACE(B3612&amp;"" ""&amp;C3612,""[^а-яa-z0-9 ]"","" ""))"),"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каждо"&amp;"й стороны")</f>
        <v>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каждой стороны</v>
      </c>
    </row>
    <row r="3613">
      <c r="A3613" s="35" t="s">
        <v>8690</v>
      </c>
      <c r="B3613" s="31" t="s">
        <v>8691</v>
      </c>
      <c r="C3613" s="31" t="s">
        <v>8692</v>
      </c>
      <c r="D3613" s="37" t="s">
        <v>14</v>
      </c>
      <c r="E3613" s="38">
        <v>2.0</v>
      </c>
      <c r="F3613" s="38">
        <v>27.0</v>
      </c>
      <c r="G3613" s="11">
        <v>74504.0</v>
      </c>
      <c r="H3613" s="34" t="str">
        <f>IFERROR(__xludf.DUMMYFUNCTION("LOWER(REGEXREPLACE(B3613&amp;"" ""&amp;C3613,""[^а-яa-z0-9 ]"","" ""))"),"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f>
        <v>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4">
      <c r="A3614" s="35" t="s">
        <v>8693</v>
      </c>
      <c r="B3614" s="31" t="s">
        <v>8694</v>
      </c>
      <c r="C3614" s="31" t="s">
        <v>8695</v>
      </c>
      <c r="D3614" s="37" t="s">
        <v>14</v>
      </c>
      <c r="E3614" s="38">
        <v>2.0</v>
      </c>
      <c r="F3614" s="38">
        <v>26.0</v>
      </c>
      <c r="G3614" s="11">
        <v>59369.0</v>
      </c>
      <c r="H3614" s="34" t="str">
        <f>IFERROR(__xludf.DUMMYFUNCTION("LOWER(REGEXREPLACE(B3614&amp;"" ""&amp;C3614,""[^а-яa-z0-9 ]"","" ""))"),"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f>
        <v>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v>
      </c>
    </row>
    <row r="3615">
      <c r="A3615" s="35" t="s">
        <v>8696</v>
      </c>
      <c r="B3615" s="31" t="s">
        <v>8697</v>
      </c>
      <c r="C3615" s="31" t="s">
        <v>8698</v>
      </c>
      <c r="D3615" s="37" t="s">
        <v>14</v>
      </c>
      <c r="E3615" s="38">
        <v>2.0</v>
      </c>
      <c r="F3615" s="38">
        <v>32.0</v>
      </c>
      <c r="G3615" s="11">
        <v>49306.0</v>
      </c>
      <c r="H3615" s="34" t="str">
        <f>IFERROR(__xludf.DUMMYFUNCTION("LOWER(REGEXREPLACE(B3615&amp;"" ""&amp;C3615,""[^а-яa-z0-9 ]"","" ""))"),"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16">
      <c r="A3616" s="35" t="s">
        <v>8699</v>
      </c>
      <c r="B3616" s="31" t="s">
        <v>8700</v>
      </c>
      <c r="C3616" s="31" t="s">
        <v>8701</v>
      </c>
      <c r="D3616" s="37" t="s">
        <v>14</v>
      </c>
      <c r="E3616" s="38">
        <v>2.0</v>
      </c>
      <c r="F3616" s="38">
        <v>34.0</v>
      </c>
      <c r="G3616" s="11">
        <v>68228.0</v>
      </c>
      <c r="H3616" s="34" t="str">
        <f>IFERROR(__xludf.DUMMYFUNCTION("LOWER(REGEXREPLACE(B3616&amp;"" ""&amp;C3616,""[^а-яa-z0-9 ]"","" ""))"),"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ра"&amp;"спашные двери с двух сторон и два выдвижных ящика по центру")</f>
        <v>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распашные двери с двух сторон и два выдвижных ящика по центру</v>
      </c>
    </row>
    <row r="3617">
      <c r="A3617" s="35" t="s">
        <v>8702</v>
      </c>
      <c r="B3617" s="31" t="s">
        <v>8703</v>
      </c>
      <c r="C3617" s="31" t="s">
        <v>8704</v>
      </c>
      <c r="D3617" s="37" t="s">
        <v>14</v>
      </c>
      <c r="E3617" s="38">
        <v>2.0</v>
      </c>
      <c r="F3617" s="38">
        <v>36.0</v>
      </c>
      <c r="G3617" s="11">
        <v>106063.0</v>
      </c>
      <c r="H3617" s="34" t="str">
        <f>IFERROR(__xludf.DUMMYFUNCTION("LOWER(REGEXREPLACE(B3617&amp;"" ""&amp;C3617,""[^а-яa-z0-9 ]"","" ""))"),"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f>
        <v>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v>
      </c>
    </row>
    <row r="3618">
      <c r="A3618" s="35" t="s">
        <v>8705</v>
      </c>
      <c r="B3618" s="31" t="s">
        <v>8706</v>
      </c>
      <c r="C3618" s="31" t="s">
        <v>8692</v>
      </c>
      <c r="D3618" s="37" t="s">
        <v>14</v>
      </c>
      <c r="E3618" s="38">
        <v>2.0</v>
      </c>
      <c r="F3618" s="38">
        <v>26.0</v>
      </c>
      <c r="G3618" s="11">
        <v>97448.0</v>
      </c>
      <c r="H3618" s="34" t="str">
        <f>IFERROR(__xludf.DUMMYFUNCTION("LOWER(REGEXREPLACE(B3618&amp;"" ""&amp;C3618,""[^а-яa-z0-9 ]"","" ""))"),"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f>
        <v>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9">
      <c r="A3619" s="35" t="s">
        <v>8707</v>
      </c>
      <c r="B3619" s="31" t="s">
        <v>8708</v>
      </c>
      <c r="C3619" s="31" t="s">
        <v>8709</v>
      </c>
      <c r="D3619" s="37" t="s">
        <v>14</v>
      </c>
      <c r="E3619" s="38">
        <v>2.0</v>
      </c>
      <c r="F3619" s="38">
        <v>52.0</v>
      </c>
      <c r="G3619" s="11">
        <v>143956.0</v>
      </c>
      <c r="H3619" s="34" t="str">
        <f>IFERROR(__xludf.DUMMYFUNCTION("LOWER(REGEXREPLACE(B3619&amp;"" ""&amp;C3619,""[^а-яa-z0-9 ]"","" ""))"),"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f>
        <v>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v>
      </c>
    </row>
    <row r="3620">
      <c r="A3620" s="35" t="s">
        <v>8710</v>
      </c>
      <c r="B3620" s="31" t="s">
        <v>8711</v>
      </c>
      <c r="C3620" s="31" t="s">
        <v>8712</v>
      </c>
      <c r="D3620" s="37" t="s">
        <v>14</v>
      </c>
      <c r="E3620" s="38">
        <v>2.0</v>
      </c>
      <c r="F3620" s="38">
        <v>75.0</v>
      </c>
      <c r="G3620" s="11">
        <v>157667.0</v>
      </c>
      <c r="H3620" s="34" t="str">
        <f>IFERROR(__xludf.DUMMYFUNCTION("LOWER(REGEXREPLACE(B3620&amp;"" ""&amp;C3620,""[^а-яa-z0-9 ]"","" ""))"),"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раз"&amp;"делен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расп"&amp;"ашной двери")</f>
        <v>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распашной двери</v>
      </c>
    </row>
    <row r="3621">
      <c r="A3621" s="35" t="s">
        <v>8713</v>
      </c>
      <c r="B3621" s="31" t="s">
        <v>8714</v>
      </c>
      <c r="C3621" s="31" t="s">
        <v>8698</v>
      </c>
      <c r="D3621" s="37" t="s">
        <v>14</v>
      </c>
      <c r="E3621" s="38">
        <v>2.0</v>
      </c>
      <c r="F3621" s="38">
        <v>18.0</v>
      </c>
      <c r="G3621" s="11">
        <v>58075.0</v>
      </c>
      <c r="H3621" s="34" t="str">
        <f>IFERROR(__xludf.DUMMYFUNCTION("LOWER(REGEXREPLACE(B3621&amp;"" ""&amp;C3621,""[^а-яa-z0-9 ]"","" ""))"),"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22">
      <c r="A3622" s="35" t="s">
        <v>8715</v>
      </c>
      <c r="B3622" s="31" t="s">
        <v>8716</v>
      </c>
      <c r="C3622" s="31" t="s">
        <v>8717</v>
      </c>
      <c r="D3622" s="37" t="s">
        <v>14</v>
      </c>
      <c r="E3622" s="38">
        <v>2.0</v>
      </c>
      <c r="F3622" s="38">
        <v>35.0</v>
      </c>
      <c r="G3622" s="11">
        <v>144895.0</v>
      </c>
      <c r="H3622" s="34" t="str">
        <f>IFERROR(__xludf.DUMMYFUNCTION("LOWER(REGEXREPLACE(B3622&amp;"" ""&amp;C3622,""[^а-яa-z0-9 ]"","" ""))"),"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f>
        <v>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v>
      </c>
    </row>
    <row r="3623">
      <c r="A3623" s="35" t="s">
        <v>8718</v>
      </c>
      <c r="B3623" s="31" t="s">
        <v>8719</v>
      </c>
      <c r="C3623" s="31" t="s">
        <v>8720</v>
      </c>
      <c r="D3623" s="37" t="s">
        <v>14</v>
      </c>
      <c r="E3623" s="38">
        <v>2.0</v>
      </c>
      <c r="F3623" s="38">
        <v>52.0</v>
      </c>
      <c r="G3623" s="11">
        <v>150764.0</v>
      </c>
      <c r="H3623" s="34" t="str">
        <f>IFERROR(__xludf.DUMMYFUNCTION("LOWER(REGEXREPLACE(B3623&amp;"" ""&amp;C3623,""[^а-яa-z0-9 ]"","" ""))"),"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f>
        <v>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v>
      </c>
    </row>
    <row r="3624">
      <c r="A3624" s="35" t="s">
        <v>8721</v>
      </c>
      <c r="B3624" s="31" t="s">
        <v>8722</v>
      </c>
      <c r="C3624" s="31" t="s">
        <v>8723</v>
      </c>
      <c r="D3624" s="37" t="s">
        <v>14</v>
      </c>
      <c r="E3624" s="38">
        <v>2.0</v>
      </c>
      <c r="F3624" s="38">
        <v>18.0</v>
      </c>
      <c r="G3624" s="11">
        <v>60345.0</v>
      </c>
      <c r="H3624" s="34" t="str">
        <f>IFERROR(__xludf.DUMMYFUNCTION("LOWER(REGEXREPLACE(B3624&amp;"" ""&amp;C3624,""[^а-яa-z0-9 ]"","" ""))"),"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п"&amp;"олки      16мм")</f>
        <v>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полки      16мм</v>
      </c>
    </row>
    <row r="3625">
      <c r="A3625" s="35" t="s">
        <v>8724</v>
      </c>
      <c r="B3625" s="31" t="s">
        <v>8725</v>
      </c>
      <c r="C3625" s="31" t="s">
        <v>8726</v>
      </c>
      <c r="D3625" s="37" t="s">
        <v>14</v>
      </c>
      <c r="E3625" s="38">
        <v>2.0</v>
      </c>
      <c r="F3625" s="38">
        <v>35.0</v>
      </c>
      <c r="G3625" s="11">
        <v>83363.0</v>
      </c>
      <c r="H3625" s="34" t="str">
        <f>IFERROR(__xludf.DUMMYFUNCTION("LOWER(REGEXREPLACE(B3625&amp;"" ""&amp;C3625,""[^а-яa-z0-9 ]"","" ""))"),"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f>
        <v>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v>
      </c>
    </row>
    <row r="3626">
      <c r="A3626" s="35" t="s">
        <v>8727</v>
      </c>
      <c r="B3626" s="31" t="s">
        <v>8728</v>
      </c>
      <c r="C3626" s="31" t="s">
        <v>8726</v>
      </c>
      <c r="D3626" s="37" t="s">
        <v>14</v>
      </c>
      <c r="E3626" s="38">
        <v>2.0</v>
      </c>
      <c r="F3626" s="38">
        <v>35.0</v>
      </c>
      <c r="G3626" s="11">
        <v>88154.0</v>
      </c>
      <c r="H3626" s="34" t="str">
        <f>IFERROR(__xludf.DUMMYFUNCTION("LOWER(REGEXREPLACE(B3626&amp;"" ""&amp;C3626,""[^а-яa-z0-9 ]"","" ""))"),"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f>
        <v>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v>
      </c>
    </row>
    <row r="3627">
      <c r="A3627" s="35" t="s">
        <v>8729</v>
      </c>
      <c r="B3627" s="31" t="s">
        <v>8730</v>
      </c>
      <c r="C3627" s="31" t="s">
        <v>8731</v>
      </c>
      <c r="D3627" s="37" t="s">
        <v>14</v>
      </c>
      <c r="E3627" s="38">
        <v>2.0</v>
      </c>
      <c r="F3627" s="38">
        <v>32.0</v>
      </c>
      <c r="G3627" s="11">
        <v>110838.0</v>
      </c>
      <c r="H3627" s="34" t="str">
        <f>IFERROR(__xludf.DUMMYFUNCTION("LOWER(REGEXREPLACE(B3627&amp;"" ""&amp;C3627,""[^а-яa-z0-9 ]"","" ""))"),"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f>
        <v>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v>
      </c>
    </row>
    <row r="3628">
      <c r="A3628" s="35" t="s">
        <v>8732</v>
      </c>
      <c r="B3628" s="31" t="s">
        <v>8733</v>
      </c>
      <c r="C3628" s="31" t="s">
        <v>8734</v>
      </c>
      <c r="D3628" s="37" t="s">
        <v>14</v>
      </c>
      <c r="E3628" s="38">
        <v>2.0</v>
      </c>
      <c r="F3628" s="38">
        <v>54.0</v>
      </c>
      <c r="G3628" s="11">
        <v>139172.0</v>
      </c>
      <c r="H3628" s="34" t="str">
        <f>IFERROR(__xludf.DUMMYFUNCTION("LOWER(REGEXREPLACE(B3628&amp;"" ""&amp;C3628,""[^а-яa-z0-9 ]"","" ""))"),"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f>
        <v>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v>
      </c>
    </row>
    <row r="3629">
      <c r="A3629" s="35" t="s">
        <v>8735</v>
      </c>
      <c r="B3629" s="31" t="s">
        <v>8736</v>
      </c>
      <c r="C3629" s="31" t="s">
        <v>8737</v>
      </c>
      <c r="D3629" s="37" t="s">
        <v>14</v>
      </c>
      <c r="E3629" s="38">
        <v>2.0</v>
      </c>
      <c r="F3629" s="38">
        <v>35.0</v>
      </c>
      <c r="G3629" s="11">
        <v>70123.0</v>
      </c>
      <c r="H3629" s="34" t="str">
        <f>IFERROR(__xludf.DUMMYFUNCTION("LOWER(REGEXREPLACE(B3629&amp;"" ""&amp;C3629,""[^а-яa-z0-9 ]"","" ""))"),"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f>
        <v>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v>
      </c>
    </row>
    <row r="3630">
      <c r="A3630" s="35" t="s">
        <v>8738</v>
      </c>
      <c r="B3630" s="31" t="s">
        <v>8739</v>
      </c>
      <c r="C3630" s="31" t="s">
        <v>8740</v>
      </c>
      <c r="D3630" s="37" t="s">
        <v>14</v>
      </c>
      <c r="E3630" s="38">
        <v>2.0</v>
      </c>
      <c r="F3630" s="38">
        <v>37.0</v>
      </c>
      <c r="G3630" s="11">
        <v>109850.0</v>
      </c>
      <c r="H3630" s="34" t="str">
        <f>IFERROR(__xludf.DUMMYFUNCTION("LOWER(REGEXREPLACE(B3630&amp;"" ""&amp;C3630,""[^а-яa-z0-9 ]"","" ""))"),"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f>
        <v>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v>
      </c>
    </row>
    <row r="3631">
      <c r="A3631" s="35" t="s">
        <v>8741</v>
      </c>
      <c r="B3631" s="31" t="s">
        <v>8742</v>
      </c>
      <c r="C3631" s="31" t="s">
        <v>8726</v>
      </c>
      <c r="D3631" s="37" t="s">
        <v>14</v>
      </c>
      <c r="E3631" s="38">
        <v>2.0</v>
      </c>
      <c r="F3631" s="38">
        <v>38.0</v>
      </c>
      <c r="G3631" s="11">
        <v>113385.0</v>
      </c>
      <c r="H3631" s="34" t="str">
        <f>IFERROR(__xludf.DUMMYFUNCTION("LOWER(REGEXREPLACE(B3631&amp;"" ""&amp;C3631,""[^а-яa-z0-9 ]"","" ""))"),"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f>
        <v>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v>
      </c>
    </row>
    <row r="3632">
      <c r="A3632" s="35" t="s">
        <v>8743</v>
      </c>
      <c r="B3632" s="31" t="s">
        <v>8744</v>
      </c>
      <c r="C3632" s="31" t="s">
        <v>8745</v>
      </c>
      <c r="D3632" s="37" t="s">
        <v>14</v>
      </c>
      <c r="E3632" s="38">
        <v>2.0</v>
      </c>
      <c r="F3632" s="39">
        <v>56.4</v>
      </c>
      <c r="G3632" s="11">
        <v>61317.0</v>
      </c>
      <c r="H3632" s="34" t="str">
        <f>IFERROR(__xludf.DUMMYFUNCTION("LOWER(REGEXREPLACE(B3632&amp;"" ""&amp;C3632,""[^а-яa-z0-9 ]"","" ""))"),"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f>
        <v>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v>
      </c>
    </row>
    <row r="3633">
      <c r="A3633" s="35" t="s">
        <v>8746</v>
      </c>
      <c r="B3633" s="31" t="s">
        <v>8747</v>
      </c>
      <c r="C3633" s="31" t="s">
        <v>8748</v>
      </c>
      <c r="D3633" s="37" t="s">
        <v>14</v>
      </c>
      <c r="E3633" s="38">
        <v>2.0</v>
      </c>
      <c r="F3633" s="38">
        <v>60.0</v>
      </c>
      <c r="G3633" s="11">
        <v>63183.0</v>
      </c>
      <c r="H3633" s="34" t="str">
        <f>IFERROR(__xludf.DUMMYFUNCTION("LOWER(REGEXREPLACE(B3633&amp;"" ""&amp;C3633,""[^а-яa-z0-9 ]"","" ""))"),"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"&amp;"двери  4 полки  ")</f>
        <v>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двери  4 полки  </v>
      </c>
    </row>
    <row r="3634">
      <c r="A3634" s="35" t="s">
        <v>8749</v>
      </c>
      <c r="B3634" s="31" t="s">
        <v>8750</v>
      </c>
      <c r="C3634" s="31" t="s">
        <v>8751</v>
      </c>
      <c r="D3634" s="37" t="s">
        <v>14</v>
      </c>
      <c r="E3634" s="38">
        <v>2.0</v>
      </c>
      <c r="F3634" s="38">
        <v>71.0</v>
      </c>
      <c r="G3634" s="11">
        <v>106946.0</v>
      </c>
      <c r="H3634" s="34" t="str">
        <f>IFERROR(__xludf.DUMMYFUNCTION("LOWER(REGEXREPLACE(B3634&amp;"" ""&amp;C3634,""[^а-яa-z0-9 ]"","" ""))"),"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"&amp;"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электрос"&amp;"титистическим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задня"&amp;"я стенка   ижняя часть ящиков соединяется таким же способом канала  ля предотвращения воздействия воды и влаги на шкаф предусмотрены 4 ножки высотой 5 см")</f>
        <v>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ижняя часть ящиков соединяется таким же способом канала  ля предотвращения воздействия воды и влаги на шкаф предусмотрены 4 ножки высотой 5 см</v>
      </c>
    </row>
    <row r="3635">
      <c r="A3635" s="35" t="s">
        <v>8752</v>
      </c>
      <c r="B3635" s="31" t="s">
        <v>8753</v>
      </c>
      <c r="C3635" s="31" t="s">
        <v>8754</v>
      </c>
      <c r="D3635" s="37" t="s">
        <v>14</v>
      </c>
      <c r="E3635" s="38">
        <v>2.0</v>
      </c>
      <c r="F3635" s="38">
        <v>71.0</v>
      </c>
      <c r="G3635" s="11">
        <v>284713.0</v>
      </c>
      <c r="H3635" s="34" t="str">
        <f>IFERROR(__xludf.DUMMYFUNCTION("LOWER(REGEXREPLACE(B3635&amp;"" ""&amp;C3635,""[^а-яa-z0-9 ]"","" ""))"),"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адн"&amp;"яя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к"&amp;"анал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f>
        <v>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v>
      </c>
    </row>
    <row r="3636">
      <c r="A3636" s="35" t="s">
        <v>8755</v>
      </c>
      <c r="B3636" s="31" t="s">
        <v>8756</v>
      </c>
      <c r="C3636" s="31" t="s">
        <v>8757</v>
      </c>
      <c r="D3636" s="37" t="s">
        <v>14</v>
      </c>
      <c r="E3636" s="38">
        <v>2.0</v>
      </c>
      <c r="F3636" s="38">
        <v>50.0</v>
      </c>
      <c r="G3636" s="11">
        <v>69484.0</v>
      </c>
      <c r="H3636" s="34" t="str">
        <f>IFERROR(__xludf.DUMMYFUNCTION("LOWER(REGEXREPLACE(B3636&amp;"" ""&amp;C3636,""[^а-яa-z0-9 ]"","" ""))"),"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глубин"&amp;"а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листово"&amp;"й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крепитьс"&amp;"я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"&amp;"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фасадн"&amp;"ая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ре"&amp;"гулироваться по высоте для компенсации неровностей пола ")</f>
        <v>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регулироваться по высоте для компенсации неровностей пола </v>
      </c>
    </row>
    <row r="3637">
      <c r="A3637" s="35" t="s">
        <v>8758</v>
      </c>
      <c r="B3637" s="31" t="s">
        <v>8759</v>
      </c>
      <c r="C3637" s="31"/>
      <c r="D3637" s="37" t="s">
        <v>14</v>
      </c>
      <c r="E3637" s="10"/>
      <c r="F3637" s="36"/>
      <c r="G3637" s="11"/>
      <c r="H3637" s="34" t="str">
        <f>IFERROR(__xludf.DUMMYFUNCTION("LOWER(REGEXREPLACE(B3637&amp;"" ""&amp;C3637,""[^а-яa-z0-9 ]"","" ""))")," каф закрытый полуостекленный ")</f>
        <v> каф закрытый полуостекленный </v>
      </c>
    </row>
    <row r="3638">
      <c r="A3638" s="35" t="s">
        <v>8760</v>
      </c>
      <c r="B3638" s="31" t="s">
        <v>8761</v>
      </c>
      <c r="C3638" s="31" t="s">
        <v>8762</v>
      </c>
      <c r="D3638" s="37" t="s">
        <v>14</v>
      </c>
      <c r="E3638" s="10"/>
      <c r="F3638" s="36"/>
      <c r="G3638" s="11">
        <v>86331.0</v>
      </c>
      <c r="H3638" s="34" t="str">
        <f>IFERROR(__xludf.DUMMYFUNCTION("LOWER(REGEXREPLACE(B3638&amp;"" ""&amp;C3638,""[^а-яa-z0-9 ]"","" ""))")," каф закрытый полуостекленный 800х400х1800 мм  каф закрытый полуостекленный 800х400х1800 мм   орпус      16мм   асады верх   стекло  прозрачное  в рамке        олки        16мм")</f>
        <v> каф закрытый полуостекленный 800х400х1800 мм  каф закрытый полуостекленный 800х400х1800 мм   орпус      16мм   асады верх   стекло  прозрачное  в рамке        олки        16мм</v>
      </c>
    </row>
    <row r="3639">
      <c r="A3639" s="35" t="s">
        <v>8763</v>
      </c>
      <c r="B3639" s="31" t="s">
        <v>8764</v>
      </c>
      <c r="C3639" s="31" t="s">
        <v>8765</v>
      </c>
      <c r="D3639" s="37" t="s">
        <v>14</v>
      </c>
      <c r="E3639" s="10"/>
      <c r="F3639" s="36"/>
      <c r="G3639" s="11">
        <v>77339.0</v>
      </c>
      <c r="H3639" s="34" t="str">
        <f>IFERROR(__xludf.DUMMYFUNCTION("LOWER(REGEXREPLACE(B3639&amp;"" ""&amp;C3639,""[^а-яa-z0-9 ]"","" ""))")," каф закрытый полуостекленный 800х400х1450 мм  каф закрытый полуостекленный 800х400х1450 мм   орпус      16мм   асады верх   стекло  прозрачное  в рамке        олки        16мм")</f>
        <v> каф закрытый полуостекленный 800х400х1450 мм  каф закрытый полуостекленный 800х400х1450 мм   орпус      16мм   асады верх   стекло  прозрачное  в рамке        олки        16мм</v>
      </c>
    </row>
    <row r="3640">
      <c r="A3640" s="35" t="s">
        <v>8766</v>
      </c>
      <c r="B3640" s="31" t="s">
        <v>8767</v>
      </c>
      <c r="C3640" s="31" t="s">
        <v>8768</v>
      </c>
      <c r="D3640" s="37" t="s">
        <v>14</v>
      </c>
      <c r="E3640" s="38">
        <v>2.0</v>
      </c>
      <c r="F3640" s="38">
        <v>55.0</v>
      </c>
      <c r="G3640" s="11">
        <v>55537.0</v>
      </c>
      <c r="H3640" s="34" t="str">
        <f>IFERROR(__xludf.DUMMYFUNCTION("LOWER(REGEXREPLACE(B3640&amp;"" ""&amp;C3640,""[^а-яa-z0-9 ]"","" ""))"),"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f>
        <v>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v>
      </c>
    </row>
    <row r="3641">
      <c r="A3641" s="35" t="s">
        <v>8769</v>
      </c>
      <c r="B3641" s="9" t="s">
        <v>8770</v>
      </c>
      <c r="C3641" s="31" t="s">
        <v>8771</v>
      </c>
      <c r="D3641" s="37" t="s">
        <v>14</v>
      </c>
      <c r="E3641" s="38">
        <v>2.0</v>
      </c>
      <c r="F3641" s="38">
        <v>45.0</v>
      </c>
      <c r="G3641" s="11">
        <v>70319.0</v>
      </c>
      <c r="H3641" s="34" t="str">
        <f>IFERROR(__xludf.DUMMYFUNCTION("LOWER(REGEXREPLACE(B3641&amp;"" ""&amp;C3641,""[^а-яa-z0-9 ]"","" ""))"),"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f>
        <v>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v>
      </c>
    </row>
    <row r="3642">
      <c r="A3642" s="35" t="s">
        <v>8772</v>
      </c>
      <c r="B3642" s="9" t="s">
        <v>8773</v>
      </c>
      <c r="C3642" s="31" t="s">
        <v>8774</v>
      </c>
      <c r="D3642" s="37" t="s">
        <v>14</v>
      </c>
      <c r="E3642" s="38">
        <v>2.0</v>
      </c>
      <c r="F3642" s="38">
        <v>40.0</v>
      </c>
      <c r="G3642" s="11">
        <v>85588.0</v>
      </c>
      <c r="H3642" s="34" t="str">
        <f>IFERROR(__xludf.DUMMYFUNCTION("LOWER(REGEXREPLACE(B3642&amp;"" ""&amp;C3642,""[^а-яa-z0-9 ]"","" ""))"),"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на"&amp;"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f>
        <v>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v>
      </c>
    </row>
    <row r="3643">
      <c r="A3643" s="35" t="s">
        <v>8775</v>
      </c>
      <c r="B3643" s="31" t="s">
        <v>8776</v>
      </c>
      <c r="C3643" s="31" t="s">
        <v>8777</v>
      </c>
      <c r="D3643" s="37" t="s">
        <v>14</v>
      </c>
      <c r="E3643" s="38">
        <v>2.0</v>
      </c>
      <c r="F3643" s="38">
        <v>64.0</v>
      </c>
      <c r="G3643" s="11">
        <v>118079.0</v>
      </c>
      <c r="H3643" s="34" t="str">
        <f>IFERROR(__xludf.DUMMYFUNCTION("LOWER(REGEXREPLACE(B3643&amp;"" ""&amp;C3643,""[^а-яa-z0-9 ]"","" ""))"),"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фа"&amp;"садом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"&amp;"ручке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ст"&amp;"енка   ля предотвращения воздействия воды и влаги предусмотрены 4 ножки высотой 5 см ")</f>
        <v>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44">
      <c r="A3644" s="35" t="s">
        <v>8778</v>
      </c>
      <c r="B3644" s="31" t="s">
        <v>8779</v>
      </c>
      <c r="C3644" s="31" t="s">
        <v>8780</v>
      </c>
      <c r="D3644" s="37" t="s">
        <v>14</v>
      </c>
      <c r="E3644" s="38">
        <v>2.0</v>
      </c>
      <c r="F3644" s="38">
        <v>53.0</v>
      </c>
      <c r="G3644" s="11">
        <v>65166.0</v>
      </c>
      <c r="H3644" s="34" t="str">
        <f>IFERROR(__xludf.DUMMYFUNCTION("LOWER(REGEXREPLACE(B3644&amp;"" ""&amp;C3644,""[^а-яa-z0-9 ]"","" ""))"),"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части"&amp;"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конф"&amp;"ирматов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f>
        <v>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45">
      <c r="A3645" s="35" t="s">
        <v>8781</v>
      </c>
      <c r="B3645" s="31" t="s">
        <v>8782</v>
      </c>
      <c r="C3645" s="31"/>
      <c r="D3645" s="37" t="s">
        <v>14</v>
      </c>
      <c r="E3645" s="10"/>
      <c r="F3645" s="36"/>
      <c r="G3645" s="11"/>
      <c r="H3645" s="34" t="str">
        <f>IFERROR(__xludf.DUMMYFUNCTION("LOWER(REGEXREPLACE(B3645&amp;"" ""&amp;C3645,""[^а-яa-z0-9 ]"","" ""))")," каф для учебно наглядных пособий ")</f>
        <v> каф для учебно наглядных пособий </v>
      </c>
    </row>
    <row r="3646">
      <c r="A3646" s="35" t="s">
        <v>8783</v>
      </c>
      <c r="B3646" s="31" t="s">
        <v>8784</v>
      </c>
      <c r="C3646" s="31" t="s">
        <v>8785</v>
      </c>
      <c r="D3646" s="37" t="s">
        <v>14</v>
      </c>
      <c r="E3646" s="10"/>
      <c r="F3646" s="36"/>
      <c r="G3646" s="11">
        <v>33454.0</v>
      </c>
      <c r="H3646" s="34" t="str">
        <f>IFERROR(__xludf.DUMMYFUNCTION("LOWER(REGEXREPLACE(B3646&amp;"" ""&amp;C3646,""[^а-яa-z0-9 ]"","" ""))"),"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600х350х14"&amp;"00мм       16мм ")</f>
        <v>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600х350х1400мм       16мм </v>
      </c>
    </row>
    <row r="3647">
      <c r="A3647" s="35" t="s">
        <v>8786</v>
      </c>
      <c r="B3647" s="31" t="s">
        <v>8787</v>
      </c>
      <c r="C3647" s="31" t="s">
        <v>8787</v>
      </c>
      <c r="D3647" s="37" t="s">
        <v>14</v>
      </c>
      <c r="E3647" s="10"/>
      <c r="F3647" s="36"/>
      <c r="G3647" s="11">
        <v>51330.0</v>
      </c>
      <c r="H3647" s="34" t="str">
        <f>IFERROR(__xludf.DUMMYFUNCTION("LOWER(REGEXREPLACE(B3647&amp;"" ""&amp;C3647,""[^а-яa-z0-9 ]"","" ""))"),"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f>
        <v>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v>
      </c>
    </row>
    <row r="3648">
      <c r="A3648" s="35" t="s">
        <v>8788</v>
      </c>
      <c r="B3648" s="9" t="s">
        <v>8789</v>
      </c>
      <c r="C3648" s="31" t="s">
        <v>8790</v>
      </c>
      <c r="D3648" s="37" t="s">
        <v>14</v>
      </c>
      <c r="E3648" s="10"/>
      <c r="F3648" s="36"/>
      <c r="G3648" s="11">
        <v>55999.0</v>
      </c>
      <c r="H3648" s="34" t="str">
        <f>IFERROR(__xludf.DUMMYFUNCTION("LOWER(REGEXREPLACE(B3648&amp;"" ""&amp;C3648,""[^а-яa-z0-9 ]"","" ""))")," каф для документов с полками закрытый  размер 800х450х1800мм       16мм   каф для документов с полками закрытый  размер 800х450х1800мм       16мм ")</f>
        <v> каф для документов с полками закрытый  размер 800х450х1800мм       16мм   каф для документов с полками закрытый  размер 800х450х1800мм       16мм </v>
      </c>
    </row>
    <row r="3649">
      <c r="A3649" s="35" t="s">
        <v>8791</v>
      </c>
      <c r="B3649" s="9" t="s">
        <v>8792</v>
      </c>
      <c r="C3649" s="31" t="s">
        <v>8793</v>
      </c>
      <c r="D3649" s="37" t="s">
        <v>14</v>
      </c>
      <c r="E3649" s="38">
        <v>2.0</v>
      </c>
      <c r="F3649" s="38">
        <v>50.0</v>
      </c>
      <c r="G3649" s="11">
        <v>79671.0</v>
      </c>
      <c r="H3649" s="34" t="str">
        <f>IFERROR(__xludf.DUMMYFUNCTION("LOWER(REGEXREPLACE(B3649&amp;"" ""&amp;C3649,""[^а-яa-z0-9 ]"","" ""))"),"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f>
        <v>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v>
      </c>
    </row>
    <row r="3650">
      <c r="A3650" s="35" t="s">
        <v>8794</v>
      </c>
      <c r="B3650" s="31" t="s">
        <v>8795</v>
      </c>
      <c r="C3650" s="31" t="s">
        <v>8795</v>
      </c>
      <c r="D3650" s="37" t="s">
        <v>14</v>
      </c>
      <c r="E3650" s="10"/>
      <c r="F3650" s="38">
        <v>30.0</v>
      </c>
      <c r="G3650" s="11">
        <v>54186.0</v>
      </c>
      <c r="H3650" s="34" t="str">
        <f>IFERROR(__xludf.DUMMYFUNCTION("LOWER(REGEXREPLACE(B3650&amp;"" ""&amp;C3650,""[^а-яa-z0-9 ]"","" ""))"),"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f>
        <v>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v>
      </c>
    </row>
    <row r="3651">
      <c r="A3651" s="35" t="s">
        <v>8796</v>
      </c>
      <c r="B3651" s="31" t="s">
        <v>8797</v>
      </c>
      <c r="C3651" s="31" t="s">
        <v>8798</v>
      </c>
      <c r="D3651" s="37" t="s">
        <v>14</v>
      </c>
      <c r="E3651" s="38">
        <v>2.0</v>
      </c>
      <c r="F3651" s="38">
        <v>55.0</v>
      </c>
      <c r="G3651" s="11">
        <v>50855.0</v>
      </c>
      <c r="H3651" s="34" t="str">
        <f>IFERROR(__xludf.DUMMYFUNCTION("LOWER(REGEXREPLACE(B3651&amp;"" ""&amp;C3651,""[^а-яa-z0-9 ]"","" ""))")," каф для документов с полками закрытый  размер 849х376х1835мм       16мм  каф для документов с полками закрытый  размер 849х376х1835мм       16мм  4 глухие двери ")</f>
        <v> каф для документов с полками закрытый  размер 849х376х1835мм       16мм  каф для документов с полками закрытый  размер 849х376х1835мм       16мм  4 глухие двери </v>
      </c>
    </row>
    <row r="3652">
      <c r="A3652" s="35" t="s">
        <v>8799</v>
      </c>
      <c r="B3652" s="31" t="s">
        <v>8800</v>
      </c>
      <c r="C3652" s="31" t="s">
        <v>8801</v>
      </c>
      <c r="D3652" s="37" t="s">
        <v>14</v>
      </c>
      <c r="E3652" s="38">
        <v>2.0</v>
      </c>
      <c r="F3652" s="38">
        <v>67.0</v>
      </c>
      <c r="G3652" s="11">
        <v>72293.0</v>
      </c>
      <c r="H3652" s="34" t="str">
        <f>IFERROR(__xludf.DUMMYFUNCTION("LOWER(REGEXREPLACE(B3652&amp;"" ""&amp;C3652,""[^а-яa-z0-9 ]"","" ""))"),"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ст"&amp;"яжка       полкодержатель металл   без пластиковых элементов   ручка 128 мм   без острых углов   навес мебельный       ножка мебельная ")</f>
        <v>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стяжка       полкодержатель металл   без пластиковых элементов   ручка 128 мм   без острых углов   навес мебельный       ножка мебельная </v>
      </c>
    </row>
    <row r="3653">
      <c r="A3653" s="35" t="s">
        <v>8802</v>
      </c>
      <c r="B3653" s="31" t="s">
        <v>8803</v>
      </c>
      <c r="C3653" s="31" t="s">
        <v>8804</v>
      </c>
      <c r="D3653" s="37" t="s">
        <v>14</v>
      </c>
      <c r="E3653" s="38">
        <v>2.0</v>
      </c>
      <c r="F3653" s="38">
        <v>48.0</v>
      </c>
      <c r="G3653" s="11">
        <v>121590.0</v>
      </c>
      <c r="H3653" s="34" t="str">
        <f>IFERROR(__xludf.DUMMYFUNCTION("LOWER(REGEXREPLACE(B3653&amp;"" ""&amp;C3653,""[^а-яa-z0-9 ]"","" ""))"),"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им"&amp;"еет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f>
        <v>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4">
      <c r="A3654" s="35" t="s">
        <v>8805</v>
      </c>
      <c r="B3654" s="31" t="s">
        <v>8806</v>
      </c>
      <c r="C3654" s="31" t="s">
        <v>8807</v>
      </c>
      <c r="D3654" s="37" t="s">
        <v>14</v>
      </c>
      <c r="E3654" s="38">
        <v>2.0</v>
      </c>
      <c r="F3654" s="38">
        <v>30.0</v>
      </c>
      <c r="G3654" s="11">
        <v>58570.0</v>
      </c>
      <c r="H3654" s="34" t="str">
        <f>IFERROR(__xludf.DUMMYFUNCTION("LOWER(REGEXREPLACE(B3654&amp;"" ""&amp;C3654,""[^а-яa-z0-9 ]"","" ""))"),"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нижн"&amp;"их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f>
        <v>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5">
      <c r="A3655" s="35" t="s">
        <v>8808</v>
      </c>
      <c r="B3655" s="31" t="s">
        <v>8809</v>
      </c>
      <c r="C3655" s="31" t="s">
        <v>8810</v>
      </c>
      <c r="D3655" s="37" t="s">
        <v>14</v>
      </c>
      <c r="E3655" s="38">
        <v>2.0</v>
      </c>
      <c r="F3655" s="38">
        <v>90.0</v>
      </c>
      <c r="G3655" s="11">
        <v>94501.0</v>
      </c>
      <c r="H3655" s="34" t="str">
        <f>IFERROR(__xludf.DUMMYFUNCTION("LOWER(REGEXREPLACE(B3655&amp;"" ""&amp;C3655,""[^а-яa-z0-9 ]"","" ""))"),"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кл"&amp;"асса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за"&amp;"дняя стенка   ля предотвращения воздействия воды и влаги предусмотрены 4 ножки высотой 5 см ")</f>
        <v>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56">
      <c r="A3656" s="35" t="s">
        <v>8811</v>
      </c>
      <c r="B3656" s="31" t="s">
        <v>8812</v>
      </c>
      <c r="C3656" s="31" t="s">
        <v>8813</v>
      </c>
      <c r="D3656" s="37" t="s">
        <v>14</v>
      </c>
      <c r="E3656" s="38">
        <v>2.0</v>
      </c>
      <c r="F3656" s="38">
        <v>25.0</v>
      </c>
      <c r="G3656" s="11">
        <v>35407.0</v>
      </c>
      <c r="H3656" s="34" t="str">
        <f>IFERROR(__xludf.DUMMYFUNCTION("LOWER(REGEXREPLACE(B3656&amp;"" ""&amp;C3656,""[^а-яa-z0-9 ]"","" ""))"),"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"&amp;"422   каф разделен на 2 части одна из них  закрыта на распашную дверь")</f>
        <v>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800 450 422   каф разделен на 2 части одна из них  закрыта на распашную дверь</v>
      </c>
    </row>
    <row r="3657">
      <c r="A3657" s="35" t="s">
        <v>8814</v>
      </c>
      <c r="B3657" s="31" t="s">
        <v>8815</v>
      </c>
      <c r="C3657" s="31" t="s">
        <v>8816</v>
      </c>
      <c r="D3657" s="37" t="s">
        <v>14</v>
      </c>
      <c r="E3657" s="38">
        <v>2.0</v>
      </c>
      <c r="F3657" s="38">
        <v>48.0</v>
      </c>
      <c r="G3657" s="11">
        <v>78161.0</v>
      </c>
      <c r="H3657" s="34" t="str">
        <f>IFERROR(__xludf.DUMMYFUNCTION("LOWER(REGEXREPLACE(B3657&amp;"" ""&amp;C3657,""[^а-яa-z0-9 ]"","" ""))"),"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"&amp;"27мм  разделен на 3 части  в центре имеется 1 распашной фасад")</f>
        <v>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27мм  разделен на 3 части  в центре имеется 1 распашной фасад</v>
      </c>
    </row>
    <row r="3658">
      <c r="A3658" s="35" t="s">
        <v>8817</v>
      </c>
      <c r="B3658" s="31" t="s">
        <v>8818</v>
      </c>
      <c r="C3658" s="31" t="s">
        <v>8819</v>
      </c>
      <c r="D3658" s="37" t="s">
        <v>14</v>
      </c>
      <c r="E3658" s="38">
        <v>2.0</v>
      </c>
      <c r="F3658" s="38">
        <v>48.0</v>
      </c>
      <c r="G3658" s="11">
        <v>85685.0</v>
      </c>
      <c r="H3658" s="34" t="str">
        <f>IFERROR(__xludf.DUMMYFUNCTION("LOWER(REGEXREPLACE(B3658&amp;"" ""&amp;C3658,""[^а-яa-z0-9 ]"","" ""))"),"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"&amp;"  27мм  в нижней части распашные двери")</f>
        <v>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27мм  в нижней части распашные двери</v>
      </c>
    </row>
    <row r="3659">
      <c r="A3659" s="35" t="s">
        <v>8820</v>
      </c>
      <c r="B3659" s="31" t="s">
        <v>8821</v>
      </c>
      <c r="C3659" s="31" t="s">
        <v>8822</v>
      </c>
      <c r="D3659" s="37" t="s">
        <v>14</v>
      </c>
      <c r="E3659" s="38">
        <v>2.0</v>
      </c>
      <c r="F3659" s="38">
        <v>50.0</v>
      </c>
      <c r="G3659" s="11">
        <v>90863.0</v>
      </c>
      <c r="H3659" s="34" t="str">
        <f>IFERROR(__xludf.DUMMYFUNCTION("LOWER(REGEXREPLACE(B3659&amp;"" ""&amp;C3659,""[^а-яa-z0-9 ]"","" ""))"),"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ожки"&amp;" черные плас  рег    27мм  по центру открытые полки  по двум сторонам 4 полки за распашными фасадами")</f>
        <v>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 черные плас  рег    27мм  по центру открытые полки  по двум сторонам 4 полки за распашными фасадами</v>
      </c>
    </row>
    <row r="3660">
      <c r="A3660" s="35" t="s">
        <v>8823</v>
      </c>
      <c r="B3660" s="31" t="s">
        <v>8824</v>
      </c>
      <c r="C3660" s="31" t="s">
        <v>8825</v>
      </c>
      <c r="D3660" s="37" t="s">
        <v>14</v>
      </c>
      <c r="E3660" s="38">
        <v>2.0</v>
      </c>
      <c r="F3660" s="38">
        <v>16.0</v>
      </c>
      <c r="G3660" s="11">
        <v>53654.0</v>
      </c>
      <c r="H3660" s="34" t="str">
        <f>IFERROR(__xludf.DUMMYFUNCTION("LOWER(REGEXREPLACE(B3660&amp;"" ""&amp;C3660,""[^а-яa-z0-9 ]"","" ""))"),"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2 штуки")</f>
        <v>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2 штуки</v>
      </c>
    </row>
    <row r="3661">
      <c r="A3661" s="35" t="s">
        <v>8826</v>
      </c>
      <c r="B3661" s="31" t="s">
        <v>8827</v>
      </c>
      <c r="C3661" s="31" t="s">
        <v>8828</v>
      </c>
      <c r="D3661" s="37" t="s">
        <v>14</v>
      </c>
      <c r="E3661" s="38">
        <v>2.0</v>
      </c>
      <c r="F3661" s="38">
        <v>16.0</v>
      </c>
      <c r="G3661" s="11">
        <v>66137.0</v>
      </c>
      <c r="H3661" s="34" t="str">
        <f>IFERROR(__xludf.DUMMYFUNCTION("LOWER(REGEXREPLACE(B3661&amp;"" ""&amp;C3661,""[^а-яa-z0-9 ]"","" ""))"),"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1 штука")</f>
        <v>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1 штука</v>
      </c>
    </row>
    <row r="3662">
      <c r="A3662" s="35" t="s">
        <v>8829</v>
      </c>
      <c r="B3662" s="31" t="s">
        <v>8830</v>
      </c>
      <c r="C3662" s="31" t="s">
        <v>8831</v>
      </c>
      <c r="D3662" s="37" t="s">
        <v>14</v>
      </c>
      <c r="E3662" s="38">
        <v>2.0</v>
      </c>
      <c r="F3662" s="38">
        <v>16.0</v>
      </c>
      <c r="G3662" s="11">
        <v>58824.0</v>
      </c>
      <c r="H3662" s="34" t="str">
        <f>IFERROR(__xludf.DUMMYFUNCTION("LOWER(REGEXREPLACE(B3662&amp;"" ""&amp;C3662,""[^а-яa-z0-9 ]"","" ""))"),"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а"&amp;"дняя стенка        ожки черные плас  рег    27мм  верхняя часть 1 распашная дверь  по центру открытая полка и в нижней части один выдвижной ящик")</f>
        <v>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1 распашная дверь  по центру открытая полка и в нижней части один выдвижной ящик</v>
      </c>
    </row>
    <row r="3663">
      <c r="A3663" s="35" t="s">
        <v>8832</v>
      </c>
      <c r="B3663" s="31" t="s">
        <v>8833</v>
      </c>
      <c r="C3663" s="31" t="s">
        <v>8834</v>
      </c>
      <c r="D3663" s="37" t="s">
        <v>14</v>
      </c>
      <c r="E3663" s="38">
        <v>2.0</v>
      </c>
      <c r="F3663" s="38">
        <v>32.0</v>
      </c>
      <c r="G3663" s="11">
        <v>100625.0</v>
      </c>
      <c r="H3663" s="34" t="str">
        <f>IFERROR(__xludf.DUMMYFUNCTION("LOWER(REGEXREPLACE(B3663&amp;"" ""&amp;C3663,""[^а-яa-z0-9 ]"","" ""))"),"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"&amp;"ожки черные плас  рег    27мм  шкаф состоит из 2х частей одна сторона открытые полки   торая часть распашные двери в количестве 3 штук")</f>
        <v>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ожки черные плас  рег    27мм  шкаф состоит из 2х частей одна сторона открытые полки   торая часть распашные двери в количестве 3 штук</v>
      </c>
    </row>
    <row r="3664">
      <c r="A3664" s="35" t="s">
        <v>8835</v>
      </c>
      <c r="B3664" s="31" t="s">
        <v>8836</v>
      </c>
      <c r="C3664" s="31" t="s">
        <v>8837</v>
      </c>
      <c r="D3664" s="37" t="s">
        <v>14</v>
      </c>
      <c r="E3664" s="38">
        <v>2.0</v>
      </c>
      <c r="F3664" s="38">
        <v>33.0</v>
      </c>
      <c r="G3664" s="11">
        <v>106303.0</v>
      </c>
      <c r="H3664" s="34" t="str">
        <f>IFERROR(__xludf.DUMMYFUNCTION("LOWER(REGEXREPLACE(B3664&amp;"" ""&amp;C3664,""[^а-яa-z0-9 ]"","" ""))"),"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аса"&amp;"ды      16мм   адняя стенка        ожки черные плас  рег    27мм  в нижней части 1 широкий выдвижной ящик  с правой стороны 2 распашные двери в верхней части и в центральной")</f>
        <v>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асады      16мм   адняя стенка        ожки черные плас  рег    27мм  в нижней части 1 широкий выдвижной ящик  с правой стороны 2 распашные двери в верхней части и в центральной</v>
      </c>
    </row>
    <row r="3665">
      <c r="A3665" s="35" t="s">
        <v>8838</v>
      </c>
      <c r="B3665" s="31" t="s">
        <v>8839</v>
      </c>
      <c r="C3665" s="31" t="s">
        <v>8840</v>
      </c>
      <c r="D3665" s="37" t="s">
        <v>14</v>
      </c>
      <c r="E3665" s="38">
        <v>2.0</v>
      </c>
      <c r="F3665" s="38">
        <v>47.0</v>
      </c>
      <c r="G3665" s="11">
        <v>135235.0</v>
      </c>
      <c r="H3665" s="34" t="str">
        <f>IFERROR(__xludf.DUMMYFUNCTION("LOWER(REGEXREPLACE(B3665&amp;"" ""&amp;C3665,""[^а-яa-z0-9 ]"","" ""))"),"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"&amp;"6 распашных дверей")</f>
        <v>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6 распашных дверей</v>
      </c>
    </row>
    <row r="3666">
      <c r="A3666" s="35" t="s">
        <v>8841</v>
      </c>
      <c r="B3666" s="31" t="s">
        <v>8842</v>
      </c>
      <c r="C3666" s="31" t="s">
        <v>8843</v>
      </c>
      <c r="D3666" s="37" t="s">
        <v>14</v>
      </c>
      <c r="E3666" s="38">
        <v>2.0</v>
      </c>
      <c r="F3666" s="38">
        <v>47.0</v>
      </c>
      <c r="G3666" s="11">
        <v>135235.0</v>
      </c>
      <c r="H3666" s="34" t="str">
        <f>IFERROR(__xludf.DUMMYFUNCTION("LOWER(REGEXREPLACE(B3666&amp;"" ""&amp;C3666,""[^а-яa-z0-9 ]"","" ""))"),"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че"&amp;"рные плас  рег    27мм  имеет сверху и снизу 6 распашных верей")</f>
        <v>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черные плас  рег    27мм  имеет сверху и снизу 6 распашных верей</v>
      </c>
    </row>
    <row r="3667">
      <c r="A3667" s="35" t="s">
        <v>8844</v>
      </c>
      <c r="B3667" s="31" t="s">
        <v>8845</v>
      </c>
      <c r="C3667" s="31" t="s">
        <v>8846</v>
      </c>
      <c r="D3667" s="37" t="s">
        <v>14</v>
      </c>
      <c r="E3667" s="38">
        <v>2.0</v>
      </c>
      <c r="F3667" s="38">
        <v>45.0</v>
      </c>
      <c r="G3667" s="11">
        <v>119718.0</v>
      </c>
      <c r="H3667" s="34" t="str">
        <f>IFERROR(__xludf.DUMMYFUNCTION("LOWER(REGEXREPLACE(B3667&amp;"" ""&amp;C3667,""[^а-яa-z0-9 ]"","" ""))"),"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че"&amp;"рные плас  рег    27мм  имеет 3 распашные двери  расположенные по диагонали")</f>
        <v>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черные плас  рег    27мм  имеет 3 распашные двери  расположенные по диагонали</v>
      </c>
    </row>
    <row r="3668">
      <c r="A3668" s="35" t="s">
        <v>8847</v>
      </c>
      <c r="B3668" s="31" t="s">
        <v>8848</v>
      </c>
      <c r="C3668" s="31" t="s">
        <v>8849</v>
      </c>
      <c r="D3668" s="37" t="s">
        <v>14</v>
      </c>
      <c r="E3668" s="38">
        <v>2.0</v>
      </c>
      <c r="F3668" s="38">
        <v>46.0</v>
      </c>
      <c r="G3668" s="11">
        <v>130061.0</v>
      </c>
      <c r="H3668" s="34" t="str">
        <f>IFERROR(__xludf.DUMMYFUNCTION("LOWER(REGEXREPLACE(B3668&amp;"" ""&amp;C3668,""[^а-яa-z0-9 ]"","" ""))"),"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р"&amp;"ег    27мм  имеет 5 распашных дверей в шахматном порядке")</f>
        <v>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рег    27мм  имеет 5 распашных дверей в шахматном порядке</v>
      </c>
    </row>
    <row r="3669">
      <c r="A3669" s="35" t="s">
        <v>8850</v>
      </c>
      <c r="B3669" s="31" t="s">
        <v>8851</v>
      </c>
      <c r="C3669" s="31" t="s">
        <v>8852</v>
      </c>
      <c r="D3669" s="37" t="s">
        <v>14</v>
      </c>
      <c r="E3669" s="38">
        <v>2.0</v>
      </c>
      <c r="F3669" s="38">
        <v>16.0</v>
      </c>
      <c r="G3669" s="11">
        <v>54536.0</v>
      </c>
      <c r="H3669" s="34" t="str">
        <f>IFERROR(__xludf.DUMMYFUNCTION("LOWER(REGEXREPLACE(B3669&amp;"" ""&amp;C3669,""[^а-яa-z0-9 ]"","" ""))"),"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п"&amp;"лас  рег    27мм  имеет 2 выдвижных ящика в нижней части шкафа")</f>
        <v>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плас  рег    27мм  имеет 2 выдвижных ящика в нижней части шкафа</v>
      </c>
    </row>
    <row r="3670">
      <c r="A3670" s="35" t="s">
        <v>8853</v>
      </c>
      <c r="B3670" s="31" t="s">
        <v>8854</v>
      </c>
      <c r="C3670" s="31" t="s">
        <v>8855</v>
      </c>
      <c r="D3670" s="37" t="s">
        <v>14</v>
      </c>
      <c r="E3670" s="38">
        <v>2.0</v>
      </c>
      <c r="F3670" s="38">
        <v>16.0</v>
      </c>
      <c r="G3670" s="11">
        <v>68911.0</v>
      </c>
      <c r="H3670" s="34" t="str">
        <f>IFERROR(__xludf.DUMMYFUNCTION("LOWER(REGEXREPLACE(B3670&amp;"" ""&amp;C3670,""[^а-яa-z0-9 ]"","" ""))"),"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"&amp;"адняя стенка        ожки черные плас  рег    27мм  имеет 1 распашной фасад в верхней части  и 1 выдвижной ящик в нижней части шкафа")</f>
        <v>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адняя стенка        ожки черные плас  рег    27мм  имеет 1 распашной фасад в верхней части  и 1 выдвижной ящик в нижней части шкафа</v>
      </c>
    </row>
    <row r="3671">
      <c r="A3671" s="35" t="s">
        <v>8856</v>
      </c>
      <c r="B3671" s="31" t="s">
        <v>8857</v>
      </c>
      <c r="C3671" s="31" t="s">
        <v>8858</v>
      </c>
      <c r="D3671" s="37" t="s">
        <v>14</v>
      </c>
      <c r="E3671" s="38">
        <v>2.0</v>
      </c>
      <c r="F3671" s="38">
        <v>32.0</v>
      </c>
      <c r="G3671" s="11">
        <v>72002.0</v>
      </c>
      <c r="H3671" s="34" t="str">
        <f>IFERROR(__xludf.DUMMYFUNCTION("LOWER(REGEXREPLACE(B3671&amp;"" ""&amp;C3671,""[^а-яa-z0-9 ]"","" ""))"),"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"&amp;"  27мм  имеет 2 распашные двери в нижней части шкафа")</f>
        <v>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27мм  имеет 2 распашные двери в нижней части шкафа</v>
      </c>
    </row>
    <row r="3672">
      <c r="A3672" s="35" t="s">
        <v>8859</v>
      </c>
      <c r="B3672" s="31" t="s">
        <v>8860</v>
      </c>
      <c r="C3672" s="31" t="s">
        <v>8861</v>
      </c>
      <c r="D3672" s="37" t="s">
        <v>14</v>
      </c>
      <c r="E3672" s="38">
        <v>2.0</v>
      </c>
      <c r="F3672" s="38">
        <v>34.0</v>
      </c>
      <c r="G3672" s="11">
        <v>72010.0</v>
      </c>
      <c r="H3672" s="34" t="str">
        <f>IFERROR(__xludf.DUMMYFUNCTION("LOWER(REGEXREPLACE(B3672&amp;"" ""&amp;C3672,""[^а-яa-z0-9 ]"","" ""))"),"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ож"&amp;"ки черные плас  рег    27мм 8")</f>
        <v>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ожки черные плас  рег    27мм 8</v>
      </c>
    </row>
    <row r="3673">
      <c r="A3673" s="35" t="s">
        <v>8862</v>
      </c>
      <c r="B3673" s="31" t="s">
        <v>8863</v>
      </c>
      <c r="C3673" s="31" t="s">
        <v>8864</v>
      </c>
      <c r="D3673" s="37" t="s">
        <v>14</v>
      </c>
      <c r="E3673" s="38">
        <v>2.0</v>
      </c>
      <c r="F3673" s="38">
        <v>29.0</v>
      </c>
      <c r="G3673" s="11">
        <v>90147.0</v>
      </c>
      <c r="H3673" s="34" t="str">
        <f>IFERROR(__xludf.DUMMYFUNCTION("LOWER(REGEXREPLACE(B3673&amp;"" ""&amp;C3673,""[^а-яa-z0-9 ]"","" ""))"),"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черные"&amp;" плас  рег    27мм  имеет 4 распашных двери распаложенные в шахматном порядке")</f>
        <v>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 плас  рег    27мм  имеет 4 распашных двери распаложенные в шахматном порядке</v>
      </c>
    </row>
    <row r="3674">
      <c r="A3674" s="35" t="s">
        <v>8865</v>
      </c>
      <c r="B3674" s="31" t="s">
        <v>8866</v>
      </c>
      <c r="C3674" s="31" t="s">
        <v>8867</v>
      </c>
      <c r="D3674" s="37" t="s">
        <v>14</v>
      </c>
      <c r="E3674" s="38">
        <v>2.0</v>
      </c>
      <c r="F3674" s="38">
        <v>30.0</v>
      </c>
      <c r="G3674" s="11">
        <v>122304.0</v>
      </c>
      <c r="H3674" s="34" t="str">
        <f>IFERROR(__xludf.DUMMYFUNCTION("LOWER(REGEXREPLACE(B3674&amp;"" ""&amp;C3674,""[^а-яa-z0-9 ]"","" ""))"),"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ре"&amp;"г    27мм  имеет с одной стороны 1 распашную дверь и 2 выдвижных ящика с другой стороны")</f>
        <v>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рег    27мм  имеет с одной стороны 1 распашную дверь и 2 выдвижных ящика с другой стороны</v>
      </c>
    </row>
    <row r="3675">
      <c r="A3675" s="35" t="s">
        <v>8868</v>
      </c>
      <c r="B3675" s="31" t="s">
        <v>8869</v>
      </c>
      <c r="C3675" s="31" t="s">
        <v>8870</v>
      </c>
      <c r="D3675" s="37" t="s">
        <v>14</v>
      </c>
      <c r="E3675" s="38">
        <v>2.0</v>
      </c>
      <c r="F3675" s="38">
        <v>32.0</v>
      </c>
      <c r="G3675" s="11">
        <v>104534.0</v>
      </c>
      <c r="H3675" s="34" t="str">
        <f>IFERROR(__xludf.DUMMYFUNCTION("LOWER(REGEXREPLACE(B3675&amp;"" ""&amp;C3675,""[^а-яa-z0-9 ]"","" ""))"),"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f>
        <v>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v>
      </c>
    </row>
    <row r="3676">
      <c r="A3676" s="35" t="s">
        <v>8871</v>
      </c>
      <c r="B3676" s="31" t="s">
        <v>8872</v>
      </c>
      <c r="C3676" s="31" t="s">
        <v>8873</v>
      </c>
      <c r="D3676" s="37" t="s">
        <v>14</v>
      </c>
      <c r="E3676" s="38">
        <v>2.0</v>
      </c>
      <c r="F3676" s="38">
        <v>52.0</v>
      </c>
      <c r="G3676" s="11">
        <v>108146.0</v>
      </c>
      <c r="H3676" s="34" t="str">
        <f>IFERROR(__xludf.DUMMYFUNCTION("LOWER(REGEXREPLACE(B3676&amp;"" ""&amp;C3676,""[^а-яa-z0-9 ]"","" ""))"),"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"&amp;"черные плас  рег    27мм  имеет 6 распашных дверей расположенные в шахматном порядке")</f>
        <v>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черные плас  рег    27мм  имеет 6 распашных дверей расположенные в шахматном порядке</v>
      </c>
    </row>
    <row r="3677">
      <c r="A3677" s="35" t="s">
        <v>8874</v>
      </c>
      <c r="B3677" s="31" t="s">
        <v>8875</v>
      </c>
      <c r="C3677" s="31" t="s">
        <v>8876</v>
      </c>
      <c r="D3677" s="37" t="s">
        <v>14</v>
      </c>
      <c r="E3677" s="38">
        <v>2.0</v>
      </c>
      <c r="F3677" s="38">
        <v>33.0</v>
      </c>
      <c r="G3677" s="11">
        <v>97351.0</v>
      </c>
      <c r="H3677" s="34" t="str">
        <f>IFERROR(__xludf.DUMMYFUNCTION("LOWER(REGEXREPLACE(B3677&amp;"" ""&amp;C3677,""[^а-яa-z0-9 ]"","" ""))"),"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"&amp;"черные плас  рег    27мм  имеет 1 фасад распашной и 2 выдвижных ящика в нижней части")</f>
        <v>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черные плас  рег    27мм  имеет 1 фасад распашной и 2 выдвижных ящика в нижней части</v>
      </c>
    </row>
    <row r="3678">
      <c r="A3678" s="35" t="s">
        <v>8877</v>
      </c>
      <c r="B3678" s="31" t="s">
        <v>8878</v>
      </c>
      <c r="C3678" s="31" t="s">
        <v>8734</v>
      </c>
      <c r="D3678" s="37" t="s">
        <v>14</v>
      </c>
      <c r="E3678" s="38">
        <v>2.0</v>
      </c>
      <c r="F3678" s="38">
        <v>35.0</v>
      </c>
      <c r="G3678" s="11">
        <v>91937.0</v>
      </c>
      <c r="H3678" s="34" t="str">
        <f>IFERROR(__xludf.DUMMYFUNCTION("LOWER(REGEXREPLACE(B3678&amp;"" ""&amp;C3678,""[^а-яa-z0-9 ]"","" ""))"),"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р"&amp;"ег    27мм")</f>
        <v>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рег    27мм</v>
      </c>
    </row>
    <row r="3679">
      <c r="A3679" s="35" t="s">
        <v>8879</v>
      </c>
      <c r="B3679" s="31" t="s">
        <v>8880</v>
      </c>
      <c r="C3679" s="31" t="s">
        <v>8881</v>
      </c>
      <c r="D3679" s="37" t="s">
        <v>14</v>
      </c>
      <c r="E3679" s="38">
        <v>2.0</v>
      </c>
      <c r="F3679" s="38">
        <v>35.0</v>
      </c>
      <c r="G3679" s="11">
        <v>104168.0</v>
      </c>
      <c r="H3679" s="34" t="str">
        <f>IFERROR(__xludf.DUMMYFUNCTION("LOWER(REGEXREPLACE(B3679&amp;"" ""&amp;C3679,""[^а-яa-z0-9 ]"","" ""))"),"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пл"&amp;"ас  рег    27мм  имеет 5 распашных дверей расположенных в шахматном порядке")</f>
        <v>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плас  рег    27мм  имеет 5 распашных дверей расположенных в шахматном порядке</v>
      </c>
    </row>
    <row r="3680">
      <c r="A3680" s="35" t="s">
        <v>8882</v>
      </c>
      <c r="B3680" s="31" t="s">
        <v>8883</v>
      </c>
      <c r="C3680" s="31" t="s">
        <v>8884</v>
      </c>
      <c r="D3680" s="37" t="s">
        <v>14</v>
      </c>
      <c r="E3680" s="38">
        <v>2.0</v>
      </c>
      <c r="F3680" s="39">
        <v>55.2</v>
      </c>
      <c r="G3680" s="11">
        <v>39145.0</v>
      </c>
      <c r="H3680" s="34" t="str">
        <f>IFERROR(__xludf.DUMMYFUNCTION("LOWER(REGEXREPLACE(B3680&amp;"" ""&amp;C3680,""[^а-яa-z0-9 ]"","" ""))"),"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"&amp;"    толщиной 2мм   учки металлические ")</f>
        <v>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толщиной 2мм   учки металлические </v>
      </c>
    </row>
    <row r="3681">
      <c r="A3681" s="35" t="s">
        <v>8885</v>
      </c>
      <c r="B3681" s="31" t="s">
        <v>8886</v>
      </c>
      <c r="C3681" s="31" t="s">
        <v>8887</v>
      </c>
      <c r="D3681" s="37" t="s">
        <v>14</v>
      </c>
      <c r="E3681" s="38">
        <v>2.0</v>
      </c>
      <c r="F3681" s="39">
        <v>57.3</v>
      </c>
      <c r="G3681" s="11">
        <v>44576.0</v>
      </c>
      <c r="H3681" s="34" t="str">
        <f>IFERROR(__xludf.DUMMYFUNCTION("LOWER(REGEXREPLACE(B3681&amp;"" ""&amp;C3681,""[^а-яa-z0-9 ]"","" ""))"),"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мет"&amp;"аллические ")</f>
        <v>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металлические </v>
      </c>
    </row>
    <row r="3682">
      <c r="A3682" s="35" t="s">
        <v>8888</v>
      </c>
      <c r="B3682" s="31" t="s">
        <v>8889</v>
      </c>
      <c r="C3682" s="31" t="s">
        <v>8890</v>
      </c>
      <c r="D3682" s="37" t="s">
        <v>14</v>
      </c>
      <c r="E3682" s="38">
        <v>2.0</v>
      </c>
      <c r="F3682" s="39">
        <v>49.8</v>
      </c>
      <c r="G3682" s="11">
        <v>41367.0</v>
      </c>
      <c r="H3682" s="34" t="str">
        <f>IFERROR(__xludf.DUMMYFUNCTION("LOWER(REGEXREPLACE(B3682&amp;"" ""&amp;C3682,""[^а-яa-z0-9 ]"","" ""))"),"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толщи"&amp;"ной 2мм   учки металлические ")</f>
        <v>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толщиной 2мм   учки металлические </v>
      </c>
    </row>
    <row r="3683">
      <c r="A3683" s="35" t="s">
        <v>8891</v>
      </c>
      <c r="B3683" s="31" t="s">
        <v>8892</v>
      </c>
      <c r="C3683" s="31" t="s">
        <v>8893</v>
      </c>
      <c r="D3683" s="37" t="s">
        <v>14</v>
      </c>
      <c r="E3683" s="38">
        <v>2.0</v>
      </c>
      <c r="F3683" s="38">
        <v>27.0</v>
      </c>
      <c r="G3683" s="11">
        <v>57659.0</v>
      </c>
      <c r="H3683" s="34" t="str">
        <f>IFERROR(__xludf.DUMMYFUNCTION("LOWER(REGEXREPLACE(B3683&amp;"" ""&amp;C3683,""[^а-яa-z0-9 ]"","" ""))"),"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закрыто"&amp;"й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из"&amp;" хромированной трубы с регулируемой пластиковой заглушкой   вет шкафа  светло серый ")</f>
        <v>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 хромированной трубы с регулируемой пластиковой заглушкой   вет шкафа  светло серый </v>
      </c>
    </row>
    <row r="3684">
      <c r="A3684" s="35" t="s">
        <v>8894</v>
      </c>
      <c r="B3684" s="31" t="s">
        <v>8895</v>
      </c>
      <c r="C3684" s="31" t="s">
        <v>8896</v>
      </c>
      <c r="D3684" s="37" t="s">
        <v>14</v>
      </c>
      <c r="E3684" s="38">
        <v>2.0</v>
      </c>
      <c r="F3684" s="38">
        <v>64.0</v>
      </c>
      <c r="G3684" s="11">
        <v>94875.0</v>
      </c>
      <c r="H3684" s="34" t="str">
        <f>IFERROR(__xludf.DUMMYFUNCTION("LOWER(REGEXREPLACE(B3684&amp;"" ""&amp;C3684,""[^а-яa-z0-9 ]"","" ""))"),"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дверь"&amp;"ми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соедин"&amp;"яются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5">
      <c r="A3685" s="35" t="s">
        <v>8897</v>
      </c>
      <c r="B3685" s="31" t="s">
        <v>8898</v>
      </c>
      <c r="C3685" s="31" t="s">
        <v>8899</v>
      </c>
      <c r="D3685" s="37" t="s">
        <v>14</v>
      </c>
      <c r="E3685" s="38">
        <v>2.0</v>
      </c>
      <c r="F3685" s="38">
        <v>46.0</v>
      </c>
      <c r="G3685" s="11">
        <v>54576.0</v>
      </c>
      <c r="H3685" s="34" t="str">
        <f>IFERROR(__xludf.DUMMYFUNCTION("LOWER(REGEXREPLACE(B3685&amp;"" ""&amp;C3685,""[^а-яa-z0-9 ]"","" ""))"),"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закры"&amp;"та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по"&amp;"лки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6">
      <c r="A3686" s="35" t="s">
        <v>8900</v>
      </c>
      <c r="B3686" s="31" t="s">
        <v>8901</v>
      </c>
      <c r="C3686" s="31" t="s">
        <v>8902</v>
      </c>
      <c r="D3686" s="37" t="s">
        <v>14</v>
      </c>
      <c r="E3686" s="38">
        <v>2.0</v>
      </c>
      <c r="F3686" s="38">
        <v>46.0</v>
      </c>
      <c r="G3686" s="11">
        <v>100241.0</v>
      </c>
      <c r="H3686" s="34" t="str">
        <f>IFERROR(__xludf.DUMMYFUNCTION("LOWER(REGEXREPLACE(B3686&amp;"" ""&amp;C3686,""[^а-яa-z0-9 ]"","" ""))"),"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класса"&amp;"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м"&amp;"онтируется задняя стенка   ля предотвращения воздействия воды и влаги на шкаф предусмотрены 4 ножки высотой 5 см ")</f>
        <v>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687">
      <c r="A3687" s="35" t="s">
        <v>8903</v>
      </c>
      <c r="B3687" s="9" t="s">
        <v>8904</v>
      </c>
      <c r="C3687" s="31" t="s">
        <v>8905</v>
      </c>
      <c r="D3687" s="37" t="s">
        <v>14</v>
      </c>
      <c r="E3687" s="38">
        <v>2.0</v>
      </c>
      <c r="F3687" s="38">
        <v>425.0</v>
      </c>
      <c r="G3687" s="11">
        <v>482364.0</v>
      </c>
      <c r="H3687" s="34" t="str">
        <f>IFERROR(__xludf.DUMMYFUNCTION("LOWER(REGEXREPLACE(B3687&amp;"" ""&amp;C3687,""[^а-яa-z0-9 ]"","" ""))"),"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"&amp;"из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"&amp;"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ящика"&amp;"ми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"&amp;"  етля для дверок должна быть шарнирная накладная с функцией  softclose    ебельные ножки должны регулироваться по высоте для компенсации неровностей пола ")</f>
        <v>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3688">
      <c r="A3688" s="35" t="s">
        <v>8906</v>
      </c>
      <c r="B3688" s="31" t="s">
        <v>8907</v>
      </c>
      <c r="C3688" s="31" t="s">
        <v>8908</v>
      </c>
      <c r="D3688" s="37" t="s">
        <v>14</v>
      </c>
      <c r="E3688" s="38">
        <v>2.0</v>
      </c>
      <c r="F3688" s="38">
        <v>116.0</v>
      </c>
      <c r="G3688" s="11">
        <v>121713.0</v>
      </c>
      <c r="H3688" s="34" t="str">
        <f>IFERROR(__xludf.DUMMYFUNCTION("LOWER(REGEXREPLACE(B3688&amp;"" ""&amp;C3688,""[^а-яa-z0-9 ]"","" ""))"),"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использоватьс"&amp;"я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г"&amp;"абаритные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неровностей"&amp;" пола   ежду собой шкафы должны быть скреплены межсекционными стяжками   адняя стенка должна быть из     не менее 3 мм   ромка должна быть из     не менее 0 4 мм ")</f>
        <v>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 пола   ежду собой шкафы должны быть скреплены межсекционными стяжками   адняя стенка должна быть из     не менее 3 мм   ромка должна быть из     не менее 0 4 мм </v>
      </c>
    </row>
    <row r="3689">
      <c r="A3689" s="35" t="s">
        <v>8909</v>
      </c>
      <c r="B3689" s="31" t="s">
        <v>8910</v>
      </c>
      <c r="C3689" s="31" t="s">
        <v>8911</v>
      </c>
      <c r="D3689" s="37" t="s">
        <v>14</v>
      </c>
      <c r="E3689" s="38">
        <v>2.0</v>
      </c>
      <c r="F3689" s="38">
        <v>57.0</v>
      </c>
      <c r="G3689" s="11">
        <v>73843.0</v>
      </c>
      <c r="H3689" s="34" t="str">
        <f>IFERROR(__xludf.DUMMYFUNCTION("LOWER(REGEXREPLACE(B3689&amp;"" ""&amp;C3689,""[^а-яa-z0-9 ]"","" ""))"),"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р"&amp;"учками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"&amp;"помощью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0">
      <c r="A3690" s="35" t="s">
        <v>8912</v>
      </c>
      <c r="B3690" s="31" t="s">
        <v>8913</v>
      </c>
      <c r="C3690" s="31" t="s">
        <v>8914</v>
      </c>
      <c r="D3690" s="37" t="s">
        <v>14</v>
      </c>
      <c r="E3690" s="38">
        <v>2.0</v>
      </c>
      <c r="F3690" s="38">
        <v>66.0</v>
      </c>
      <c r="G3690" s="11">
        <v>82539.0</v>
      </c>
      <c r="H3690" s="34" t="str">
        <f>IFERROR(__xludf.DUMMYFUNCTION("LOWER(REGEXREPLACE(B3690&amp;"" ""&amp;C3690,""[^а-яa-z0-9 ]"","" ""))"),"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нишам"&amp;"и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и"&amp;"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1">
      <c r="A3691" s="35" t="s">
        <v>8915</v>
      </c>
      <c r="B3691" s="31" t="s">
        <v>8916</v>
      </c>
      <c r="C3691" s="31" t="s">
        <v>8917</v>
      </c>
      <c r="D3691" s="37" t="s">
        <v>14</v>
      </c>
      <c r="E3691" s="38">
        <v>2.0</v>
      </c>
      <c r="F3691" s="38">
        <v>156.0</v>
      </c>
      <c r="G3691" s="11">
        <v>139196.0</v>
      </c>
      <c r="H3691" s="34" t="str">
        <f>IFERROR(__xludf.DUMMYFUNCTION("LOWER(REGEXREPLACE(B3691&amp;"" ""&amp;C3691,""[^а-яa-z0-9 ]"","" ""))"),"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п"&amp;"лательный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дву"&amp;"мя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ром"&amp;"ка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компенс"&amp;"ации неровностей пола ")</f>
        <v>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692">
      <c r="A3692" s="35" t="s">
        <v>8918</v>
      </c>
      <c r="B3692" s="31" t="s">
        <v>8919</v>
      </c>
      <c r="C3692" s="31" t="s">
        <v>8920</v>
      </c>
      <c r="D3692" s="37" t="s">
        <v>14</v>
      </c>
      <c r="E3692" s="38">
        <v>2.0</v>
      </c>
      <c r="F3692" s="38">
        <v>50.0</v>
      </c>
      <c r="G3692" s="11">
        <v>62989.0</v>
      </c>
      <c r="H3692" s="34" t="str">
        <f>IFERROR(__xludf.DUMMYFUNCTION("LOWER(REGEXREPLACE(B3692&amp;"" ""&amp;C3692,""[^а-яa-z0-9 ]"","" ""))"),"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две"&amp;"рками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к"&amp;"онфирматов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f>
        <v>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v>
      </c>
    </row>
    <row r="3693">
      <c r="A3693" s="35" t="s">
        <v>8921</v>
      </c>
      <c r="B3693" s="31" t="s">
        <v>8922</v>
      </c>
      <c r="C3693" s="31" t="s">
        <v>8923</v>
      </c>
      <c r="D3693" s="37" t="s">
        <v>14</v>
      </c>
      <c r="E3693" s="38">
        <v>2.0</v>
      </c>
      <c r="F3693" s="38">
        <v>188.0</v>
      </c>
      <c r="G3693" s="11">
        <v>183493.0</v>
      </c>
      <c r="H3693" s="34" t="str">
        <f>IFERROR(__xludf.DUMMYFUNCTION("LOWER(REGEXREPLACE(B3693&amp;"" ""&amp;C3693,""[^а-яa-z0-9 ]"","" ""))"),"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шкаф"&amp;"ов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р"&amp;"азделено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р"&amp;"егулировку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стола"&amp;"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f>
        <v>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v>
      </c>
    </row>
    <row r="3694">
      <c r="A3694" s="35" t="s">
        <v>8924</v>
      </c>
      <c r="B3694" s="31" t="s">
        <v>8925</v>
      </c>
      <c r="C3694" s="31" t="s">
        <v>8926</v>
      </c>
      <c r="D3694" s="37" t="s">
        <v>14</v>
      </c>
      <c r="E3694" s="38">
        <v>2.0</v>
      </c>
      <c r="F3694" s="38">
        <v>48.0</v>
      </c>
      <c r="G3694" s="11">
        <v>47826.0</v>
      </c>
      <c r="H3694" s="34" t="str">
        <f>IFERROR(__xludf.DUMMYFUNCTION("LOWER(REGEXREPLACE(B3694&amp;"" ""&amp;C3694,""[^а-яa-z0-9 ]"","" ""))"),"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двум"&amp;"я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эксцентриковых"&amp;" стяжек   етля для дверок   внешняя с европланкой   ебельные ножки должны регулироваться по высоте для компенсации неровностей пола ")</f>
        <v>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95">
      <c r="A3695" s="35" t="s">
        <v>8927</v>
      </c>
      <c r="B3695" s="9" t="s">
        <v>8928</v>
      </c>
      <c r="C3695" s="31" t="s">
        <v>8929</v>
      </c>
      <c r="D3695" s="37" t="s">
        <v>14</v>
      </c>
      <c r="E3695" s="38">
        <v>2.0</v>
      </c>
      <c r="F3695" s="38">
        <v>87.0</v>
      </c>
      <c r="G3695" s="11">
        <v>82625.0</v>
      </c>
      <c r="H3695" s="34" t="str">
        <f>IFERROR(__xludf.DUMMYFUNCTION("LOWER(REGEXREPLACE(B3695&amp;"" ""&amp;C3695,""[^а-яa-z0-9 ]"","" ""))"),"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комб"&amp;"инированного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верт"&amp;"икальные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стен"&amp;"ки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f>
        <v>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v>
      </c>
    </row>
    <row r="3696">
      <c r="A3696" s="35" t="s">
        <v>8930</v>
      </c>
      <c r="B3696" s="31" t="s">
        <v>8931</v>
      </c>
      <c r="C3696" s="31" t="s">
        <v>8932</v>
      </c>
      <c r="D3696" s="37" t="s">
        <v>14</v>
      </c>
      <c r="E3696" s="38">
        <v>2.0</v>
      </c>
      <c r="F3696" s="38">
        <v>188.0</v>
      </c>
      <c r="G3696" s="11">
        <v>240650.0</v>
      </c>
      <c r="H3696" s="34" t="str">
        <f>IFERROR(__xludf.DUMMYFUNCTION("LOWER(REGEXREPLACE(B3696&amp;"" ""&amp;C3696,""[^а-яa-z0-9 ]"","" ""))"),"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п"&amp;"олка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од"&amp;"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ос"&amp;"уществляться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расст"&amp;"оянием 128 мм   ебельные ножки должны регулироваться по высоте для компенсации неровностей пола ")</f>
        <v>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расстоянием 128 мм   ебельные ножки должны регулироваться по высоте для компенсации неровностей пола </v>
      </c>
    </row>
    <row r="3697">
      <c r="A3697" s="35" t="s">
        <v>8933</v>
      </c>
      <c r="B3697" s="31" t="s">
        <v>8934</v>
      </c>
      <c r="C3697" s="31"/>
      <c r="D3697" s="37" t="s">
        <v>14</v>
      </c>
      <c r="E3697" s="10"/>
      <c r="F3697" s="36"/>
      <c r="G3697" s="11"/>
      <c r="H3697" s="34" t="str">
        <f>IFERROR(__xludf.DUMMYFUNCTION("LOWER(REGEXREPLACE(B3697&amp;"" ""&amp;C3697,""[^а-яa-z0-9 ]"","" ""))")," каф открытый ")</f>
        <v> каф открытый </v>
      </c>
    </row>
    <row r="3698">
      <c r="A3698" s="35" t="s">
        <v>8935</v>
      </c>
      <c r="B3698" s="9" t="s">
        <v>8936</v>
      </c>
      <c r="C3698" s="31" t="s">
        <v>8937</v>
      </c>
      <c r="D3698" s="37" t="s">
        <v>14</v>
      </c>
      <c r="E3698" s="10"/>
      <c r="F3698" s="36"/>
      <c r="G3698" s="11">
        <v>50929.0</v>
      </c>
      <c r="H3698" s="34" t="str">
        <f>IFERROR(__xludf.DUMMYFUNCTION("LOWER(REGEXREPLACE(B3698&amp;"" ""&amp;C3698,""[^а-яa-z0-9 ]"","" ""))")," каф открытый 800х420х1930 мм       16мм   каф открытый 800х420х1930 мм       16мм ")</f>
        <v> каф открытый 800х420х1930 мм       16мм   каф открытый 800х420х1930 мм       16мм </v>
      </c>
    </row>
    <row r="3699">
      <c r="A3699" s="35" t="s">
        <v>8938</v>
      </c>
      <c r="B3699" s="9" t="s">
        <v>8939</v>
      </c>
      <c r="C3699" s="31" t="s">
        <v>8940</v>
      </c>
      <c r="D3699" s="37" t="s">
        <v>14</v>
      </c>
      <c r="E3699" s="38">
        <v>2.0</v>
      </c>
      <c r="F3699" s="38">
        <v>55.0</v>
      </c>
      <c r="G3699" s="11">
        <v>32251.0</v>
      </c>
      <c r="H3699" s="34" t="str">
        <f>IFERROR(__xludf.DUMMYFUNCTION("LOWER(REGEXREPLACE(B3699&amp;"" ""&amp;C3699,""[^а-яa-z0-9 ]"","" ""))")," каф стеллаж открытый 849х360х1835мм       16мм  каф стеллаж открытый 849х360х1835мм       16мм   ткрытые полки")</f>
        <v> каф стеллаж открытый 849х360х1835мм       16мм  каф стеллаж открытый 849х360х1835мм       16мм   ткрытые полки</v>
      </c>
    </row>
    <row r="3700">
      <c r="A3700" s="35" t="s">
        <v>8941</v>
      </c>
      <c r="B3700" s="31" t="s">
        <v>8942</v>
      </c>
      <c r="C3700" s="31" t="s">
        <v>8943</v>
      </c>
      <c r="D3700" s="37" t="s">
        <v>14</v>
      </c>
      <c r="E3700" s="38">
        <v>2.0</v>
      </c>
      <c r="F3700" s="38">
        <v>88.0</v>
      </c>
      <c r="G3700" s="11">
        <v>72179.0</v>
      </c>
      <c r="H3700" s="34" t="str">
        <f>IFERROR(__xludf.DUMMYFUNCTION("LOWER(REGEXREPLACE(B3700&amp;"" ""&amp;C3700,""[^а-яa-z0-9 ]"","" ""))"),"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ис"&amp;"пользованием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предотвращения"&amp;" воздействия воды и влаги на шкаф предусмотрены 4 ножки высотой 5 см ")</f>
        <v>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701">
      <c r="A3701" s="35" t="s">
        <v>8944</v>
      </c>
      <c r="B3701" s="31" t="s">
        <v>8945</v>
      </c>
      <c r="C3701" s="31" t="s">
        <v>8946</v>
      </c>
      <c r="D3701" s="37" t="s">
        <v>14</v>
      </c>
      <c r="E3701" s="38">
        <v>2.0</v>
      </c>
      <c r="F3701" s="38">
        <v>15.0</v>
      </c>
      <c r="G3701" s="11">
        <v>34106.0</v>
      </c>
      <c r="H3701" s="34" t="str">
        <f>IFERROR(__xludf.DUMMYFUNCTION("LOWER(REGEXREPLACE(B3701&amp;"" ""&amp;C3701,""[^а-яa-z0-9 ]"","" ""))"),"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открыты"&amp;"ми полками")</f>
        <v>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открытыми полками</v>
      </c>
    </row>
    <row r="3702">
      <c r="A3702" s="35" t="s">
        <v>8947</v>
      </c>
      <c r="B3702" s="31" t="s">
        <v>8948</v>
      </c>
      <c r="C3702" s="31" t="s">
        <v>8949</v>
      </c>
      <c r="D3702" s="37" t="s">
        <v>14</v>
      </c>
      <c r="E3702" s="38">
        <v>2.0</v>
      </c>
      <c r="F3702" s="38">
        <v>22.0</v>
      </c>
      <c r="G3702" s="11">
        <v>104115.0</v>
      </c>
      <c r="H3702" s="34" t="str">
        <f>IFERROR(__xludf.DUMMYFUNCTION("LOWER(REGEXREPLACE(B3702&amp;"" ""&amp;C3702,""[^а-яa-z0-9 ]"","" ""))"),"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сквоз"&amp;"ные")</f>
        <v>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сквозные</v>
      </c>
    </row>
    <row r="3703">
      <c r="A3703" s="35" t="s">
        <v>8950</v>
      </c>
      <c r="B3703" s="31" t="s">
        <v>8951</v>
      </c>
      <c r="C3703" s="31" t="s">
        <v>8734</v>
      </c>
      <c r="D3703" s="37" t="s">
        <v>14</v>
      </c>
      <c r="E3703" s="38">
        <v>2.0</v>
      </c>
      <c r="F3703" s="38">
        <v>15.0</v>
      </c>
      <c r="G3703" s="11">
        <v>44193.0</v>
      </c>
      <c r="H3703" s="34" t="str">
        <f>IFERROR(__xludf.DUMMYFUNCTION("LOWER(REGEXREPLACE(B3703&amp;"" ""&amp;C3703,""[^а-яa-z0-9 ]"","" ""))"),"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v>
      </c>
    </row>
    <row r="3704">
      <c r="A3704" s="35" t="s">
        <v>8952</v>
      </c>
      <c r="B3704" s="31" t="s">
        <v>8953</v>
      </c>
      <c r="C3704" s="31" t="s">
        <v>8954</v>
      </c>
      <c r="D3704" s="37" t="s">
        <v>14</v>
      </c>
      <c r="E3704" s="38">
        <v>2.0</v>
      </c>
      <c r="F3704" s="38">
        <v>28.0</v>
      </c>
      <c r="G3704" s="11">
        <v>55846.0</v>
      </c>
      <c r="H3704" s="34" t="str">
        <f>IFERROR(__xludf.DUMMYFUNCTION("LOWER(REGEXREPLACE(B3704&amp;"" ""&amp;C3704,""[^а-яa-z0-9 ]"","" ""))"),"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v>
      </c>
    </row>
    <row r="3705">
      <c r="A3705" s="35" t="s">
        <v>8955</v>
      </c>
      <c r="B3705" s="31" t="s">
        <v>8956</v>
      </c>
      <c r="C3705" s="31" t="s">
        <v>8734</v>
      </c>
      <c r="D3705" s="37" t="s">
        <v>14</v>
      </c>
      <c r="E3705" s="38">
        <v>2.0</v>
      </c>
      <c r="F3705" s="38">
        <v>18.0</v>
      </c>
      <c r="G3705" s="11">
        <v>69423.0</v>
      </c>
      <c r="H3705" s="34" t="str">
        <f>IFERROR(__xludf.DUMMYFUNCTION("LOWER(REGEXREPLACE(B3705&amp;"" ""&amp;C3705,""[^а-яa-z0-9 ]"","" ""))"),"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v>
      </c>
    </row>
    <row r="3706">
      <c r="A3706" s="35" t="s">
        <v>8957</v>
      </c>
      <c r="B3706" s="31" t="s">
        <v>8958</v>
      </c>
      <c r="C3706" s="31" t="s">
        <v>8954</v>
      </c>
      <c r="D3706" s="37" t="s">
        <v>14</v>
      </c>
      <c r="E3706" s="38">
        <v>2.0</v>
      </c>
      <c r="F3706" s="38">
        <v>29.0</v>
      </c>
      <c r="G3706" s="11">
        <v>77034.0</v>
      </c>
      <c r="H3706" s="34" t="str">
        <f>IFERROR(__xludf.DUMMYFUNCTION("LOWER(REGEXREPLACE(B3706&amp;"" ""&amp;C3706,""[^а-яa-z0-9 ]"","" ""))"),"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v>
      </c>
    </row>
    <row r="3707">
      <c r="A3707" s="35" t="s">
        <v>8959</v>
      </c>
      <c r="B3707" s="31" t="s">
        <v>8960</v>
      </c>
      <c r="C3707" s="31" t="s">
        <v>8954</v>
      </c>
      <c r="D3707" s="37" t="s">
        <v>14</v>
      </c>
      <c r="E3707" s="38">
        <v>2.0</v>
      </c>
      <c r="F3707" s="38">
        <v>32.0</v>
      </c>
      <c r="G3707" s="11">
        <v>53088.0</v>
      </c>
      <c r="H3707" s="34" t="str">
        <f>IFERROR(__xludf.DUMMYFUNCTION("LOWER(REGEXREPLACE(B3707&amp;"" ""&amp;C3707,""[^а-яa-z0-9 ]"","" ""))"),"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v>
      </c>
    </row>
    <row r="3708">
      <c r="A3708" s="35" t="s">
        <v>8961</v>
      </c>
      <c r="B3708" s="31" t="s">
        <v>8962</v>
      </c>
      <c r="C3708" s="31" t="s">
        <v>8734</v>
      </c>
      <c r="D3708" s="37" t="s">
        <v>14</v>
      </c>
      <c r="E3708" s="38">
        <v>2.0</v>
      </c>
      <c r="F3708" s="38">
        <v>33.0</v>
      </c>
      <c r="G3708" s="11">
        <v>75789.0</v>
      </c>
      <c r="H3708" s="34" t="str">
        <f>IFERROR(__xludf.DUMMYFUNCTION("LOWER(REGEXREPLACE(B3708&amp;"" ""&amp;C3708,""[^а-яa-z0-9 ]"","" ""))"),"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v>
      </c>
    </row>
    <row r="3709">
      <c r="A3709" s="35" t="s">
        <v>8963</v>
      </c>
      <c r="B3709" s="31" t="s">
        <v>8964</v>
      </c>
      <c r="C3709" s="31" t="s">
        <v>8734</v>
      </c>
      <c r="D3709" s="37" t="s">
        <v>14</v>
      </c>
      <c r="E3709" s="38">
        <v>2.0</v>
      </c>
      <c r="F3709" s="38">
        <v>33.0</v>
      </c>
      <c r="G3709" s="11">
        <v>78311.0</v>
      </c>
      <c r="H3709" s="34" t="str">
        <f>IFERROR(__xludf.DUMMYFUNCTION("LOWER(REGEXREPLACE(B3709&amp;"" ""&amp;C3709,""[^а-яa-z0-9 ]"","" ""))"),"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2"&amp;"7мм")</f>
        <v>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27мм</v>
      </c>
    </row>
    <row r="3710">
      <c r="A3710" s="35" t="s">
        <v>8965</v>
      </c>
      <c r="B3710" s="31" t="s">
        <v>8966</v>
      </c>
      <c r="C3710" s="31" t="s">
        <v>8734</v>
      </c>
      <c r="D3710" s="37" t="s">
        <v>14</v>
      </c>
      <c r="E3710" s="38">
        <v>2.0</v>
      </c>
      <c r="F3710" s="38">
        <v>38.0</v>
      </c>
      <c r="G3710" s="11">
        <v>94723.0</v>
      </c>
      <c r="H3710" s="34" t="str">
        <f>IFERROR(__xludf.DUMMYFUNCTION("LOWER(REGEXREPLACE(B3710&amp;"" ""&amp;C3710,""[^а-яa-z0-9 ]"","" ""))"),"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f>
        <v>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v>
      </c>
    </row>
    <row r="3711">
      <c r="A3711" s="35" t="s">
        <v>8967</v>
      </c>
      <c r="B3711" s="31" t="s">
        <v>8968</v>
      </c>
      <c r="C3711" s="31" t="s">
        <v>8969</v>
      </c>
      <c r="D3711" s="37" t="s">
        <v>14</v>
      </c>
      <c r="E3711" s="38">
        <v>2.0</v>
      </c>
      <c r="F3711" s="38">
        <v>29.0</v>
      </c>
      <c r="G3711" s="11">
        <v>53126.0</v>
      </c>
      <c r="H3711" s="34" t="str">
        <f>IFERROR(__xludf.DUMMYFUNCTION("LOWER(REGEXREPLACE(B3711&amp;"" ""&amp;C3711,""[^а-яa-z0-9 ]"","" ""))"),"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f>
        <v>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v>
      </c>
    </row>
    <row r="3712">
      <c r="A3712" s="35" t="s">
        <v>8970</v>
      </c>
      <c r="B3712" s="31" t="s">
        <v>8971</v>
      </c>
      <c r="C3712" s="31" t="s">
        <v>8972</v>
      </c>
      <c r="D3712" s="37" t="s">
        <v>14</v>
      </c>
      <c r="E3712" s="38">
        <v>2.0</v>
      </c>
      <c r="F3712" s="38">
        <v>36.0</v>
      </c>
      <c r="G3712" s="11">
        <v>89169.0</v>
      </c>
      <c r="H3712" s="34" t="str">
        <f>IFERROR(__xludf.DUMMYFUNCTION("LOWER(REGEXREPLACE(B3712&amp;"" ""&amp;C3712,""[^а-яa-z0-9 ]"","" ""))"),"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"&amp;"либо закрытая   ожки шкафа высотой 100 мм  изготовлена из хромированной трубы с регулируемой пластиковой заглушкой ")</f>
        <v>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либо закрытая   ожки шкафа высотой 100 мм  изготовлена из хромированной трубы с регулируемой пластиковой заглушкой </v>
      </c>
    </row>
    <row r="3713">
      <c r="A3713" s="35" t="s">
        <v>8973</v>
      </c>
      <c r="B3713" s="31" t="s">
        <v>8974</v>
      </c>
      <c r="C3713" s="31" t="s">
        <v>8975</v>
      </c>
      <c r="D3713" s="37" t="s">
        <v>14</v>
      </c>
      <c r="E3713" s="38">
        <v>2.0</v>
      </c>
      <c r="F3713" s="38">
        <v>73.0</v>
      </c>
      <c r="G3713" s="11">
        <v>65766.0</v>
      </c>
      <c r="H3713" s="34" t="str">
        <f>IFERROR(__xludf.DUMMYFUNCTION("LOWER(REGEXREPLACE(B3713&amp;"" ""&amp;C3713,""[^а-яa-z0-9 ]"","" ""))"),"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толщи"&amp;"ной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и"&amp;" влаги на шкаф предусмотрены 4 ножки высотой 5 см  меется крепление стеллажа к стене и между собой ")</f>
        <v>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4">
      <c r="A3714" s="35" t="s">
        <v>8976</v>
      </c>
      <c r="B3714" s="31" t="s">
        <v>8977</v>
      </c>
      <c r="C3714" s="31" t="s">
        <v>8978</v>
      </c>
      <c r="D3714" s="37" t="s">
        <v>14</v>
      </c>
      <c r="E3714" s="38">
        <v>2.0</v>
      </c>
      <c r="F3714" s="38">
        <v>39.0</v>
      </c>
      <c r="G3714" s="11">
        <v>92317.0</v>
      </c>
      <c r="H3714" s="34" t="str">
        <f>IFERROR(__xludf.DUMMYFUNCTION("LOWER(REGEXREPLACE(B3714&amp;"" ""&amp;C3714,""[^а-яa-z0-9 ]"","" ""))"),"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класс"&amp;"а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в"&amp;"лаги предусмотрены 4 ножки высотой 5 см ")</f>
        <v>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715">
      <c r="A3715" s="35" t="s">
        <v>8979</v>
      </c>
      <c r="B3715" s="31" t="s">
        <v>8980</v>
      </c>
      <c r="C3715" s="31" t="s">
        <v>8981</v>
      </c>
      <c r="D3715" s="37" t="s">
        <v>14</v>
      </c>
      <c r="E3715" s="38">
        <v>2.0</v>
      </c>
      <c r="F3715" s="38">
        <v>40.0</v>
      </c>
      <c r="G3715" s="11">
        <v>33397.0</v>
      </c>
      <c r="H3715" s="34" t="str">
        <f>IFERROR(__xludf.DUMMYFUNCTION("LOWER(REGEXREPLACE(B3715&amp;"" ""&amp;C3715,""[^а-яa-z0-9 ]"","" ""))"),"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толщ"&amp;"ина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д"&amp;"етали шкафа фрезеруется канал  в которую монтируется задняя стенка   ля предотвращения воздействия воды и влаги на шкаф предусмотрены 4 ножки высотой 5 см")</f>
        <v>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6">
      <c r="A3716" s="35" t="s">
        <v>8982</v>
      </c>
      <c r="B3716" s="31" t="s">
        <v>8983</v>
      </c>
      <c r="C3716" s="31" t="s">
        <v>8984</v>
      </c>
      <c r="D3716" s="37" t="s">
        <v>14</v>
      </c>
      <c r="E3716" s="38">
        <v>2.0</v>
      </c>
      <c r="F3716" s="38">
        <v>36.0</v>
      </c>
      <c r="G3716" s="11">
        <v>68384.0</v>
      </c>
      <c r="H3716" s="34" t="str">
        <f>IFERROR(__xludf.DUMMYFUNCTION("LOWER(REGEXREPLACE(B3716&amp;"" ""&amp;C3716,""[^а-яa-z0-9 ]"","" ""))"),"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"&amp;"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в"&amp;"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f>
        <v>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7">
      <c r="A3717" s="35" t="s">
        <v>8985</v>
      </c>
      <c r="B3717" s="31" t="s">
        <v>8986</v>
      </c>
      <c r="C3717" s="31" t="s">
        <v>8987</v>
      </c>
      <c r="D3717" s="37" t="s">
        <v>14</v>
      </c>
      <c r="E3717" s="38">
        <v>2.0</v>
      </c>
      <c r="F3717" s="38">
        <v>82.0</v>
      </c>
      <c r="G3717" s="11">
        <v>145424.0</v>
      </c>
      <c r="H3717" s="34" t="str">
        <f>IFERROR(__xludf.DUMMYFUNCTION("LOWER(REGEXREPLACE(B3717&amp;"" ""&amp;C3717,""[^а-яa-z0-9 ]"","" ""))"),"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"&amp;"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которую"&amp;" монтируется задняя стенка   ля предотвращения воздействия воды и влаги на шкаф предусмотрены 4 ножки высотой 5 см")</f>
        <v>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8">
      <c r="A3718" s="35" t="s">
        <v>8988</v>
      </c>
      <c r="B3718" s="31" t="s">
        <v>8989</v>
      </c>
      <c r="C3718" s="31" t="s">
        <v>8990</v>
      </c>
      <c r="D3718" s="37" t="s">
        <v>14</v>
      </c>
      <c r="E3718" s="38">
        <v>2.0</v>
      </c>
      <c r="F3718" s="38">
        <v>34.0</v>
      </c>
      <c r="G3718" s="11">
        <v>102758.0</v>
      </c>
      <c r="H3718" s="34" t="str">
        <f>IFERROR(__xludf.DUMMYFUNCTION("LOWER(REGEXREPLACE(B3718&amp;"" ""&amp;C3718,""[^а-яa-z0-9 ]"","" ""))"),"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"&amp;"ромка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ш"&amp;"каф предусмотрены 4 ножки высотой 5 см  размер 1800 h  1600 400")</f>
        <v>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1600 400</v>
      </c>
    </row>
    <row r="3719">
      <c r="A3719" s="35" t="s">
        <v>8991</v>
      </c>
      <c r="B3719" s="31" t="s">
        <v>8992</v>
      </c>
      <c r="C3719" s="31"/>
      <c r="D3719" s="37" t="s">
        <v>14</v>
      </c>
      <c r="E3719" s="10"/>
      <c r="F3719" s="36"/>
      <c r="G3719" s="11"/>
      <c r="H3719" s="34" t="str">
        <f>IFERROR(__xludf.DUMMYFUNCTION("LOWER(REGEXREPLACE(B3719&amp;"" ""&amp;C3719,""[^а-яa-z0-9 ]"","" ""))")," умба под телевизор ")</f>
        <v> умба под телевизор </v>
      </c>
    </row>
    <row r="3720">
      <c r="A3720" s="35" t="s">
        <v>8993</v>
      </c>
      <c r="B3720" s="31" t="s">
        <v>8994</v>
      </c>
      <c r="C3720" s="31" t="s">
        <v>8995</v>
      </c>
      <c r="D3720" s="37" t="s">
        <v>14</v>
      </c>
      <c r="E3720" s="10"/>
      <c r="F3720" s="36"/>
      <c r="G3720" s="11">
        <v>25319.0</v>
      </c>
      <c r="H3720" s="34" t="str">
        <f>IFERROR(__xludf.DUMMYFUNCTION("LOWER(REGEXREPLACE(B3720&amp;"" ""&amp;C3720,""[^а-яa-z0-9 ]"","" ""))")," умба под телевизор 640х450х561 мм       16мм  умба с выдвижным ящиком и открытыми секциями   азмеры  640х450х561мм       16мм")</f>
        <v> умба под телевизор 640х450х561 мм       16мм  умба с выдвижным ящиком и открытыми секциями   азмеры  640х450х561мм       16мм</v>
      </c>
    </row>
    <row r="3721">
      <c r="A3721" s="35" t="s">
        <v>8996</v>
      </c>
      <c r="B3721" s="31" t="s">
        <v>8997</v>
      </c>
      <c r="C3721" s="31" t="s">
        <v>8998</v>
      </c>
      <c r="D3721" s="37" t="s">
        <v>14</v>
      </c>
      <c r="E3721" s="10"/>
      <c r="F3721" s="36"/>
      <c r="G3721" s="11">
        <v>37804.0</v>
      </c>
      <c r="H3721" s="34" t="str">
        <f>IFERROR(__xludf.DUMMYFUNCTION("LOWER(REGEXREPLACE(B3721&amp;"" ""&amp;C3721,""[^а-яa-z0-9 ]"","" ""))")," умба под телевизор 640х450х600 мм       16мм  умба с 2 мя дверьми и открытой нишей   азмеры 640х450х600 мм       16мм")</f>
        <v> умба под телевизор 640х450х600 мм       16мм  умба с 2 мя дверьми и открытой нишей   азмеры 640х450х600 мм       16мм</v>
      </c>
    </row>
    <row r="3722">
      <c r="A3722" s="35" t="s">
        <v>8999</v>
      </c>
      <c r="B3722" s="31" t="s">
        <v>9000</v>
      </c>
      <c r="C3722" s="31" t="s">
        <v>9000</v>
      </c>
      <c r="D3722" s="37" t="s">
        <v>14</v>
      </c>
      <c r="E3722" s="38">
        <v>2.0</v>
      </c>
      <c r="F3722" s="38">
        <v>10.0</v>
      </c>
      <c r="G3722" s="11">
        <v>18112.0</v>
      </c>
      <c r="H3722" s="34" t="str">
        <f>IFERROR(__xludf.DUMMYFUNCTION("LOWER(REGEXREPLACE(B3722&amp;"" ""&amp;C3722,""[^а-яa-z0-9 ]"","" ""))")," умба мобильная на колесах  3 выдвижных ящика       16 мм  размер 442х534х628мм  умба мобильная на колесах  3 выдвижных ящика       16 мм  размер 442х534х628мм")</f>
        <v> умба мобильная на колесах  3 выдвижных ящика       16 мм  размер 442х534х628мм  умба мобильная на колесах  3 выдвижных ящика       16 мм  размер 442х534х628мм</v>
      </c>
    </row>
    <row r="3723">
      <c r="A3723" s="35" t="s">
        <v>9001</v>
      </c>
      <c r="B3723" s="31" t="s">
        <v>9002</v>
      </c>
      <c r="C3723" s="31" t="s">
        <v>9003</v>
      </c>
      <c r="D3723" s="37" t="s">
        <v>14</v>
      </c>
      <c r="E3723" s="38">
        <v>2.0</v>
      </c>
      <c r="F3723" s="38">
        <v>51.0</v>
      </c>
      <c r="G3723" s="11">
        <v>86709.0</v>
      </c>
      <c r="H3723" s="34" t="str">
        <f>IFERROR(__xludf.DUMMYFUNCTION("LOWER(REGEXREPLACE(B3723&amp;"" ""&amp;C3723,""[^а-яa-z0-9 ]"","" ""))"),"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толщиной"&amp;" 1 5 мм  с 3 мя выдвижными ящиками ")</f>
        <v>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 1 5 мм  с 3 мя выдвижными ящиками </v>
      </c>
    </row>
    <row r="3724">
      <c r="A3724" s="35" t="s">
        <v>9004</v>
      </c>
      <c r="B3724" s="31" t="s">
        <v>9005</v>
      </c>
      <c r="C3724" s="31" t="s">
        <v>9006</v>
      </c>
      <c r="D3724" s="37" t="s">
        <v>14</v>
      </c>
      <c r="E3724" s="38">
        <v>2.0</v>
      </c>
      <c r="F3724" s="38">
        <v>48.0</v>
      </c>
      <c r="G3724" s="11">
        <v>53604.0</v>
      </c>
      <c r="H3724" s="34" t="str">
        <f>IFERROR(__xludf.DUMMYFUNCTION("LOWER(REGEXREPLACE(B3724&amp;"" ""&amp;C3724,""[^а-яa-z0-9 ]"","" ""))"),"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бе"&amp;"з пластиковых элементов   ручка 128 мм   без острых углов   навес мебельный       ножка мебельная   меется два отделения")</f>
        <v>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без пластиковых элементов   ручка 128 мм   без острых углов   навес мебельный       ножка мебельная   меется два отделения</v>
      </c>
    </row>
    <row r="3725">
      <c r="A3725" s="35" t="s">
        <v>9007</v>
      </c>
      <c r="B3725" s="31" t="s">
        <v>9008</v>
      </c>
      <c r="C3725" s="31" t="s">
        <v>9009</v>
      </c>
      <c r="D3725" s="37" t="s">
        <v>14</v>
      </c>
      <c r="E3725" s="38">
        <v>2.0</v>
      </c>
      <c r="F3725" s="39">
        <v>51.3</v>
      </c>
      <c r="G3725" s="11">
        <v>56152.0</v>
      </c>
      <c r="H3725" s="34" t="str">
        <f>IFERROR(__xludf.DUMMYFUNCTION("LOWER(REGEXREPLACE(B3725&amp;"" ""&amp;C3725,""[^а-яa-z0-9 ]"","" ""))"),"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металлическ"&amp;"ие ")</f>
        <v>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металлические </v>
      </c>
    </row>
    <row r="3726">
      <c r="A3726" s="35" t="s">
        <v>9010</v>
      </c>
      <c r="B3726" s="31" t="s">
        <v>9011</v>
      </c>
      <c r="C3726" s="31" t="s">
        <v>9012</v>
      </c>
      <c r="D3726" s="37" t="s">
        <v>14</v>
      </c>
      <c r="E3726" s="38">
        <v>2.0</v>
      </c>
      <c r="F3726" s="39">
        <v>27.4</v>
      </c>
      <c r="G3726" s="11">
        <v>36894.0</v>
      </c>
      <c r="H3726" s="34" t="str">
        <f>IFERROR(__xludf.DUMMYFUNCTION("LOWER(REGEXREPLACE(B3726&amp;"" ""&amp;C3726,""[^а-яa-z0-9 ]"","" ""))"),"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я"&amp;"щика  установленных на шариковые  направляющие   умба устанавливается на колесные опоры   учки металлические ")</f>
        <v>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727">
      <c r="A3727" s="35" t="s">
        <v>9013</v>
      </c>
      <c r="B3727" s="31" t="s">
        <v>9014</v>
      </c>
      <c r="C3727" s="31" t="s">
        <v>9015</v>
      </c>
      <c r="D3727" s="37" t="s">
        <v>14</v>
      </c>
      <c r="E3727" s="38">
        <v>2.0</v>
      </c>
      <c r="F3727" s="38">
        <v>15.0</v>
      </c>
      <c r="G3727" s="11">
        <v>53044.0</v>
      </c>
      <c r="H3727" s="34" t="str">
        <f>IFERROR(__xludf.DUMMYFUNCTION("LOWER(REGEXREPLACE(B3727&amp;"" ""&amp;C3727,""[^а-яa-z0-9 ]"","" ""))"),"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f>
        <v>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v>
      </c>
    </row>
    <row r="3728">
      <c r="A3728" s="35" t="s">
        <v>9016</v>
      </c>
      <c r="B3728" s="31" t="s">
        <v>9017</v>
      </c>
      <c r="C3728" s="31" t="s">
        <v>9018</v>
      </c>
      <c r="D3728" s="37" t="s">
        <v>14</v>
      </c>
      <c r="E3728" s="38">
        <v>2.0</v>
      </c>
      <c r="F3728" s="38">
        <v>36.0</v>
      </c>
      <c r="G3728" s="11">
        <v>50500.0</v>
      </c>
      <c r="H3728" s="34" t="str">
        <f>IFERROR(__xludf.DUMMYFUNCTION("LOWER(REGEXREPLACE(B3728&amp;"" ""&amp;C3728,""[^а-яa-z0-9 ]"","" ""))"),"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f>
        <v>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v>
      </c>
    </row>
    <row r="3729">
      <c r="A3729" s="35" t="s">
        <v>9019</v>
      </c>
      <c r="B3729" s="31" t="s">
        <v>9020</v>
      </c>
      <c r="C3729" s="31" t="s">
        <v>9021</v>
      </c>
      <c r="D3729" s="37" t="s">
        <v>68</v>
      </c>
      <c r="E3729" s="38">
        <v>2.0</v>
      </c>
      <c r="F3729" s="38">
        <v>37.0</v>
      </c>
      <c r="G3729" s="11">
        <v>47351.0</v>
      </c>
      <c r="H3729" s="34" t="str">
        <f>IFERROR(__xludf.DUMMYFUNCTION("LOWER(REGEXREPLACE(B3729&amp;"" ""&amp;C3729,""[^а-яa-z0-9 ]"","" ""))"),"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высокотем"&amp;"пературного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котору"&amp;"ю монтируется задняя стенка   ля предотвращения воздействия воды и влаги на шкаф предусмотрены 4 ножки высотой 5 см")</f>
        <v>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30">
      <c r="A3730" s="35" t="s">
        <v>9022</v>
      </c>
      <c r="B3730" s="31" t="s">
        <v>9023</v>
      </c>
      <c r="C3730" s="31"/>
      <c r="D3730" s="37" t="s">
        <v>14</v>
      </c>
      <c r="E3730" s="10"/>
      <c r="F3730" s="36"/>
      <c r="G3730" s="11"/>
      <c r="H3730" s="34" t="str">
        <f>IFERROR(__xludf.DUMMYFUNCTION("LOWER(REGEXREPLACE(B3730&amp;"" ""&amp;C3730,""[^а-яa-z0-9 ]"","" ""))")," ндивидуальный шкаф для хранения учебников  сменной обуви и спортивных принадлежностей ")</f>
        <v> ндивидуальный шкаф для хранения учебников  сменной обуви и спортивных принадлежностей </v>
      </c>
    </row>
    <row r="3731">
      <c r="A3731" s="35" t="s">
        <v>9024</v>
      </c>
      <c r="B3731" s="31" t="s">
        <v>9025</v>
      </c>
      <c r="C3731" s="31"/>
      <c r="D3731" s="37" t="s">
        <v>14</v>
      </c>
      <c r="E3731" s="10"/>
      <c r="F3731" s="36"/>
      <c r="G3731" s="11">
        <v>109227.0</v>
      </c>
      <c r="H3731" s="34" t="str">
        <f>IFERROR(__xludf.DUMMYFUNCTION("LOWER(REGEXREPLACE(B3731&amp;"" ""&amp;C3731,""[^а-яa-z0-9 ]"","" ""))")," каф локер в 2 уровня на 8 ячеек 1600х400х752 мм ")</f>
        <v> каф локер в 2 уровня на 8 ячеек 1600х400х752 мм </v>
      </c>
    </row>
    <row r="3732">
      <c r="A3732" s="35" t="s">
        <v>9026</v>
      </c>
      <c r="B3732" s="31" t="s">
        <v>9027</v>
      </c>
      <c r="C3732" s="31"/>
      <c r="D3732" s="37" t="s">
        <v>14</v>
      </c>
      <c r="E3732" s="10"/>
      <c r="F3732" s="36"/>
      <c r="G3732" s="11">
        <v>155841.0</v>
      </c>
      <c r="H3732" s="34" t="str">
        <f>IFERROR(__xludf.DUMMYFUNCTION("LOWER(REGEXREPLACE(B3732&amp;"" ""&amp;C3732,""[^а-яa-z0-9 ]"","" ""))")," каф локер в 3 уровня на 12 ячеек 1600х400х1102 мм ")</f>
        <v> каф локер в 3 уровня на 12 ячеек 1600х400х1102 мм </v>
      </c>
    </row>
    <row r="3733">
      <c r="A3733" s="35" t="s">
        <v>9028</v>
      </c>
      <c r="B3733" s="31" t="s">
        <v>9029</v>
      </c>
      <c r="C3733" s="31"/>
      <c r="D3733" s="37" t="s">
        <v>14</v>
      </c>
      <c r="E3733" s="10"/>
      <c r="F3733" s="36"/>
      <c r="G3733" s="11">
        <v>202386.0</v>
      </c>
      <c r="H3733" s="34" t="str">
        <f>IFERROR(__xludf.DUMMYFUNCTION("LOWER(REGEXREPLACE(B3733&amp;"" ""&amp;C3733,""[^а-яa-z0-9 ]"","" ""))")," каф локер в 4 уровня на 16 ячеек 1600х400х1452 мм ")</f>
        <v> каф локер в 4 уровня на 16 ячеек 1600х400х1452 мм </v>
      </c>
    </row>
    <row r="3734">
      <c r="A3734" s="35" t="s">
        <v>9030</v>
      </c>
      <c r="B3734" s="31" t="s">
        <v>9031</v>
      </c>
      <c r="C3734" s="31"/>
      <c r="D3734" s="37" t="s">
        <v>14</v>
      </c>
      <c r="E3734" s="10"/>
      <c r="F3734" s="36"/>
      <c r="G3734" s="11">
        <v>248677.0</v>
      </c>
      <c r="H3734" s="34" t="str">
        <f>IFERROR(__xludf.DUMMYFUNCTION("LOWER(REGEXREPLACE(B3734&amp;"" ""&amp;C3734,""[^а-яa-z0-9 ]"","" ""))")," каф локер в 5 уровней на 20 ячеек 1600х400х1802 мм ")</f>
        <v> каф локер в 5 уровней на 20 ячеек 1600х400х1802 мм </v>
      </c>
    </row>
    <row r="3735">
      <c r="A3735" s="35" t="s">
        <v>9032</v>
      </c>
      <c r="B3735" s="31" t="s">
        <v>9033</v>
      </c>
      <c r="C3735" s="31" t="s">
        <v>9034</v>
      </c>
      <c r="D3735" s="37" t="s">
        <v>14</v>
      </c>
      <c r="E3735" s="38">
        <v>2.0</v>
      </c>
      <c r="F3735" s="38">
        <v>46.0</v>
      </c>
      <c r="G3735" s="11">
        <v>84262.0</v>
      </c>
      <c r="H3735" s="34" t="str">
        <f>IFERROR(__xludf.DUMMYFUNCTION("LOWER(REGEXREPLACE(B3735&amp;"" ""&amp;C3735,""[^а-яa-z0-9 ]"","" ""))"),"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пол"&amp;"ки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f>
        <v>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v>
      </c>
    </row>
    <row r="3736">
      <c r="A3736" s="35" t="s">
        <v>9035</v>
      </c>
      <c r="B3736" s="31" t="s">
        <v>9036</v>
      </c>
      <c r="C3736" s="31" t="s">
        <v>9037</v>
      </c>
      <c r="D3736" s="37" t="s">
        <v>14</v>
      </c>
      <c r="E3736" s="38">
        <v>2.0</v>
      </c>
      <c r="F3736" s="38">
        <v>100.0</v>
      </c>
      <c r="G3736" s="11">
        <v>252189.0</v>
      </c>
      <c r="H3736" s="34" t="str">
        <f>IFERROR(__xludf.DUMMYFUNCTION("LOWER(REGEXREPLACE(B3736&amp;"" ""&amp;C3736,""[^а-яa-z0-9 ]"","" ""))"),"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от"&amp;"сек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электронным"&amp;"и замками   а верхней и нижней части двери имеются винтеляционные отверстия   окрытие шкафа полимерно порошковая краска ")</f>
        <v>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электронными замками   а верхней и нижней части двери имеются винтеляционные отверстия   окрытие шкафа полимерно порошковая краска </v>
      </c>
    </row>
    <row r="3737">
      <c r="A3737" s="35" t="s">
        <v>9038</v>
      </c>
      <c r="B3737" s="31" t="s">
        <v>9039</v>
      </c>
      <c r="C3737" s="31" t="s">
        <v>9040</v>
      </c>
      <c r="D3737" s="37" t="s">
        <v>14</v>
      </c>
      <c r="E3737" s="38">
        <v>2.0</v>
      </c>
      <c r="F3737" s="38">
        <v>145.0</v>
      </c>
      <c r="G3737" s="11">
        <v>351069.0</v>
      </c>
      <c r="H3737" s="34" t="str">
        <f>IFERROR(__xludf.DUMMYFUNCTION("LOWER(REGEXREPLACE(B3737&amp;"" ""&amp;C3737,""[^а-яa-z0-9 ]"","" ""))"),"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четы"&amp;"ре уровня   азмер каждого ящика       300 500 450мм   рисутствует    печать на дверях")</f>
        <v>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четыре уровня   азмер каждого ящика       300 500 450мм   рисутствует    печать на дверях</v>
      </c>
    </row>
    <row r="3738">
      <c r="A3738" s="35" t="s">
        <v>9041</v>
      </c>
      <c r="B3738" s="31" t="s">
        <v>9042</v>
      </c>
      <c r="C3738" s="31" t="s">
        <v>9043</v>
      </c>
      <c r="D3738" s="37" t="s">
        <v>14</v>
      </c>
      <c r="E3738" s="38">
        <v>2.0</v>
      </c>
      <c r="F3738" s="38">
        <v>89.0</v>
      </c>
      <c r="G3738" s="11">
        <v>498586.0</v>
      </c>
      <c r="H3738" s="34" t="str">
        <f>IFERROR(__xludf.DUMMYFUNCTION("LOWER(REGEXREPLACE(B3738&amp;"" ""&amp;C3738,""[^а-яa-z0-9 ]"","" ""))"),"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1"&amp;"02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панел"&amp;"ь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"&amp;"и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самоклеящемс"&amp;"я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"&amp;"катоннового маталла   азмер каждой ячейки 300х450мм")</f>
        <v>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катоннового маталла   азмер каждой ячейки 300х450мм</v>
      </c>
    </row>
    <row r="3739">
      <c r="A3739" s="35" t="s">
        <v>9044</v>
      </c>
      <c r="B3739" s="31" t="s">
        <v>9045</v>
      </c>
      <c r="C3739" s="31" t="s">
        <v>9046</v>
      </c>
      <c r="D3739" s="37" t="s">
        <v>14</v>
      </c>
      <c r="E3739" s="38">
        <v>2.0</v>
      </c>
      <c r="F3739" s="38">
        <v>46.0</v>
      </c>
      <c r="G3739" s="11">
        <v>296754.0</v>
      </c>
      <c r="H3739" s="34" t="str">
        <f>IFERROR(__xludf.DUMMYFUNCTION("LOWER(REGEXREPLACE(B3739&amp;"" ""&amp;C3739,""[^а-яa-z0-9 ]"","" ""))"),"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по"&amp;"д головные уборы")</f>
        <v>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под головные уборы</v>
      </c>
    </row>
    <row r="3740">
      <c r="A3740" s="35" t="s">
        <v>9047</v>
      </c>
      <c r="B3740" s="31" t="s">
        <v>9048</v>
      </c>
      <c r="C3740" s="31" t="s">
        <v>9049</v>
      </c>
      <c r="D3740" s="37" t="s">
        <v>14</v>
      </c>
      <c r="E3740" s="38">
        <v>2.0</v>
      </c>
      <c r="F3740" s="38">
        <v>54.0</v>
      </c>
      <c r="G3740" s="11">
        <v>534040.0</v>
      </c>
      <c r="H3740" s="34" t="str">
        <f>IFERROR(__xludf.DUMMYFUNCTION("LOWER(REGEXREPLACE(B3740&amp;"" ""&amp;C3740,""[^а-яa-z0-9 ]"","" ""))"),"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по"&amp;"д головные уборы")</f>
        <v>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под головные уборы</v>
      </c>
    </row>
    <row r="3741">
      <c r="A3741" s="35" t="s">
        <v>9050</v>
      </c>
      <c r="B3741" s="31" t="s">
        <v>9051</v>
      </c>
      <c r="C3741" s="31" t="s">
        <v>9052</v>
      </c>
      <c r="D3741" s="37" t="s">
        <v>14</v>
      </c>
      <c r="E3741" s="38">
        <v>2.0</v>
      </c>
      <c r="F3741" s="38">
        <v>54.0</v>
      </c>
      <c r="G3741" s="11">
        <v>260974.0</v>
      </c>
      <c r="H3741" s="34" t="str">
        <f>IFERROR(__xludf.DUMMYFUNCTION("LOWER(REGEXREPLACE(B3741&amp;"" ""&amp;C3741,""[^а-яa-z0-9 ]"","" ""))"),"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ламинир"&amp;"ованный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сое"&amp;"диняются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"&amp;"воздействия воды и влаги на шкаф предусмотрены 4 ножки высотой 5 см   абариты       1200 500 1800мм состоит из 16 ящиков  в четыре уровня   азмер каждого ящика       300 500 450мм")</f>
        <v>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воздействия воды и влаги на шкаф предусмотрены 4 ножки высотой 5 см   абариты       1200 500 1800мм состоит из 16 ящиков  в четыре уровня   азмер каждого ящика       300 500 450мм</v>
      </c>
    </row>
    <row r="3742">
      <c r="A3742" s="35" t="s">
        <v>9053</v>
      </c>
      <c r="B3742" s="31" t="s">
        <v>9054</v>
      </c>
      <c r="C3742" s="31" t="s">
        <v>9055</v>
      </c>
      <c r="D3742" s="37" t="s">
        <v>14</v>
      </c>
      <c r="E3742" s="38">
        <v>2.0</v>
      </c>
      <c r="F3742" s="38">
        <v>98.0</v>
      </c>
      <c r="G3742" s="11">
        <v>611171.0</v>
      </c>
      <c r="H3742" s="34" t="str">
        <f>IFERROR(__xludf.DUMMYFUNCTION("LOWER(REGEXREPLACE(B3742&amp;"" ""&amp;C3742,""[^а-яa-z0-9 ]"","" ""))"),"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ад"&amp;"няя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н"&amp;"ижней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f>
        <v>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v>
      </c>
    </row>
    <row r="3743">
      <c r="A3743" s="35" t="s">
        <v>9056</v>
      </c>
      <c r="B3743" s="31" t="s">
        <v>9057</v>
      </c>
      <c r="C3743" s="31" t="s">
        <v>9058</v>
      </c>
      <c r="D3743" s="37" t="s">
        <v>14</v>
      </c>
      <c r="E3743" s="38">
        <v>2.0</v>
      </c>
      <c r="F3743" s="38">
        <v>208.0</v>
      </c>
      <c r="G3743" s="11">
        <v>303084.0</v>
      </c>
      <c r="H3743" s="34" t="str">
        <f>IFERROR(__xludf.DUMMYFUNCTION("LOWER(REGEXREPLACE(B3743&amp;"" ""&amp;C3743,""[^а-яa-z0-9 ]"","" ""))"),"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шкаф"&amp;"а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глубин"&amp;"а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етля"&amp;" для дверок должна быть внешняя с европланкой и функцией  softclose    ебельные ножки должны регулироваться по высоте для компенсации неровностей пола ")</f>
        <v>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744">
      <c r="A3744" s="35" t="s">
        <v>9059</v>
      </c>
      <c r="B3744" s="31" t="s">
        <v>9060</v>
      </c>
      <c r="C3744" s="31" t="s">
        <v>9061</v>
      </c>
      <c r="D3744" s="37" t="s">
        <v>14</v>
      </c>
      <c r="E3744" s="38">
        <v>2.0</v>
      </c>
      <c r="F3744" s="38">
        <v>31.0</v>
      </c>
      <c r="G3744" s="11">
        <v>79799.0</v>
      </c>
      <c r="H3744" s="34" t="str">
        <f>IFERROR(__xludf.DUMMYFUNCTION("LOWER(REGEXREPLACE(B3744&amp;"" ""&amp;C3744,""[^а-яa-z0-9 ]"","" ""))"),"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по"&amp;"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в"&amp;"ырезы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уто"&amp;"лщенных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745">
      <c r="A3745" s="35" t="s">
        <v>9062</v>
      </c>
      <c r="B3745" s="31" t="s">
        <v>9063</v>
      </c>
      <c r="C3745" s="31"/>
      <c r="D3745" s="37" t="s">
        <v>68</v>
      </c>
      <c r="E3745" s="10"/>
      <c r="F3745" s="36"/>
      <c r="G3745" s="11"/>
      <c r="H3745" s="34" t="str">
        <f>IFERROR(__xludf.DUMMYFUNCTION("LOWER(REGEXREPLACE(B3745&amp;"" ""&amp;C3745,""[^а-яa-z0-9 ]"","" ""))")," абочее место библиотекаря ")</f>
        <v> абочее место библиотекаря </v>
      </c>
    </row>
    <row r="3746">
      <c r="A3746" s="35" t="s">
        <v>9064</v>
      </c>
      <c r="B3746" s="31" t="s">
        <v>9065</v>
      </c>
      <c r="C3746" s="31" t="s">
        <v>9066</v>
      </c>
      <c r="D3746" s="37" t="s">
        <v>14</v>
      </c>
      <c r="E3746" s="10"/>
      <c r="F3746" s="36"/>
      <c r="G3746" s="11">
        <v>71608.0</v>
      </c>
      <c r="H3746" s="34" t="str">
        <f>IFERROR(__xludf.DUMMYFUNCTION("LOWER(REGEXREPLACE(B3746&amp;"" ""&amp;C3746,""[^а-яa-z0-9 ]"","" ""))"),"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f>
        <v>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v>
      </c>
    </row>
    <row r="3747">
      <c r="A3747" s="35" t="s">
        <v>9067</v>
      </c>
      <c r="B3747" s="31" t="s">
        <v>9068</v>
      </c>
      <c r="C3747" s="31" t="s">
        <v>9069</v>
      </c>
      <c r="D3747" s="37" t="s">
        <v>14</v>
      </c>
      <c r="E3747" s="38">
        <v>2.0</v>
      </c>
      <c r="F3747" s="38">
        <v>45.0</v>
      </c>
      <c r="G3747" s="11">
        <v>59594.0</v>
      </c>
      <c r="H3747" s="34" t="str">
        <f>IFERROR(__xludf.DUMMYFUNCTION("LOWER(REGEXREPLACE(B3747&amp;"" ""&amp;C3747,""[^а-яa-z0-9 ]"","" ""))"),"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двумя"&amp;"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f>
        <v>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v>
      </c>
    </row>
    <row r="3748">
      <c r="A3748" s="35" t="s">
        <v>9070</v>
      </c>
      <c r="B3748" s="31" t="s">
        <v>9071</v>
      </c>
      <c r="C3748" s="31" t="s">
        <v>9072</v>
      </c>
      <c r="D3748" s="37" t="s">
        <v>14</v>
      </c>
      <c r="E3748" s="38">
        <v>2.0</v>
      </c>
      <c r="F3748" s="38">
        <v>58.0</v>
      </c>
      <c r="G3748" s="11">
        <v>70100.0</v>
      </c>
      <c r="H3748" s="34" t="str">
        <f>IFERROR(__xludf.DUMMYFUNCTION("LOWER(REGEXREPLACE(B3748&amp;"" ""&amp;C3748,""[^а-яa-z0-9 ]"","" ""))"),"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"&amp;"   роликовые направляющие  ручки  без острых углов ")</f>
        <v>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роликовые направляющие  ручки  без острых углов </v>
      </c>
    </row>
    <row r="3749">
      <c r="A3749" s="35" t="s">
        <v>9073</v>
      </c>
      <c r="B3749" s="31" t="s">
        <v>9074</v>
      </c>
      <c r="C3749" s="31" t="s">
        <v>9075</v>
      </c>
      <c r="D3749" s="37" t="s">
        <v>14</v>
      </c>
      <c r="E3749" s="38">
        <v>2.0</v>
      </c>
      <c r="F3749" s="38">
        <v>83.0</v>
      </c>
      <c r="G3749" s="11">
        <v>131322.0</v>
      </c>
      <c r="H3749" s="34" t="str">
        <f>IFERROR(__xludf.DUMMYFUNCTION("LOWER(REGEXREPLACE(B3749&amp;"" ""&amp;C3749,""[^а-яa-z0-9 ]"","" ""))"),"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несущи"&amp;"х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па"&amp;"нели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ме"&amp;"таллические пластины ")</f>
        <v>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750">
      <c r="A3750" s="35" t="s">
        <v>9076</v>
      </c>
      <c r="B3750" s="31" t="s">
        <v>9077</v>
      </c>
      <c r="C3750" s="31" t="s">
        <v>9078</v>
      </c>
      <c r="D3750" s="37" t="s">
        <v>14</v>
      </c>
      <c r="E3750" s="38">
        <v>2.0</v>
      </c>
      <c r="F3750" s="38">
        <v>62.0</v>
      </c>
      <c r="G3750" s="11">
        <v>101575.0</v>
      </c>
      <c r="H3750" s="34" t="str">
        <f>IFERROR(__xludf.DUMMYFUNCTION("LOWER(REGEXREPLACE(B3750&amp;"" ""&amp;C3750,""[^а-яa-z0-9 ]"","" ""))"),"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т"&amp;"олешница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кр"&amp;"епиться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изгота"&amp;"вливаются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пластико"&amp;"выми заглушками   ебельные ножки должны регулироваться по высоте для компенсации неровностей пола ")</f>
        <v>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ебельные ножки должны регулироваться по высоте для компенсации неровностей пола </v>
      </c>
    </row>
    <row r="3751">
      <c r="A3751" s="35" t="s">
        <v>9079</v>
      </c>
      <c r="B3751" s="31" t="s">
        <v>9080</v>
      </c>
      <c r="C3751" s="31"/>
      <c r="D3751" s="37" t="s">
        <v>14</v>
      </c>
      <c r="E3751" s="10"/>
      <c r="F3751" s="36"/>
      <c r="G3751" s="11"/>
      <c r="H3751" s="34" t="str">
        <f>IFERROR(__xludf.DUMMYFUNCTION("LOWER(REGEXREPLACE(B3751&amp;"" ""&amp;C3751,""[^а-яa-z0-9 ]"","" ""))")," каф для читательских формуляров ")</f>
        <v> каф для читательских формуляров </v>
      </c>
    </row>
    <row r="3752">
      <c r="A3752" s="35" t="s">
        <v>9081</v>
      </c>
      <c r="B3752" s="31" t="s">
        <v>9082</v>
      </c>
      <c r="C3752" s="31" t="s">
        <v>9083</v>
      </c>
      <c r="D3752" s="37" t="s">
        <v>14</v>
      </c>
      <c r="E3752" s="10"/>
      <c r="F3752" s="36"/>
      <c r="G3752" s="11">
        <v>76160.0</v>
      </c>
      <c r="H3752" s="34" t="str">
        <f>IFERROR(__xludf.DUMMYFUNCTION("LOWER(REGEXREPLACE(B3752&amp;"" ""&amp;C3752,""[^а-яa-z0-9 ]"","" ""))")," каф для формуляров 1048х450х1150 мм  на 8 ящиков   каф с 8 ящиками под формуляры   каф выполнен из      16 мм   азмеры  1048х450х1150мм")</f>
        <v> каф для формуляров 1048х450х1150 мм  на 8 ящиков   каф с 8 ящиками под формуляры   каф выполнен из      16 мм   азмеры  1048х450х1150мм</v>
      </c>
    </row>
    <row r="3753">
      <c r="A3753" s="35" t="s">
        <v>9084</v>
      </c>
      <c r="B3753" s="31" t="s">
        <v>9085</v>
      </c>
      <c r="C3753" s="31" t="s">
        <v>9086</v>
      </c>
      <c r="D3753" s="37" t="s">
        <v>14</v>
      </c>
      <c r="E3753" s="38">
        <v>2.0</v>
      </c>
      <c r="F3753" s="38">
        <v>55.0</v>
      </c>
      <c r="G3753" s="11">
        <v>70110.0</v>
      </c>
      <c r="H3753" s="34" t="str">
        <f>IFERROR(__xludf.DUMMYFUNCTION("LOWER(REGEXREPLACE(B3753&amp;"" ""&amp;C3753,""[^а-яa-z0-9 ]"","" ""))")," каф стеллаж для картотечных карт  размер 849х376х1835мм       16мм  каф стеллаж для картотечных карт  4 двери и 4 выдвижные полки       16 мм размер 849х376х1835мм")</f>
        <v> каф стеллаж для картотечных карт  размер 849х376х1835мм       16мм  каф стеллаж для картотечных карт  4 двери и 4 выдвижные полки       16 мм размер 849х376х1835мм</v>
      </c>
    </row>
    <row r="3754">
      <c r="A3754" s="35" t="s">
        <v>9087</v>
      </c>
      <c r="B3754" s="31" t="s">
        <v>9088</v>
      </c>
      <c r="C3754" s="31" t="s">
        <v>9089</v>
      </c>
      <c r="D3754" s="37" t="s">
        <v>14</v>
      </c>
      <c r="E3754" s="38">
        <v>2.0</v>
      </c>
      <c r="F3754" s="38">
        <v>90.0</v>
      </c>
      <c r="G3754" s="11">
        <v>77059.0</v>
      </c>
      <c r="H3754" s="34" t="str">
        <f>IFERROR(__xludf.DUMMYFUNCTION("LOWER(REGEXREPLACE(B3754&amp;"" ""&amp;C3754,""[^а-яa-z0-9 ]"","" ""))"),"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выдвижн"&amp;"ых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класса"&amp;"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спо"&amp;"собом канала  ля предотвращения воздействия воды и влаги на шкаф предусмотрены 4 ножки высотой 5 см   абариты 1048х450х1150мм")</f>
        <v>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способом канала  ля предотвращения воздействия воды и влаги на шкаф предусмотрены 4 ножки высотой 5 см   абариты 1048х450х1150мм</v>
      </c>
    </row>
    <row r="3755">
      <c r="A3755" s="35" t="s">
        <v>9090</v>
      </c>
      <c r="B3755" s="31" t="s">
        <v>9091</v>
      </c>
      <c r="C3755" s="31"/>
      <c r="D3755" s="37" t="s">
        <v>14</v>
      </c>
      <c r="E3755" s="10"/>
      <c r="F3755" s="36"/>
      <c r="G3755" s="11"/>
      <c r="H3755" s="34" t="str">
        <f>IFERROR(__xludf.DUMMYFUNCTION("LOWER(REGEXREPLACE(B3755&amp;"" ""&amp;C3755,""[^а-яa-z0-9 ]"","" ""))")," каф картотека ")</f>
        <v> каф картотека </v>
      </c>
    </row>
    <row r="3756">
      <c r="A3756" s="35" t="s">
        <v>9092</v>
      </c>
      <c r="B3756" s="31" t="s">
        <v>9093</v>
      </c>
      <c r="C3756" s="31"/>
      <c r="D3756" s="37" t="s">
        <v>14</v>
      </c>
      <c r="E3756" s="38">
        <v>2.0</v>
      </c>
      <c r="F3756" s="38">
        <v>80.0</v>
      </c>
      <c r="G3756" s="11">
        <v>116189.0</v>
      </c>
      <c r="H3756" s="34" t="str">
        <f>IFERROR(__xludf.DUMMYFUNCTION("LOWER(REGEXREPLACE(B3756&amp;"" ""&amp;C3756,""[^а-яa-z0-9 ]"","" ""))")," каф картотека на 48 ячеек       16 мм  размеры 1170х440х1230мм ")</f>
        <v> каф картотека на 48 ячеек       16 мм  размеры 1170х440х1230мм </v>
      </c>
    </row>
    <row r="3757">
      <c r="A3757" s="35" t="s">
        <v>9094</v>
      </c>
      <c r="B3757" s="31" t="s">
        <v>9095</v>
      </c>
      <c r="C3757" s="31"/>
      <c r="D3757" s="37" t="s">
        <v>14</v>
      </c>
      <c r="E3757" s="38">
        <v>2.0</v>
      </c>
      <c r="F3757" s="38">
        <v>45.0</v>
      </c>
      <c r="G3757" s="11">
        <v>207148.0</v>
      </c>
      <c r="H3757" s="34" t="str">
        <f>IFERROR(__xludf.DUMMYFUNCTION("LOWER(REGEXREPLACE(B3757&amp;"" ""&amp;C3757,""[^а-яa-z0-9 ]"","" ""))")," каф картотека на 48 ячеек       16мм  размеры 1170х440х1230мм  задняя стенка и нижняя часть выдвижных ящиков из ламинированного     5 мм ")</f>
        <v> каф картотека на 48 ячеек       16мм  размеры 1170х440х1230мм  задняя стенка и нижняя часть выдвижных ящиков из ламинированного     5 мм </v>
      </c>
    </row>
    <row r="3758">
      <c r="A3758" s="35" t="s">
        <v>9096</v>
      </c>
      <c r="B3758" s="31" t="s">
        <v>9097</v>
      </c>
      <c r="C3758" s="31"/>
      <c r="D3758" s="37" t="s">
        <v>14</v>
      </c>
      <c r="E3758" s="10"/>
      <c r="F3758" s="36"/>
      <c r="G3758" s="11"/>
      <c r="H3758" s="34" t="str">
        <f>IFERROR(__xludf.DUMMYFUNCTION("LOWER(REGEXREPLACE(B3758&amp;"" ""&amp;C3758,""[^а-яa-z0-9 ]"","" ""))")," теллаж библиотечный ")</f>
        <v> теллаж библиотечный </v>
      </c>
    </row>
    <row r="3759">
      <c r="A3759" s="35" t="s">
        <v>9098</v>
      </c>
      <c r="B3759" s="31" t="s">
        <v>9099</v>
      </c>
      <c r="C3759" s="31" t="s">
        <v>9099</v>
      </c>
      <c r="D3759" s="37" t="s">
        <v>14</v>
      </c>
      <c r="E3759" s="10"/>
      <c r="F3759" s="36"/>
      <c r="G3759" s="11">
        <v>71570.0</v>
      </c>
      <c r="H3759" s="34" t="str">
        <f>IFERROR(__xludf.DUMMYFUNCTION("LOWER(REGEXREPLACE(B3759&amp;"" ""&amp;C3759,""[^а-яa-z0-9 ]"","" ""))"),"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п"&amp;"орошковая ")</f>
        <v>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порошковая </v>
      </c>
    </row>
    <row r="3760">
      <c r="A3760" s="35" t="s">
        <v>9100</v>
      </c>
      <c r="B3760" s="31" t="s">
        <v>9101</v>
      </c>
      <c r="C3760" s="31" t="s">
        <v>9102</v>
      </c>
      <c r="D3760" s="37" t="s">
        <v>14</v>
      </c>
      <c r="E3760" s="38">
        <v>2.0</v>
      </c>
      <c r="F3760" s="38">
        <v>25.0</v>
      </c>
      <c r="G3760" s="11">
        <v>70405.0</v>
      </c>
      <c r="H3760" s="34" t="str">
        <f>IFERROR(__xludf.DUMMYFUNCTION("LOWER(REGEXREPLACE(B3760&amp;"" ""&amp;C3760,""[^а-яa-z0-9 ]"","" ""))"),"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f>
        <v>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v>
      </c>
    </row>
    <row r="3761">
      <c r="A3761" s="35" t="s">
        <v>9103</v>
      </c>
      <c r="B3761" s="31" t="s">
        <v>9104</v>
      </c>
      <c r="C3761" s="31" t="s">
        <v>9104</v>
      </c>
      <c r="D3761" s="37" t="s">
        <v>14</v>
      </c>
      <c r="E3761" s="10"/>
      <c r="F3761" s="36"/>
      <c r="G3761" s="11">
        <v>49317.0</v>
      </c>
      <c r="H3761" s="34" t="str">
        <f>IFERROR(__xludf.DUMMYFUNCTION("LOWER(REGEXREPLACE(B3761&amp;"" ""&amp;C3761,""[^а-яa-z0-9 ]"","" ""))")," теллаж библиотечный 1000х320х2250 мм    открытыми полками для книг       16мм   теллаж библиотечный 1000х320х2250 мм    открытыми полками для книг       16мм ")</f>
        <v> теллаж библиотечный 1000х320х2250 мм    открытыми полками для книг       16мм   теллаж библиотечный 1000х320х2250 мм    открытыми полками для книг       16мм </v>
      </c>
    </row>
    <row r="3762">
      <c r="A3762" s="35" t="s">
        <v>9105</v>
      </c>
      <c r="B3762" s="31" t="s">
        <v>9106</v>
      </c>
      <c r="C3762" s="31" t="s">
        <v>9106</v>
      </c>
      <c r="D3762" s="37" t="s">
        <v>14</v>
      </c>
      <c r="E3762" s="10"/>
      <c r="F3762" s="36"/>
      <c r="G3762" s="11">
        <v>90288.0</v>
      </c>
      <c r="H3762" s="34" t="str">
        <f>IFERROR(__xludf.DUMMYFUNCTION("LOWER(REGEXREPLACE(B3762&amp;"" ""&amp;C3762,""[^а-яa-z0-9 ]"","" ""))"),"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f>
        <v>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v>
      </c>
    </row>
    <row r="3763">
      <c r="A3763" s="35" t="s">
        <v>9107</v>
      </c>
      <c r="B3763" s="31" t="s">
        <v>9108</v>
      </c>
      <c r="C3763" s="31" t="s">
        <v>9109</v>
      </c>
      <c r="D3763" s="37" t="s">
        <v>14</v>
      </c>
      <c r="E3763" s="10"/>
      <c r="F3763" s="36"/>
      <c r="G3763" s="11">
        <v>117357.0</v>
      </c>
      <c r="H3763" s="34" t="str">
        <f>IFERROR(__xludf.DUMMYFUNCTION("LOWER(REGEXREPLACE(B3763&amp;"" ""&amp;C3763,""[^а-яa-z0-9 ]"","" ""))"),"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f>
        <v>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v>
      </c>
    </row>
    <row r="3764">
      <c r="A3764" s="35" t="s">
        <v>9110</v>
      </c>
      <c r="B3764" s="31" t="s">
        <v>9111</v>
      </c>
      <c r="C3764" s="31" t="s">
        <v>9112</v>
      </c>
      <c r="D3764" s="37" t="s">
        <v>14</v>
      </c>
      <c r="E3764" s="38">
        <v>2.0</v>
      </c>
      <c r="F3764" s="38">
        <v>26.0</v>
      </c>
      <c r="G3764" s="11">
        <v>45073.0</v>
      </c>
      <c r="H3764" s="34" t="str">
        <f>IFERROR(__xludf.DUMMYFUNCTION("LOWER(REGEXREPLACE(B3764&amp;"" ""&amp;C3764,""[^а-яa-z0-9 ]"","" ""))"),"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"&amp;" етыре съемные полки       16мм ")</f>
        <v>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етыре съемные полки       16мм </v>
      </c>
    </row>
    <row r="3765">
      <c r="A3765" s="35" t="s">
        <v>9113</v>
      </c>
      <c r="B3765" s="31" t="s">
        <v>9114</v>
      </c>
      <c r="C3765" s="31" t="s">
        <v>9115</v>
      </c>
      <c r="D3765" s="37" t="s">
        <v>68</v>
      </c>
      <c r="E3765" s="38">
        <v>2.0</v>
      </c>
      <c r="F3765" s="38">
        <v>100.0</v>
      </c>
      <c r="G3765" s="11">
        <v>443737.0</v>
      </c>
      <c r="H3765" s="34" t="str">
        <f>IFERROR(__xludf.DUMMYFUNCTION("LOWER(REGEXREPLACE(B3765&amp;"" ""&amp;C3765,""[^а-яa-z0-9 ]"","" ""))"),"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ак"&amp;"симальная нагрузка на полку 25 кг   олщина стойки 16 мм   ращающийся механизм   еталлический каркас   одсветка полок   елфстокеры на полках для наименования книг ")</f>
        <v>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аксимальная нагрузка на полку 25 кг   олщина стойки 16 мм   ращающийся механизм   еталлический каркас   одсветка полок   елфстокеры на полках для наименования книг </v>
      </c>
    </row>
    <row r="3766">
      <c r="A3766" s="35" t="s">
        <v>9116</v>
      </c>
      <c r="B3766" s="31" t="s">
        <v>9117</v>
      </c>
      <c r="C3766" s="31" t="s">
        <v>9118</v>
      </c>
      <c r="D3766" s="37" t="s">
        <v>68</v>
      </c>
      <c r="E3766" s="38">
        <v>2.0</v>
      </c>
      <c r="F3766" s="38">
        <v>250.0</v>
      </c>
      <c r="G3766" s="11">
        <v>3382286.0</v>
      </c>
      <c r="H3766" s="34" t="str">
        <f>IFERROR(__xludf.DUMMYFUNCTION("LOWER(REGEXREPLACE(B3766&amp;"" ""&amp;C3766,""[^а-яa-z0-9 ]"","" ""))"),"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"&amp;"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"&amp;"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встр"&amp;"оены в стол   5   омпьютерная мышь  клавиатура  веб камера                  6     с офлайн библиотекой из 3000 книг отечественной и мировой литературы ")</f>
        <v>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встроены в стол   5   омпьютерная мышь  клавиатура  веб камера                  6     с офлайн библиотекой из 3000 книг отечественной и мировой литературы </v>
      </c>
    </row>
    <row r="3767">
      <c r="A3767" s="35" t="s">
        <v>9119</v>
      </c>
      <c r="B3767" s="31" t="s">
        <v>9120</v>
      </c>
      <c r="C3767" s="31" t="s">
        <v>9121</v>
      </c>
      <c r="D3767" s="37" t="s">
        <v>14</v>
      </c>
      <c r="E3767" s="38">
        <v>2.0</v>
      </c>
      <c r="F3767" s="38">
        <v>46.0</v>
      </c>
      <c r="G3767" s="11">
        <v>115557.0</v>
      </c>
      <c r="H3767" s="34" t="str">
        <f>IFERROR(__xludf.DUMMYFUNCTION("LOWER(REGEXREPLACE(B3767&amp;"" ""&amp;C3767,""[^а-яa-z0-9 ]"","" ""))"),"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8">
      <c r="A3768" s="35" t="s">
        <v>9122</v>
      </c>
      <c r="B3768" s="31" t="s">
        <v>9123</v>
      </c>
      <c r="C3768" s="31" t="s">
        <v>9121</v>
      </c>
      <c r="D3768" s="37" t="s">
        <v>14</v>
      </c>
      <c r="E3768" s="38">
        <v>2.0</v>
      </c>
      <c r="F3768" s="38">
        <v>54.0</v>
      </c>
      <c r="G3768" s="11">
        <v>174132.0</v>
      </c>
      <c r="H3768" s="34" t="str">
        <f>IFERROR(__xludf.DUMMYFUNCTION("LOWER(REGEXREPLACE(B3768&amp;"" ""&amp;C3768,""[^а-яa-z0-9 ]"","" ""))"),"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9">
      <c r="A3769" s="35" t="s">
        <v>9124</v>
      </c>
      <c r="B3769" s="31" t="s">
        <v>9125</v>
      </c>
      <c r="C3769" s="31" t="s">
        <v>9126</v>
      </c>
      <c r="D3769" s="37" t="s">
        <v>14</v>
      </c>
      <c r="E3769" s="38">
        <v>2.0</v>
      </c>
      <c r="F3769" s="38">
        <v>80.0</v>
      </c>
      <c r="G3769" s="11">
        <v>119916.0</v>
      </c>
      <c r="H3769" s="34" t="str">
        <f>IFERROR(__xludf.DUMMYFUNCTION("LOWER(REGEXREPLACE(B3769&amp;"" ""&amp;C3769,""[^а-яa-z0-9 ]"","" ""))"),"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олк"&amp;"и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f>
        <v>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v>
      </c>
    </row>
    <row r="3770">
      <c r="A3770" s="35" t="s">
        <v>9127</v>
      </c>
      <c r="B3770" s="31" t="s">
        <v>9128</v>
      </c>
      <c r="C3770" s="31" t="s">
        <v>9129</v>
      </c>
      <c r="D3770" s="37" t="s">
        <v>14</v>
      </c>
      <c r="E3770" s="38">
        <v>2.0</v>
      </c>
      <c r="F3770" s="38">
        <v>85.0</v>
      </c>
      <c r="G3770" s="11">
        <v>136548.0</v>
      </c>
      <c r="H3770" s="34" t="str">
        <f>IFERROR(__xludf.DUMMYFUNCTION("LOWER(REGEXREPLACE(B3770&amp;"" ""&amp;C3770,""[^а-яa-z0-9 ]"","" ""))"),"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олки"&amp;"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f>
        <v>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v>
      </c>
    </row>
    <row r="3771">
      <c r="A3771" s="35" t="s">
        <v>9130</v>
      </c>
      <c r="B3771" s="31" t="s">
        <v>9131</v>
      </c>
      <c r="C3771" s="31" t="s">
        <v>9132</v>
      </c>
      <c r="D3771" s="37" t="s">
        <v>14</v>
      </c>
      <c r="E3771" s="38">
        <v>2.0</v>
      </c>
      <c r="F3771" s="38">
        <v>85.0</v>
      </c>
      <c r="G3771" s="11">
        <v>60656.0</v>
      </c>
      <c r="H3771" s="34" t="str">
        <f>IFERROR(__xludf.DUMMYFUNCTION("LOWER(REGEXREPLACE(B3771&amp;"" ""&amp;C3771,""[^а-яa-z0-9 ]"","" ""))"),"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50"&amp;"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монтируется"&amp;" задняя стенка   ля предотвращения воздействия воды и влаги на шкаф предусмотрены 4 ножки высотой 5 см  1000х320х2250 мм")</f>
        <v>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1000х320х2250 мм</v>
      </c>
    </row>
    <row r="3772">
      <c r="A3772" s="35" t="s">
        <v>9133</v>
      </c>
      <c r="B3772" s="31" t="s">
        <v>9134</v>
      </c>
      <c r="C3772" s="31" t="s">
        <v>9135</v>
      </c>
      <c r="D3772" s="37" t="s">
        <v>14</v>
      </c>
      <c r="E3772" s="38">
        <v>2.0</v>
      </c>
      <c r="F3772" s="38">
        <v>80.0</v>
      </c>
      <c r="G3772" s="11">
        <v>90239.0</v>
      </c>
      <c r="H3772" s="34" t="str">
        <f>IFERROR(__xludf.DUMMYFUNCTION("LOWER(REGEXREPLACE(B3772&amp;"" ""&amp;C3772,""[^а-яa-z0-9 ]"","" ""))"),"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"&amp;"  олки изготовлены из      16 мм")</f>
        <v>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олки изготовлены из      16 мм</v>
      </c>
    </row>
    <row r="3773">
      <c r="A3773" s="35" t="s">
        <v>9136</v>
      </c>
      <c r="B3773" s="9" t="s">
        <v>9137</v>
      </c>
      <c r="C3773" s="31" t="s">
        <v>9138</v>
      </c>
      <c r="D3773" s="37" t="s">
        <v>14</v>
      </c>
      <c r="E3773" s="38">
        <v>2.0</v>
      </c>
      <c r="F3773" s="38">
        <v>39.0</v>
      </c>
      <c r="G3773" s="11">
        <v>34799.0</v>
      </c>
      <c r="H3773" s="34" t="str">
        <f>IFERROR(__xludf.DUMMYFUNCTION("LOWER(REGEXREPLACE(B3773&amp;"" ""&amp;C3773,""[^а-яa-z0-9 ]"","" ""))"),"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"&amp;"осередине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"&amp;"пола ")</f>
        <v>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4">
      <c r="A3774" s="35" t="s">
        <v>9139</v>
      </c>
      <c r="B3774" s="9" t="s">
        <v>9140</v>
      </c>
      <c r="C3774" s="31" t="s">
        <v>9141</v>
      </c>
      <c r="D3774" s="37" t="s">
        <v>14</v>
      </c>
      <c r="E3774" s="38">
        <v>2.0</v>
      </c>
      <c r="F3774" s="38">
        <v>61.0</v>
      </c>
      <c r="G3774" s="11">
        <v>56539.0</v>
      </c>
      <c r="H3774" s="34" t="str">
        <f>IFERROR(__xludf.DUMMYFUNCTION("LOWER(REGEXREPLACE(B3774&amp;"" ""&amp;C3774,""[^а-яa-z0-9 ]"","" ""))"),"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ос"&amp;"ередине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по"&amp;"ла ")</f>
        <v>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5">
      <c r="A3775" s="35" t="s">
        <v>9142</v>
      </c>
      <c r="B3775" s="9" t="s">
        <v>9143</v>
      </c>
      <c r="C3775" s="31" t="s">
        <v>9144</v>
      </c>
      <c r="D3775" s="37" t="s">
        <v>14</v>
      </c>
      <c r="E3775" s="38">
        <v>2.0</v>
      </c>
      <c r="F3775" s="38">
        <v>26.0</v>
      </c>
      <c r="G3775" s="11">
        <v>33880.0</v>
      </c>
      <c r="H3775" s="34" t="str">
        <f>IFERROR(__xludf.DUMMYFUNCTION("LOWER(REGEXREPLACE(B3775&amp;"" ""&amp;C3775,""[^а-яa-z0-9 ]"","" ""))"),"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рас"&amp;"стоянии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к"&amp;" стене ")</f>
        <v>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 стене </v>
      </c>
    </row>
    <row r="3776">
      <c r="A3776" s="35" t="s">
        <v>9145</v>
      </c>
      <c r="B3776" s="31" t="s">
        <v>9146</v>
      </c>
      <c r="C3776" s="31" t="s">
        <v>9147</v>
      </c>
      <c r="D3776" s="37" t="s">
        <v>14</v>
      </c>
      <c r="E3776" s="38">
        <v>2.0</v>
      </c>
      <c r="F3776" s="38">
        <v>64.0</v>
      </c>
      <c r="G3776" s="11">
        <v>91191.0</v>
      </c>
      <c r="H3776" s="34" t="str">
        <f>IFERROR(__xludf.DUMMYFUNCTION("LOWER(REGEXREPLACE(B3776&amp;"" ""&amp;C3776,""[^а-яa-z0-9 ]"","" ""))"),"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н"&amp;"е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f>
        <v>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v>
      </c>
    </row>
    <row r="3777">
      <c r="A3777" s="35" t="s">
        <v>9148</v>
      </c>
      <c r="B3777" s="31" t="s">
        <v>9149</v>
      </c>
      <c r="C3777" s="31" t="s">
        <v>9150</v>
      </c>
      <c r="D3777" s="37" t="s">
        <v>14</v>
      </c>
      <c r="E3777" s="38">
        <v>2.0</v>
      </c>
      <c r="F3777" s="38">
        <v>33.0</v>
      </c>
      <c r="G3777" s="11">
        <v>54260.0</v>
      </c>
      <c r="H3777" s="34" t="str">
        <f>IFERROR(__xludf.DUMMYFUNCTION("LOWER(REGEXREPLACE(B3777&amp;"" ""&amp;C3777,""[^а-яa-z0-9 ]"","" ""))"),"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"&amp;"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метал"&amp;"лическими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металлическую"&amp;" пластину шурупом не менее 4х20 мм   оковые опоры должны иметь регулируемые опоры ")</f>
        <v>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8">
      <c r="A3778" s="35" t="s">
        <v>9151</v>
      </c>
      <c r="B3778" s="31" t="s">
        <v>9152</v>
      </c>
      <c r="C3778" s="31" t="s">
        <v>9153</v>
      </c>
      <c r="D3778" s="37" t="s">
        <v>14</v>
      </c>
      <c r="E3778" s="38">
        <v>2.0</v>
      </c>
      <c r="F3778" s="38">
        <v>54.0</v>
      </c>
      <c r="G3778" s="11">
        <v>86821.0</v>
      </c>
      <c r="H3778" s="34" t="str">
        <f>IFERROR(__xludf.DUMMYFUNCTION("LOWER(REGEXREPLACE(B3778&amp;"" ""&amp;C3778,""[^а-яa-z0-9 ]"","" ""))"),"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полимерн"&amp;"ой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быть"&amp;"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мм"&amp;" к рамке через металлическую пластину шурупом не менее 4х20 мм   оковые опоры должны иметь регулируемые опоры ")</f>
        <v>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9">
      <c r="A3779" s="35" t="s">
        <v>9154</v>
      </c>
      <c r="B3779" s="31" t="s">
        <v>9155</v>
      </c>
      <c r="C3779" s="31" t="s">
        <v>9156</v>
      </c>
      <c r="D3779" s="37" t="s">
        <v>14</v>
      </c>
      <c r="E3779" s="38">
        <v>2.0</v>
      </c>
      <c r="F3779" s="38">
        <v>36.0</v>
      </c>
      <c r="G3779" s="11">
        <v>67262.0</v>
      </c>
      <c r="H3779" s="34" t="str">
        <f>IFERROR(__xludf.DUMMYFUNCTION("LOWER(REGEXREPLACE(B3779&amp;"" ""&amp;C3779,""[^а-яa-z0-9 ]"","" ""))"),"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полимер"&amp;"ной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быт"&amp;"ь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694х294"&amp;" мм к рамке через металлическую пластину шурупом не менее 4х20 мм   оковые опоры должны иметь регулируемые опоры ")</f>
        <v>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 мм к рамке через металлическую пластину шурупом не менее 4х20 мм   оковые опоры должны иметь регулируемые опоры </v>
      </c>
    </row>
    <row r="3780">
      <c r="A3780" s="35" t="s">
        <v>9157</v>
      </c>
      <c r="B3780" s="9" t="s">
        <v>9158</v>
      </c>
      <c r="C3780" s="31" t="s">
        <v>9159</v>
      </c>
      <c r="D3780" s="37" t="s">
        <v>14</v>
      </c>
      <c r="E3780" s="38">
        <v>2.0</v>
      </c>
      <c r="F3780" s="38">
        <v>98.0</v>
      </c>
      <c r="G3780" s="11">
        <v>145455.0</v>
      </c>
      <c r="H3780" s="34" t="str">
        <f>IFERROR(__xludf.DUMMYFUNCTION("LOWER(REGEXREPLACE(B3780&amp;"" ""&amp;C3780,""[^а-яa-z0-9 ]"","" ""))"),"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ниш"&amp;"ами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д"&amp;"олжны быть регулируемые по высоте для компенсации неровностей пола ")</f>
        <v>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1">
      <c r="A3781" s="35" t="s">
        <v>9160</v>
      </c>
      <c r="B3781" s="9" t="s">
        <v>9161</v>
      </c>
      <c r="C3781" s="31" t="s">
        <v>9162</v>
      </c>
      <c r="D3781" s="37" t="s">
        <v>14</v>
      </c>
      <c r="E3781" s="38">
        <v>2.0</v>
      </c>
      <c r="F3781" s="38">
        <v>105.0</v>
      </c>
      <c r="G3781" s="11">
        <v>171464.0</v>
      </c>
      <c r="H3781" s="34" t="str">
        <f>IFERROR(__xludf.DUMMYFUNCTION("LOWER(REGEXREPLACE(B3781&amp;"" ""&amp;C3781,""[^а-яa-z0-9 ]"","" ""))"),"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"&amp;"двумя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"&amp;"ножки должны быть регулируемые по высоте для компенсации неровностей пола ")</f>
        <v>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2">
      <c r="A3782" s="35" t="s">
        <v>9163</v>
      </c>
      <c r="B3782" s="31" t="s">
        <v>9164</v>
      </c>
      <c r="C3782" s="31" t="s">
        <v>9165</v>
      </c>
      <c r="D3782" s="37" t="s">
        <v>14</v>
      </c>
      <c r="E3782" s="38">
        <v>2.0</v>
      </c>
      <c r="F3782" s="38">
        <v>40.0</v>
      </c>
      <c r="G3782" s="11">
        <v>66196.0</v>
      </c>
      <c r="H3782" s="34" t="str">
        <f>IFERROR(__xludf.DUMMYFUNCTION("LOWER(REGEXREPLACE(B3782&amp;"" ""&amp;C3782,""[^а-яa-z0-9 ]"","" ""))"),"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в"&amp;"ыполнен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f>
        <v>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v>
      </c>
    </row>
    <row r="3783">
      <c r="A3783" s="35" t="s">
        <v>9166</v>
      </c>
      <c r="B3783" s="9" t="s">
        <v>9167</v>
      </c>
      <c r="C3783" s="31" t="s">
        <v>9168</v>
      </c>
      <c r="D3783" s="37" t="s">
        <v>14</v>
      </c>
      <c r="E3783" s="38">
        <v>2.0</v>
      </c>
      <c r="F3783" s="38">
        <v>52.0</v>
      </c>
      <c r="G3783" s="11">
        <v>132278.0</v>
      </c>
      <c r="H3783" s="34" t="str">
        <f>IFERROR(__xludf.DUMMYFUNCTION("LOWER(REGEXREPLACE(B3783&amp;"" ""&amp;C3783,""[^а-яa-z0-9 ]"","" ""))"),"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460"&amp;"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разл"&amp;"ичных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выпо"&amp;"лненный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элементов"&amp;"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4">
      <c r="A3784" s="35" t="s">
        <v>9169</v>
      </c>
      <c r="B3784" s="31" t="s">
        <v>9170</v>
      </c>
      <c r="C3784" s="31" t="s">
        <v>9171</v>
      </c>
      <c r="D3784" s="37" t="s">
        <v>14</v>
      </c>
      <c r="E3784" s="38">
        <v>2.0</v>
      </c>
      <c r="F3784" s="38">
        <v>64.0</v>
      </c>
      <c r="G3784" s="11">
        <v>320685.0</v>
      </c>
      <c r="H3784" s="34" t="str">
        <f>IFERROR(__xludf.DUMMYFUNCTION("LOWER(REGEXREPLACE(B3784&amp;"" ""&amp;C3784,""[^а-яa-z0-9 ]"","" ""))"),"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быть"&amp;"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"&amp;"изготовления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5">
      <c r="A3785" s="35" t="s">
        <v>9172</v>
      </c>
      <c r="B3785" s="31" t="s">
        <v>9173</v>
      </c>
      <c r="C3785" s="31" t="s">
        <v>9174</v>
      </c>
      <c r="D3785" s="37" t="s">
        <v>14</v>
      </c>
      <c r="E3785" s="38">
        <v>2.0</v>
      </c>
      <c r="F3785" s="38">
        <v>78.0</v>
      </c>
      <c r="G3785" s="11">
        <v>268781.0</v>
      </c>
      <c r="H3785" s="34" t="str">
        <f>IFERROR(__xludf.DUMMYFUNCTION("LOWER(REGEXREPLACE(B3785&amp;"" ""&amp;C3785,""[^а-яa-z0-9 ]"","" ""))"),"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изготовлено"&amp;"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"&amp;"ромка из     должна быть толщиной не менее 0 4 мм   ебельные ножки должны быть регулируемые по высоте для компенсации неровностей пола ")</f>
        <v>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6">
      <c r="A3786" s="35" t="s">
        <v>9175</v>
      </c>
      <c r="B3786" s="31" t="s">
        <v>9176</v>
      </c>
      <c r="C3786" s="31" t="s">
        <v>9177</v>
      </c>
      <c r="D3786" s="37" t="s">
        <v>14</v>
      </c>
      <c r="E3786" s="38">
        <v>2.0</v>
      </c>
      <c r="F3786" s="38">
        <v>29.0</v>
      </c>
      <c r="G3786" s="11">
        <v>41686.0</v>
      </c>
      <c r="H3786" s="34" t="str">
        <f>IFERROR(__xludf.DUMMYFUNCTION("LOWER(REGEXREPLACE(B3786&amp;"" ""&amp;C3786,""[^а-яa-z0-9 ]"","" ""))"),"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аклон"&amp;"ные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f>
        <v>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v>
      </c>
    </row>
    <row r="3787">
      <c r="A3787" s="35" t="s">
        <v>9178</v>
      </c>
      <c r="B3787" s="31" t="s">
        <v>9179</v>
      </c>
      <c r="C3787" s="31" t="s">
        <v>9180</v>
      </c>
      <c r="D3787" s="37" t="s">
        <v>14</v>
      </c>
      <c r="E3787" s="38">
        <v>2.0</v>
      </c>
      <c r="F3787" s="38">
        <v>33.0</v>
      </c>
      <c r="G3787" s="11">
        <v>33909.0</v>
      </c>
      <c r="H3787" s="34" t="str">
        <f>IFERROR(__xludf.DUMMYFUNCTION("LOWER(REGEXREPLACE(B3787&amp;"" ""&amp;C3787,""[^а-яa-z0-9 ]"","" ""))"),"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м"&amp;"енее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уст"&amp;"ановки креп жных изделий должны быть закрыты заглушками  ебельные ножки должны регулироваться по высоте для компенсации неровностей пола ")</f>
        <v>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установки креп жных изделий должны быть закрыты заглушками  ебельные ножки должны регулироваться по высоте для компенсации неровностей пола </v>
      </c>
    </row>
    <row r="3788">
      <c r="A3788" s="35" t="s">
        <v>9181</v>
      </c>
      <c r="B3788" s="31" t="s">
        <v>9182</v>
      </c>
      <c r="C3788" s="31" t="s">
        <v>9183</v>
      </c>
      <c r="D3788" s="37" t="s">
        <v>14</v>
      </c>
      <c r="E3788" s="38">
        <v>2.0</v>
      </c>
      <c r="F3788" s="38">
        <v>20.0</v>
      </c>
      <c r="G3788" s="11">
        <v>29309.0</v>
      </c>
      <c r="H3788" s="34" t="str">
        <f>IFERROR(__xludf.DUMMYFUNCTION("LOWER(REGEXREPLACE(B3788&amp;"" ""&amp;C3788,""[^а-яa-z0-9 ]"","" ""))"),"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произ"&amp;"водиться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ре"&amp;"дусмотрено крепление модуля к стене ")</f>
        <v>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редусмотрено крепление модуля к стене </v>
      </c>
    </row>
    <row r="3789">
      <c r="A3789" s="35" t="s">
        <v>9184</v>
      </c>
      <c r="B3789" s="31" t="s">
        <v>9185</v>
      </c>
      <c r="C3789" s="31" t="s">
        <v>9186</v>
      </c>
      <c r="D3789" s="37" t="s">
        <v>14</v>
      </c>
      <c r="E3789" s="38">
        <v>2.0</v>
      </c>
      <c r="F3789" s="38">
        <v>37.0</v>
      </c>
      <c r="G3789" s="11">
        <v>51678.0</v>
      </c>
      <c r="H3789" s="34" t="str">
        <f>IFERROR(__xludf.DUMMYFUNCTION("LOWER(REGEXREPLACE(B3789&amp;"" ""&amp;C3789,""[^а-яa-z0-9 ]"","" ""))"),"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прои"&amp;"зводиться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"&amp;" редусмотрено крепление модуля к стене ")</f>
        <v>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редусмотрено крепление модуля к стене </v>
      </c>
    </row>
    <row r="3790">
      <c r="A3790" s="35" t="s">
        <v>9187</v>
      </c>
      <c r="B3790" s="31" t="s">
        <v>9188</v>
      </c>
      <c r="C3790" s="31" t="s">
        <v>9189</v>
      </c>
      <c r="D3790" s="37" t="s">
        <v>14</v>
      </c>
      <c r="E3790" s="38">
        <v>2.0</v>
      </c>
      <c r="F3790" s="38">
        <v>29.0</v>
      </c>
      <c r="G3790" s="11">
        <v>30428.0</v>
      </c>
      <c r="H3790" s="34" t="str">
        <f>IFERROR(__xludf.DUMMYFUNCTION("LOWER(REGEXREPLACE(B3790&amp;"" ""&amp;C3790,""[^а-яa-z0-9 ]"","" ""))"),"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ром"&amp;"ка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модуля"&amp;" к стене ")</f>
        <v>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 к стене </v>
      </c>
    </row>
    <row r="3791">
      <c r="A3791" s="35" t="s">
        <v>9190</v>
      </c>
      <c r="B3791" s="31" t="s">
        <v>9191</v>
      </c>
      <c r="C3791" s="31"/>
      <c r="D3791" s="37" t="s">
        <v>14</v>
      </c>
      <c r="E3791" s="10"/>
      <c r="F3791" s="36"/>
      <c r="G3791" s="11"/>
      <c r="H3791" s="34" t="str">
        <f>IFERROR(__xludf.DUMMYFUNCTION("LOWER(REGEXREPLACE(B3791&amp;"" ""&amp;C3791,""[^а-яa-z0-9 ]"","" ""))")," рибуна лекторская ")</f>
        <v> рибуна лекторская </v>
      </c>
    </row>
    <row r="3792">
      <c r="A3792" s="35" t="s">
        <v>9192</v>
      </c>
      <c r="B3792" s="31" t="s">
        <v>9193</v>
      </c>
      <c r="C3792" s="31" t="s">
        <v>9194</v>
      </c>
      <c r="D3792" s="37" t="s">
        <v>14</v>
      </c>
      <c r="E3792" s="38">
        <v>2.0</v>
      </c>
      <c r="F3792" s="38">
        <v>21.0</v>
      </c>
      <c r="G3792" s="11">
        <v>30382.0</v>
      </c>
      <c r="H3792" s="34" t="str">
        <f>IFERROR(__xludf.DUMMYFUNCTION("LOWER(REGEXREPLACE(B3792&amp;"" ""&amp;C3792,""[^а-яa-z0-9 ]"","" ""))"),"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подпятни"&amp;"ки ")</f>
        <v>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подпятники </v>
      </c>
    </row>
    <row r="3793">
      <c r="A3793" s="35" t="s">
        <v>9195</v>
      </c>
      <c r="B3793" s="31" t="s">
        <v>9196</v>
      </c>
      <c r="C3793" s="31" t="s">
        <v>9196</v>
      </c>
      <c r="D3793" s="37" t="s">
        <v>14</v>
      </c>
      <c r="E3793" s="38">
        <v>2.0</v>
      </c>
      <c r="F3793" s="38">
        <v>28.0</v>
      </c>
      <c r="G3793" s="11">
        <v>31755.0</v>
      </c>
      <c r="H3793" s="34" t="str">
        <f>IFERROR(__xludf.DUMMYFUNCTION("LOWER(REGEXREPLACE(B3793&amp;"" ""&amp;C3793,""[^а-яa-z0-9 ]"","" ""))")," рибуна 700х490х1240 мм       16мм  рибуна 700х490х1240 мм       16мм")</f>
        <v> рибуна 700х490х1240 мм       16мм  рибуна 700х490х1240 мм       16мм</v>
      </c>
    </row>
    <row r="3794">
      <c r="A3794" s="35" t="s">
        <v>9197</v>
      </c>
      <c r="B3794" s="31" t="s">
        <v>9198</v>
      </c>
      <c r="C3794" s="31" t="s">
        <v>9199</v>
      </c>
      <c r="D3794" s="37" t="s">
        <v>14</v>
      </c>
      <c r="E3794" s="38">
        <v>2.0</v>
      </c>
      <c r="F3794" s="38">
        <v>25.0</v>
      </c>
      <c r="G3794" s="11">
        <v>25277.0</v>
      </c>
      <c r="H3794" s="34" t="str">
        <f>IFERROR(__xludf.DUMMYFUNCTION("LOWER(REGEXREPLACE(B3794&amp;"" ""&amp;C3794,""[^а-яa-z0-9 ]"","" ""))")," пич трибуна 600х500х1195 мм  атериал        толщиной 16 мм     ромки деталей облицованы полимерным кромочным материалам        толщиной 1 5 мм   урнитура  конфирматы  стяжка типа     ")</f>
        <v> пич трибуна 600х500х1195 мм  атериал        толщиной 16 мм     ромки деталей облицованы полимерным кромочным материалам        толщиной 1 5 мм   урнитура  конфирматы  стяжка типа     </v>
      </c>
    </row>
    <row r="3795">
      <c r="A3795" s="35" t="s">
        <v>9200</v>
      </c>
      <c r="B3795" s="31" t="s">
        <v>9201</v>
      </c>
      <c r="C3795" s="31" t="s">
        <v>9202</v>
      </c>
      <c r="D3795" s="37" t="s">
        <v>14</v>
      </c>
      <c r="E3795" s="38">
        <v>2.0</v>
      </c>
      <c r="F3795" s="38">
        <v>42.0</v>
      </c>
      <c r="G3795" s="11">
        <v>31699.0</v>
      </c>
      <c r="H3795" s="34" t="str">
        <f>IFERROR(__xludf.DUMMYFUNCTION("LOWER(REGEXREPLACE(B3795&amp;"" ""&amp;C3795,""[^а-яa-z0-9 ]"","" ""))"),"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соединяетс"&amp;"я с помощью системой  inifiх  имеются 2 зафиксированные полки     верхней полке имеется бортик в 40 мм  для удержания жокументов   абариты 640 470 1125мм с полкой  бортами")</f>
        <v>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соединяется с помощью системой  inifiх  имеются 2 зафиксированные полки     верхней полке имеется бортик в 40 мм  для удержания жокументов   абариты 640 470 1125мм с полкой  бортами</v>
      </c>
    </row>
    <row r="3796">
      <c r="A3796" s="35" t="s">
        <v>9203</v>
      </c>
      <c r="B3796" s="31" t="s">
        <v>9204</v>
      </c>
      <c r="C3796" s="31" t="s">
        <v>9205</v>
      </c>
      <c r="D3796" s="37" t="s">
        <v>14</v>
      </c>
      <c r="E3796" s="38">
        <v>2.0</v>
      </c>
      <c r="F3796" s="39">
        <v>18.7</v>
      </c>
      <c r="G3796" s="11">
        <v>25001.0</v>
      </c>
      <c r="H3796" s="34" t="str">
        <f>IFERROR(__xludf.DUMMYFUNCTION("LOWER(REGEXREPLACE(B3796&amp;"" ""&amp;C3796,""[^а-яa-z0-9 ]"","" ""))")," пич трибуна 550х500х1200мм       16мм  пич трибуна выполнена из      16мм  торцы обработаны кромкой     толщиной 2мм ")</f>
        <v> пич трибуна 550х500х1200мм       16мм  пич трибуна выполнена из      16мм  торцы обработаны кромкой     толщиной 2мм </v>
      </c>
    </row>
    <row r="3797">
      <c r="A3797" s="35" t="s">
        <v>9206</v>
      </c>
      <c r="B3797" s="31" t="s">
        <v>9207</v>
      </c>
      <c r="C3797" s="31"/>
      <c r="D3797" s="37" t="s">
        <v>14</v>
      </c>
      <c r="E3797" s="10"/>
      <c r="F3797" s="36"/>
      <c r="G3797" s="11"/>
      <c r="H3797" s="34" t="str">
        <f>IFERROR(__xludf.DUMMYFUNCTION("LOWER(REGEXREPLACE(B3797&amp;"" ""&amp;C3797,""[^а-яa-z0-9 ]"","" ""))")," оска классная ")</f>
        <v> оска классная </v>
      </c>
    </row>
    <row r="3798">
      <c r="A3798" s="35" t="s">
        <v>9208</v>
      </c>
      <c r="B3798" s="31" t="s">
        <v>9209</v>
      </c>
      <c r="C3798" s="31" t="s">
        <v>9209</v>
      </c>
      <c r="D3798" s="37" t="s">
        <v>14</v>
      </c>
      <c r="E3798" s="10"/>
      <c r="F3798" s="36"/>
      <c r="G3798" s="11">
        <v>36270.0</v>
      </c>
      <c r="H3798" s="34" t="str">
        <f>IFERROR(__xludf.DUMMYFUNCTION("LOWER(REGEXREPLACE(B3798&amp;"" ""&amp;C3798,""[^а-яa-z0-9 ]"","" ""))")," оска классная настенная магнитно меловая   азмер 1500х1000мм   оска классная настенная магнитно меловая   азмер 1500х1000мм ")</f>
        <v> оска классная настенная магнитно меловая   азмер 1500х1000мм   оска классная настенная магнитно меловая   азмер 1500х1000мм </v>
      </c>
    </row>
    <row r="3799">
      <c r="A3799" s="35" t="s">
        <v>9210</v>
      </c>
      <c r="B3799" s="31" t="s">
        <v>9211</v>
      </c>
      <c r="C3799" s="31" t="s">
        <v>9211</v>
      </c>
      <c r="D3799" s="37" t="s">
        <v>14</v>
      </c>
      <c r="E3799" s="10"/>
      <c r="F3799" s="36"/>
      <c r="G3799" s="11">
        <v>41016.0</v>
      </c>
      <c r="H3799" s="34" t="str">
        <f>IFERROR(__xludf.DUMMYFUNCTION("LOWER(REGEXREPLACE(B3799&amp;"" ""&amp;C3799,""[^а-яa-z0-9 ]"","" ""))")," оска классная настенная магнитно меловая   азмер 1700х1000мм   оска классная настенная магнитно меловая   азмер 1700х1000мм ")</f>
        <v> оска классная настенная магнитно меловая   азмер 1700х1000мм   оска классная настенная магнитно меловая   азмер 1700х1000мм </v>
      </c>
    </row>
    <row r="3800">
      <c r="A3800" s="35" t="s">
        <v>9212</v>
      </c>
      <c r="B3800" s="9" t="s">
        <v>9213</v>
      </c>
      <c r="C3800" s="31" t="s">
        <v>9214</v>
      </c>
      <c r="D3800" s="37" t="s">
        <v>14</v>
      </c>
      <c r="E3800" s="38">
        <v>2.0</v>
      </c>
      <c r="F3800" s="40">
        <v>4.65</v>
      </c>
      <c r="G3800" s="11">
        <v>40486.0</v>
      </c>
      <c r="H3800" s="34" t="str">
        <f>IFERROR(__xludf.DUMMYFUNCTION("LOWER(REGEXREPLACE(B3800&amp;"" ""&amp;C3800,""[^а-яa-z0-9 ]"","" ""))"),"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л"&amp;"оток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f>
        <v>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v>
      </c>
    </row>
    <row r="3801">
      <c r="A3801" s="35" t="s">
        <v>9215</v>
      </c>
      <c r="B3801" s="31" t="s">
        <v>9216</v>
      </c>
      <c r="C3801" s="31"/>
      <c r="D3801" s="37" t="s">
        <v>14</v>
      </c>
      <c r="E3801" s="10"/>
      <c r="F3801" s="36"/>
      <c r="G3801" s="11"/>
      <c r="H3801" s="34" t="str">
        <f>IFERROR(__xludf.DUMMYFUNCTION("LOWER(REGEXREPLACE(B3801&amp;"" ""&amp;C3801,""[^а-яa-z0-9 ]"","" ""))")," оска магнитная пробковая ")</f>
        <v> оска магнитная пробковая </v>
      </c>
    </row>
    <row r="3802">
      <c r="A3802" s="35" t="s">
        <v>9217</v>
      </c>
      <c r="B3802" s="31" t="s">
        <v>9218</v>
      </c>
      <c r="C3802" s="31"/>
      <c r="D3802" s="37" t="s">
        <v>14</v>
      </c>
      <c r="E3802" s="10"/>
      <c r="F3802" s="36"/>
      <c r="G3802" s="11">
        <v>4511.0</v>
      </c>
      <c r="H3802" s="34" t="str">
        <f>IFERROR(__xludf.DUMMYFUNCTION("LOWER(REGEXREPLACE(B3802&amp;"" ""&amp;C3802,""[^а-яa-z0-9 ]"","" ""))")," оска магнитно маркерная пробковая  omix   4560   560х410 мм   hite ")</f>
        <v> оска магнитно маркерная пробковая  omix   4560   560х410 мм   hite </v>
      </c>
    </row>
    <row r="3803">
      <c r="A3803" s="35" t="s">
        <v>9219</v>
      </c>
      <c r="B3803" s="31" t="s">
        <v>9220</v>
      </c>
      <c r="C3803" s="31"/>
      <c r="D3803" s="37" t="s">
        <v>14</v>
      </c>
      <c r="E3803" s="10"/>
      <c r="F3803" s="36"/>
      <c r="G3803" s="11">
        <v>4511.0</v>
      </c>
      <c r="H3803" s="34" t="str">
        <f>IFERROR(__xludf.DUMMYFUNCTION("LOWER(REGEXREPLACE(B3803&amp;"" ""&amp;C3803,""[^а-яa-z0-9 ]"","" ""))")," оска магнитно маркерная пробковая  omix   4560   560х410 мм   hite ")</f>
        <v> оска магнитно маркерная пробковая  omix   4560   560х410 мм   hite </v>
      </c>
    </row>
    <row r="3804">
      <c r="A3804" s="35" t="s">
        <v>9221</v>
      </c>
      <c r="B3804" s="31" t="s">
        <v>9222</v>
      </c>
      <c r="C3804" s="31"/>
      <c r="D3804" s="37" t="s">
        <v>14</v>
      </c>
      <c r="E3804" s="10"/>
      <c r="F3804" s="36"/>
      <c r="G3804" s="11"/>
      <c r="H3804" s="34" t="str">
        <f>IFERROR(__xludf.DUMMYFUNCTION("LOWER(REGEXREPLACE(B3804&amp;"" ""&amp;C3804,""[^а-яa-z0-9 ]"","" ""))")," оска настенная аудиторная ")</f>
        <v> оска настенная аудиторная </v>
      </c>
    </row>
    <row r="3805">
      <c r="A3805" s="35" t="s">
        <v>9223</v>
      </c>
      <c r="B3805" s="9" t="s">
        <v>9224</v>
      </c>
      <c r="C3805" s="31" t="s">
        <v>9225</v>
      </c>
      <c r="D3805" s="37" t="s">
        <v>14</v>
      </c>
      <c r="E3805" s="10"/>
      <c r="F3805" s="38">
        <v>7.0</v>
      </c>
      <c r="G3805" s="11">
        <v>78571.0</v>
      </c>
      <c r="H3805" s="34" t="str">
        <f>IFERROR(__xludf.DUMMYFUNCTION("LOWER(REGEXREPLACE(B3805&amp;"" ""&amp;C3805,""[^а-яa-z0-9 ]"","" ""))")," оска настенная аудиторная трехстворчатая размерами 1000x3000 мм  мел маркер  оска настенная аудиторная трехстворчатая размерами 1000x3000 мм  мел маркер")</f>
        <v> оска настенная аудиторная трехстворчатая размерами 1000x3000 мм  мел маркер  оска настенная аудиторная трехстворчатая размерами 1000x3000 мм  мел маркер</v>
      </c>
    </row>
    <row r="3806">
      <c r="A3806" s="35" t="s">
        <v>9226</v>
      </c>
      <c r="B3806" s="9" t="s">
        <v>9227</v>
      </c>
      <c r="C3806" s="31" t="s">
        <v>9228</v>
      </c>
      <c r="D3806" s="37" t="s">
        <v>14</v>
      </c>
      <c r="E3806" s="10"/>
      <c r="F3806" s="36"/>
      <c r="G3806" s="11">
        <v>39167.0</v>
      </c>
      <c r="H3806" s="34" t="str">
        <f>IFERROR(__xludf.DUMMYFUNCTION("LOWER(REGEXREPLACE(B3806&amp;"" ""&amp;C3806,""[^а-яa-z0-9 ]"","" ""))")," оска магнитно маркерная на треноге   азмер 900х1000мм   оска магнитно маркерная на треноге   азмер 900х1000мм ")</f>
        <v> оска магнитно маркерная на треноге   азмер 900х1000мм   оска магнитно маркерная на треноге   азмер 900х1000мм </v>
      </c>
    </row>
    <row r="3807">
      <c r="A3807" s="35" t="s">
        <v>9229</v>
      </c>
      <c r="B3807" s="31" t="s">
        <v>9230</v>
      </c>
      <c r="C3807" s="31"/>
      <c r="D3807" s="37" t="s">
        <v>14</v>
      </c>
      <c r="E3807" s="10"/>
      <c r="F3807" s="36"/>
      <c r="G3807" s="11"/>
      <c r="H3807" s="34" t="str">
        <f>IFERROR(__xludf.DUMMYFUNCTION("LOWER(REGEXREPLACE(B3807&amp;"" ""&amp;C3807,""[^а-яa-z0-9 ]"","" ""))")," каф металлический ")</f>
        <v> каф металлический </v>
      </c>
    </row>
    <row r="3808">
      <c r="A3808" s="35" t="s">
        <v>9231</v>
      </c>
      <c r="B3808" s="31" t="s">
        <v>9232</v>
      </c>
      <c r="C3808" s="31" t="s">
        <v>9233</v>
      </c>
      <c r="D3808" s="37" t="s">
        <v>14</v>
      </c>
      <c r="E3808" s="38">
        <v>2.0</v>
      </c>
      <c r="F3808" s="38">
        <v>46.0</v>
      </c>
      <c r="G3808" s="11">
        <v>175539.0</v>
      </c>
      <c r="H3808" s="34" t="str">
        <f>IFERROR(__xludf.DUMMYFUNCTION("LOWER(REGEXREPLACE(B3808&amp;"" ""&amp;C3808,""[^а-яa-z0-9 ]"","" ""))"),"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"&amp;"  ласс взломостойкости     ")</f>
        <v>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ласс взломостойкости     </v>
      </c>
    </row>
    <row r="3809">
      <c r="A3809" s="35" t="s">
        <v>9234</v>
      </c>
      <c r="B3809" s="31" t="s">
        <v>9235</v>
      </c>
      <c r="C3809" s="31" t="s">
        <v>9236</v>
      </c>
      <c r="D3809" s="37" t="s">
        <v>14</v>
      </c>
      <c r="E3809" s="38">
        <v>2.0</v>
      </c>
      <c r="F3809" s="38">
        <v>56.0</v>
      </c>
      <c r="G3809" s="11">
        <v>162080.0</v>
      </c>
      <c r="H3809" s="34" t="str">
        <f>IFERROR(__xludf.DUMMYFUNCTION("LOWER(REGEXREPLACE(B3809&amp;"" ""&amp;C3809,""[^а-яa-z0-9 ]"","" ""))"),"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f>
        <v>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v>
      </c>
    </row>
    <row r="3810">
      <c r="A3810" s="35" t="s">
        <v>9237</v>
      </c>
      <c r="B3810" s="31" t="s">
        <v>9238</v>
      </c>
      <c r="C3810" s="31" t="s">
        <v>9239</v>
      </c>
      <c r="D3810" s="37" t="s">
        <v>14</v>
      </c>
      <c r="E3810" s="38">
        <v>2.0</v>
      </c>
      <c r="F3810" s="38">
        <v>32.0</v>
      </c>
      <c r="G3810" s="11">
        <v>84133.0</v>
      </c>
      <c r="H3810" s="34" t="str">
        <f>IFERROR(__xludf.DUMMYFUNCTION("LOWER(REGEXREPLACE(B3810&amp;"" ""&amp;C3810,""[^а-яa-z0-9 ]"","" ""))"),"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согл"&amp;"асованию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выполнены"&amp;"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811">
      <c r="A3811" s="35" t="s">
        <v>9240</v>
      </c>
      <c r="B3811" s="31" t="s">
        <v>9241</v>
      </c>
      <c r="C3811" s="31"/>
      <c r="D3811" s="37" t="s">
        <v>14</v>
      </c>
      <c r="E3811" s="10"/>
      <c r="F3811" s="36"/>
      <c r="G3811" s="11"/>
      <c r="H3811" s="34" t="str">
        <f>IFERROR(__xludf.DUMMYFUNCTION("LOWER(REGEXREPLACE(B3811&amp;"" ""&amp;C3811,""[^а-яa-z0-9 ]"","" ""))")," ешалка гардеробная ")</f>
        <v> ешалка гардеробная </v>
      </c>
    </row>
    <row r="3812">
      <c r="A3812" s="35" t="s">
        <v>9242</v>
      </c>
      <c r="B3812" s="31" t="s">
        <v>9243</v>
      </c>
      <c r="C3812" s="31" t="s">
        <v>9244</v>
      </c>
      <c r="D3812" s="37" t="s">
        <v>14</v>
      </c>
      <c r="E3812" s="38">
        <v>2.0</v>
      </c>
      <c r="F3812" s="38">
        <v>16.0</v>
      </c>
      <c r="G3812" s="11">
        <v>51952.0</v>
      </c>
      <c r="H3812" s="34" t="str">
        <f>IFERROR(__xludf.DUMMYFUNCTION("LOWER(REGEXREPLACE(B3812&amp;"" ""&amp;C3812,""[^а-яa-z0-9 ]"","" ""))")," ешалка гардеробная двухсторонняя на 40 крючков  азмеры не менее длина 1800мм  высота 1770мм   еталлический каркас ")</f>
        <v> ешалка гардеробная двухсторонняя на 40 крючков  азмеры не менее длина 1800мм  высота 1770мм   еталлический каркас </v>
      </c>
    </row>
    <row r="3813">
      <c r="A3813" s="35" t="s">
        <v>9245</v>
      </c>
      <c r="B3813" s="31" t="s">
        <v>9246</v>
      </c>
      <c r="C3813" s="31" t="s">
        <v>9247</v>
      </c>
      <c r="D3813" s="37" t="s">
        <v>14</v>
      </c>
      <c r="E3813" s="38">
        <v>2.0</v>
      </c>
      <c r="F3813" s="38">
        <v>15.0</v>
      </c>
      <c r="G3813" s="11">
        <v>28260.0</v>
      </c>
      <c r="H3813" s="34" t="str">
        <f>IFERROR(__xludf.DUMMYFUNCTION("LOWER(REGEXREPLACE(B3813&amp;"" ""&amp;C3813,""[^а-яa-z0-9 ]"","" ""))")," ешалка гардеробная на 18 24 32 крючка  ешалка гардеробная напольная  металлический каркас       16 мм  18 24 32 крючка  размеры не менее 1184х862х1600мм ")</f>
        <v> ешалка гардеробная на 18 24 32 крючка  ешалка гардеробная напольная  металлический каркас       16 мм  18 24 32 крючка  размеры не менее 1184х862х1600мм </v>
      </c>
    </row>
    <row r="3814">
      <c r="A3814" s="35" t="s">
        <v>9248</v>
      </c>
      <c r="B3814" s="31" t="s">
        <v>9249</v>
      </c>
      <c r="C3814" s="31" t="s">
        <v>9250</v>
      </c>
      <c r="D3814" s="37" t="s">
        <v>14</v>
      </c>
      <c r="E3814" s="38">
        <v>2.0</v>
      </c>
      <c r="F3814" s="38">
        <v>15.0</v>
      </c>
      <c r="G3814" s="11">
        <v>53854.0</v>
      </c>
      <c r="H3814" s="34" t="str">
        <f>IFERROR(__xludf.DUMMYFUNCTION("LOWER(REGEXREPLACE(B3814&amp;"" ""&amp;C3814,""[^а-яa-z0-9 ]"","" ""))")," камья гардеробная со спинкой и встроенной вешалкой с крючками  вет синий   бивка искусственная кожа   атериал        атериал каркаса металл   азмер   х х    1500 x 360 x 1690мм ")</f>
        <v> камья гардеробная со спинкой и встроенной вешалкой с крючками  вет синий   бивка искусственная кожа   атериал        атериал каркаса металл   азмер   х х    1500 x 360 x 1690мм </v>
      </c>
    </row>
    <row r="3815">
      <c r="A3815" s="35" t="s">
        <v>9251</v>
      </c>
      <c r="B3815" s="31" t="s">
        <v>9252</v>
      </c>
      <c r="C3815" s="31" t="s">
        <v>9253</v>
      </c>
      <c r="D3815" s="37" t="s">
        <v>14</v>
      </c>
      <c r="E3815" s="38">
        <v>2.0</v>
      </c>
      <c r="F3815" s="38">
        <v>16.0</v>
      </c>
      <c r="G3815" s="11">
        <v>20296.0</v>
      </c>
      <c r="H3815" s="34" t="str">
        <f>IFERROR(__xludf.DUMMYFUNCTION("LOWER(REGEXREPLACE(B3815&amp;"" ""&amp;C3815,""[^а-яa-z0-9 ]"","" ""))")," ешалка гардеробная металлическая  6 крючков  вет белый   атериал металл   оличество крючков  6   ирина 500мм  высота 1750мм ")</f>
        <v> ешалка гардеробная металлическая  6 крючков  вет белый   атериал металл   оличество крючков  6   ирина 500мм  высота 1750мм </v>
      </c>
    </row>
    <row r="3816">
      <c r="A3816" s="35" t="s">
        <v>9254</v>
      </c>
      <c r="B3816" s="31" t="s">
        <v>9255</v>
      </c>
      <c r="C3816" s="31"/>
      <c r="D3816" s="37" t="s">
        <v>14</v>
      </c>
      <c r="E3816" s="10"/>
      <c r="F3816" s="36"/>
      <c r="G3816" s="11"/>
      <c r="H3816" s="34" t="str">
        <f>IFERROR(__xludf.DUMMYFUNCTION("LOWER(REGEXREPLACE(B3816&amp;"" ""&amp;C3816,""[^а-яa-z0-9 ]"","" ""))")," тол двухтумбовый ")</f>
        <v> тол двухтумбовый </v>
      </c>
    </row>
    <row r="3817">
      <c r="A3817" s="35" t="s">
        <v>9256</v>
      </c>
      <c r="B3817" s="31" t="s">
        <v>9257</v>
      </c>
      <c r="C3817" s="31" t="s">
        <v>9258</v>
      </c>
      <c r="D3817" s="37" t="s">
        <v>14</v>
      </c>
      <c r="E3817" s="38">
        <v>2.0</v>
      </c>
      <c r="F3817" s="38">
        <v>25.0</v>
      </c>
      <c r="G3817" s="11">
        <v>80673.0</v>
      </c>
      <c r="H3817" s="34" t="str">
        <f>IFERROR(__xludf.DUMMYFUNCTION("LOWER(REGEXREPLACE(B3817&amp;"" ""&amp;C3817,""[^а-яa-z0-9 ]"","" ""))"),"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кромко"&amp;"й     толщиной 1 5мм ")</f>
        <v>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кромкой     толщиной 1 5мм </v>
      </c>
    </row>
    <row r="3818">
      <c r="A3818" s="35" t="s">
        <v>9259</v>
      </c>
      <c r="B3818" s="31" t="s">
        <v>9260</v>
      </c>
      <c r="C3818" s="31" t="s">
        <v>9261</v>
      </c>
      <c r="D3818" s="37" t="s">
        <v>14</v>
      </c>
      <c r="E3818" s="38">
        <v>2.0</v>
      </c>
      <c r="F3818" s="38">
        <v>79.0</v>
      </c>
      <c r="G3818" s="11">
        <v>131333.0</v>
      </c>
      <c r="H3818" s="34" t="str">
        <f>IFERROR(__xludf.DUMMYFUNCTION("LOWER(REGEXREPLACE(B3818&amp;"" ""&amp;C3818,""[^а-яa-z0-9 ]"","" ""))"),"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из"&amp;"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металлический"&amp;"  без пластиковых элементов   роликовые направляющие  ручка  без острых углов   навес мебельный типа      ")</f>
        <v>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без острых углов   навес мебельный типа      </v>
      </c>
    </row>
    <row r="3819">
      <c r="A3819" s="35" t="s">
        <v>9262</v>
      </c>
      <c r="B3819" s="31" t="s">
        <v>9263</v>
      </c>
      <c r="C3819" s="31" t="s">
        <v>9263</v>
      </c>
      <c r="D3819" s="37" t="s">
        <v>14</v>
      </c>
      <c r="E3819" s="38">
        <v>2.0</v>
      </c>
      <c r="F3819" s="38">
        <v>19.0</v>
      </c>
      <c r="G3819" s="11">
        <v>64020.0</v>
      </c>
      <c r="H3819" s="34" t="str">
        <f>IFERROR(__xludf.DUMMYFUNCTION("LOWER(REGEXREPLACE(B3819&amp;"" ""&amp;C3819,""[^а-яa-z0-9 ]"","" ""))"),"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f>
        <v>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v>
      </c>
    </row>
    <row r="3820">
      <c r="A3820" s="35" t="s">
        <v>9264</v>
      </c>
      <c r="B3820" s="31" t="s">
        <v>9265</v>
      </c>
      <c r="C3820" s="31"/>
      <c r="D3820" s="37" t="s">
        <v>68</v>
      </c>
      <c r="E3820" s="10"/>
      <c r="F3820" s="36"/>
      <c r="G3820" s="11"/>
      <c r="H3820" s="34" t="str">
        <f>IFERROR(__xludf.DUMMYFUNCTION("LOWER(REGEXREPLACE(B3820&amp;"" ""&amp;C3820,""[^а-яa-z0-9 ]"","" ""))")," омплект мебели для руководителя ")</f>
        <v> омплект мебели для руководителя </v>
      </c>
    </row>
    <row r="3821">
      <c r="A3821" s="35" t="s">
        <v>9266</v>
      </c>
      <c r="B3821" s="31" t="s">
        <v>9267</v>
      </c>
      <c r="C3821" s="31" t="s">
        <v>9268</v>
      </c>
      <c r="D3821" s="37" t="s">
        <v>68</v>
      </c>
      <c r="E3821" s="38">
        <v>2.0</v>
      </c>
      <c r="F3821" s="38">
        <v>85.0</v>
      </c>
      <c r="G3821" s="11">
        <v>445477.0</v>
      </c>
      <c r="H3821" s="34" t="str">
        <f>IFERROR(__xludf.DUMMYFUNCTION("LOWER(REGEXREPLACE(B3821&amp;"" ""&amp;C3821,""[^а-яa-z0-9 ]"","" ""))"),"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раз"&amp;"мер  2450х400х2100мм   атериал       18мм   вет по согласованию    а ножках установлены пластиковые пятки ")</f>
        <v>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размер  2450х400х2100мм   атериал       18мм   вет по согласованию    а ножках установлены пластиковые пятки </v>
      </c>
    </row>
    <row r="3822">
      <c r="A3822" s="35" t="s">
        <v>9269</v>
      </c>
      <c r="B3822" s="31" t="s">
        <v>721</v>
      </c>
      <c r="C3822" s="31"/>
      <c r="D3822" s="37" t="s">
        <v>14</v>
      </c>
      <c r="E3822" s="10"/>
      <c r="F3822" s="36"/>
      <c r="G3822" s="11"/>
      <c r="H3822" s="34" t="str">
        <f>IFERROR(__xludf.DUMMYFUNCTION("LOWER(REGEXREPLACE(B3822&amp;"" ""&amp;C3822,""[^а-яa-z0-9 ]"","" ""))")," ровать односпальная ")</f>
        <v> ровать односпальная </v>
      </c>
    </row>
    <row r="3823">
      <c r="A3823" s="35" t="s">
        <v>9270</v>
      </c>
      <c r="B3823" s="31" t="s">
        <v>9271</v>
      </c>
      <c r="C3823" s="31" t="s">
        <v>9272</v>
      </c>
      <c r="D3823" s="37" t="s">
        <v>14</v>
      </c>
      <c r="E3823" s="38">
        <v>2.0</v>
      </c>
      <c r="F3823" s="38">
        <v>35.0</v>
      </c>
      <c r="G3823" s="11">
        <v>58589.0</v>
      </c>
      <c r="H3823" s="34" t="str">
        <f>IFERROR(__xludf.DUMMYFUNCTION("LOWER(REGEXREPLACE(B3823&amp;"" ""&amp;C3823,""[^а-яa-z0-9 ]"","" ""))"),"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f>
        <v>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v>
      </c>
    </row>
    <row r="3824">
      <c r="A3824" s="35" t="s">
        <v>9273</v>
      </c>
      <c r="B3824" s="31" t="s">
        <v>736</v>
      </c>
      <c r="C3824" s="31"/>
      <c r="D3824" s="37" t="s">
        <v>14</v>
      </c>
      <c r="E3824" s="10"/>
      <c r="F3824" s="36"/>
      <c r="G3824" s="11"/>
      <c r="H3824" s="34" t="str">
        <f>IFERROR(__xludf.DUMMYFUNCTION("LOWER(REGEXREPLACE(B3824&amp;"" ""&amp;C3824,""[^а-яa-z0-9 ]"","" ""))")," ровать двухъярусная ")</f>
        <v> ровать двухъярусная </v>
      </c>
    </row>
    <row r="3825">
      <c r="A3825" s="35" t="s">
        <v>9274</v>
      </c>
      <c r="B3825" s="31" t="s">
        <v>9275</v>
      </c>
      <c r="C3825" s="31" t="s">
        <v>9276</v>
      </c>
      <c r="D3825" s="37" t="s">
        <v>14</v>
      </c>
      <c r="E3825" s="38">
        <v>2.0</v>
      </c>
      <c r="F3825" s="38">
        <v>45.0</v>
      </c>
      <c r="G3825" s="11">
        <v>151244.0</v>
      </c>
      <c r="H3825" s="34" t="str">
        <f>IFERROR(__xludf.DUMMYFUNCTION("LOWER(REGEXREPLACE(B3825&amp;"" ""&amp;C3825,""[^а-яa-z0-9 ]"","" ""))"),"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свар"&amp;"ная сетка  с ячейками 50х100мм   пособ крепежа  клин   рофиль  металлическая труба 20х40мм   пинка  круглая труба   ип покраски  порошковая   абариты кровати  2000х900х1800мм ")</f>
        <v>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сварная сетка  с ячейками 50х100мм   пособ крепежа  клин   рофиль  металлическая труба 20х40мм   пинка  круглая труба   ип покраски  порошковая   абариты кровати  2000х900х1800мм </v>
      </c>
    </row>
    <row r="3826">
      <c r="A3826" s="35" t="s">
        <v>9277</v>
      </c>
      <c r="B3826" s="31" t="s">
        <v>9278</v>
      </c>
      <c r="C3826" s="31"/>
      <c r="D3826" s="37" t="s">
        <v>14</v>
      </c>
      <c r="E3826" s="10"/>
      <c r="F3826" s="36"/>
      <c r="G3826" s="11"/>
      <c r="H3826" s="34" t="str">
        <f>IFERROR(__xludf.DUMMYFUNCTION("LOWER(REGEXREPLACE(B3826&amp;"" ""&amp;C3826,""[^а-яa-z0-9 ]"","" ""))")," артотека металлическая ")</f>
        <v> артотека металлическая </v>
      </c>
    </row>
    <row r="3827">
      <c r="A3827" s="35" t="s">
        <v>9279</v>
      </c>
      <c r="B3827" s="31" t="s">
        <v>9280</v>
      </c>
      <c r="C3827" s="31"/>
      <c r="D3827" s="37" t="s">
        <v>14</v>
      </c>
      <c r="E3827" s="38">
        <v>2.0</v>
      </c>
      <c r="F3827" s="38">
        <v>50.0</v>
      </c>
      <c r="G3827" s="11">
        <v>125543.0</v>
      </c>
      <c r="H3827" s="34" t="str">
        <f>IFERROR(__xludf.DUMMYFUNCTION("LOWER(REGEXREPLACE(B3827&amp;"" ""&amp;C3827,""[^а-яa-z0-9 ]"","" ""))"),"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f>
        <v>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v>
      </c>
    </row>
    <row r="3828">
      <c r="A3828" s="35" t="s">
        <v>9281</v>
      </c>
      <c r="B3828" s="31" t="s">
        <v>9282</v>
      </c>
      <c r="C3828" s="31"/>
      <c r="D3828" s="37" t="s">
        <v>14</v>
      </c>
      <c r="E3828" s="10"/>
      <c r="F3828" s="36"/>
      <c r="G3828" s="11"/>
      <c r="H3828" s="34" t="str">
        <f>IFERROR(__xludf.DUMMYFUNCTION("LOWER(REGEXREPLACE(B3828&amp;"" ""&amp;C3828,""[^а-яa-z0-9 ]"","" ""))")," ресло мягкое ")</f>
        <v> ресло мягкое </v>
      </c>
    </row>
    <row r="3829">
      <c r="A3829" s="35" t="s">
        <v>9283</v>
      </c>
      <c r="B3829" s="31" t="s">
        <v>9284</v>
      </c>
      <c r="C3829" s="31" t="s">
        <v>9285</v>
      </c>
      <c r="D3829" s="37" t="s">
        <v>14</v>
      </c>
      <c r="E3829" s="38">
        <v>2.0</v>
      </c>
      <c r="F3829" s="38">
        <v>15.0</v>
      </c>
      <c r="G3829" s="11">
        <v>97181.0</v>
      </c>
      <c r="H3829" s="34" t="str">
        <f>IFERROR(__xludf.DUMMYFUNCTION("LOWER(REGEXREPLACE(B3829&amp;"" ""&amp;C3829,""[^а-яa-z0-9 ]"","" ""))"),"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f>
        <v>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v>
      </c>
    </row>
    <row r="3830">
      <c r="A3830" s="35" t="s">
        <v>9286</v>
      </c>
      <c r="B3830" s="31" t="s">
        <v>9287</v>
      </c>
      <c r="C3830" s="31" t="s">
        <v>9288</v>
      </c>
      <c r="D3830" s="37" t="s">
        <v>14</v>
      </c>
      <c r="E3830" s="38">
        <v>2.0</v>
      </c>
      <c r="F3830" s="38">
        <v>22.0</v>
      </c>
      <c r="G3830" s="11">
        <v>148468.0</v>
      </c>
      <c r="H3830" s="34" t="str">
        <f>IFERROR(__xludf.DUMMYFUNCTION("LOWER(REGEXREPLACE(B3830&amp;"" ""&amp;C3830,""[^а-яa-z0-9 ]"","" ""))")," ресло офисное мягкое  размеры  900х700х750мм  аркас деревянный  опоры массив дерева  материал обивки  ткань или экокожа   абаритные размеры  900х700х750мм")</f>
        <v> ресло офисное мягкое  размеры  900х700х750мм  аркас деревянный  опоры массив дерева  материал обивки  ткань или экокожа   абаритные размеры  900х700х750мм</v>
      </c>
    </row>
    <row r="3831">
      <c r="A3831" s="35" t="s">
        <v>9289</v>
      </c>
      <c r="B3831" s="31" t="s">
        <v>9290</v>
      </c>
      <c r="C3831" s="31" t="s">
        <v>9291</v>
      </c>
      <c r="D3831" s="37" t="s">
        <v>14</v>
      </c>
      <c r="E3831" s="38">
        <v>2.0</v>
      </c>
      <c r="F3831" s="38">
        <v>23.0</v>
      </c>
      <c r="G3831" s="11">
        <v>131925.0</v>
      </c>
      <c r="H3831" s="34" t="str">
        <f>IFERROR(__xludf.DUMMYFUNCTION("LOWER(REGEXREPLACE(B3831&amp;"" ""&amp;C3831,""[^а-яa-z0-9 ]"","" ""))")," ресло офисное мягкое  размеры  900х800х750мм  аркас деревянный  опоры металл  материал обивки  ткань или экокожа   абаритные размеры  900х800х750мм")</f>
        <v> ресло офисное мягкое  размеры  900х800х750мм  аркас деревянный  опоры металл  материал обивки  ткань или экокожа   абаритные размеры  900х800х750мм</v>
      </c>
    </row>
    <row r="3832">
      <c r="A3832" s="35" t="s">
        <v>9292</v>
      </c>
      <c r="B3832" s="31" t="s">
        <v>9293</v>
      </c>
      <c r="C3832" s="31" t="s">
        <v>9294</v>
      </c>
      <c r="D3832" s="37" t="s">
        <v>14</v>
      </c>
      <c r="E3832" s="38">
        <v>2.0</v>
      </c>
      <c r="F3832" s="38">
        <v>20.0</v>
      </c>
      <c r="G3832" s="11">
        <v>101877.0</v>
      </c>
      <c r="H3832" s="34" t="str">
        <f>IFERROR(__xludf.DUMMYFUNCTION("LOWER(REGEXREPLACE(B3832&amp;"" ""&amp;C3832,""[^а-яa-z0-9 ]"","" ""))")," ресло офисное мягкое  размеры  750х650х800мм  аркас деревянный  опоры пластик  материал обивки  ткань или экокожа   абаритные размеры    750х650х800мм")</f>
        <v> ресло офисное мягкое  размеры  750х650х800мм  аркас деревянный  опоры пластик  материал обивки  ткань или экокожа   абаритные размеры    750х650х800мм</v>
      </c>
    </row>
    <row r="3833">
      <c r="A3833" s="35" t="s">
        <v>9295</v>
      </c>
      <c r="B3833" s="31" t="s">
        <v>9296</v>
      </c>
      <c r="C3833" s="31" t="s">
        <v>9296</v>
      </c>
      <c r="D3833" s="37" t="s">
        <v>14</v>
      </c>
      <c r="E3833" s="38">
        <v>2.0</v>
      </c>
      <c r="F3833" s="38">
        <v>27.0</v>
      </c>
      <c r="G3833" s="11">
        <v>158521.0</v>
      </c>
      <c r="H3833" s="34" t="str">
        <f>IFERROR(__xludf.DUMMYFUNCTION("LOWER(REGEXREPLACE(B3833&amp;"" ""&amp;C3833,""[^а-яa-z0-9 ]"","" ""))")," ресло модульное   атериал ткань   азмер 920х650мм  ресло модульное   атериал ткань   азмер 920х650мм")</f>
        <v> ресло модульное   атериал ткань   азмер 920х650мм  ресло модульное   атериал ткань   азмер 920х650мм</v>
      </c>
    </row>
    <row r="3834">
      <c r="A3834" s="35" t="s">
        <v>9297</v>
      </c>
      <c r="B3834" s="31" t="s">
        <v>9298</v>
      </c>
      <c r="C3834" s="31"/>
      <c r="D3834" s="37" t="s">
        <v>68</v>
      </c>
      <c r="E3834" s="10"/>
      <c r="F3834" s="36"/>
      <c r="G3834" s="11"/>
      <c r="H3834" s="34" t="str">
        <f>IFERROR(__xludf.DUMMYFUNCTION("LOWER(REGEXREPLACE(B3834&amp;"" ""&amp;C3834,""[^а-яa-z0-9 ]"","" ""))")," иван модульный ")</f>
        <v> иван модульный </v>
      </c>
    </row>
    <row r="3835">
      <c r="A3835" s="35" t="s">
        <v>9299</v>
      </c>
      <c r="B3835" s="31" t="s">
        <v>9300</v>
      </c>
      <c r="C3835" s="31" t="s">
        <v>9301</v>
      </c>
      <c r="D3835" s="37" t="s">
        <v>68</v>
      </c>
      <c r="E3835" s="38">
        <v>2.0</v>
      </c>
      <c r="F3835" s="38">
        <v>144.0</v>
      </c>
      <c r="G3835" s="11">
        <v>374123.0</v>
      </c>
      <c r="H3835" s="34" t="str">
        <f>IFERROR(__xludf.DUMMYFUNCTION("LOWER(REGEXREPLACE(B3835&amp;"" ""&amp;C3835,""[^а-яa-z0-9 ]"","" ""))"),"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2830х830х1150м"&amp;"м")</f>
        <v>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2830х830х1150мм</v>
      </c>
    </row>
    <row r="3836">
      <c r="A3836" s="35" t="s">
        <v>9302</v>
      </c>
      <c r="B3836" s="31" t="s">
        <v>9303</v>
      </c>
      <c r="C3836" s="31" t="s">
        <v>9304</v>
      </c>
      <c r="D3836" s="37" t="s">
        <v>68</v>
      </c>
      <c r="E3836" s="38">
        <v>2.0</v>
      </c>
      <c r="F3836" s="38">
        <v>128.0</v>
      </c>
      <c r="G3836" s="11">
        <v>509493.0</v>
      </c>
      <c r="H3836" s="34" t="str">
        <f>IFERROR(__xludf.DUMMYFUNCTION("LOWER(REGEXREPLACE(B3836&amp;"" ""&amp;C3836,""[^а-яa-z0-9 ]"","" ""))"),"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f>
        <v>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v>
      </c>
    </row>
    <row r="3837">
      <c r="A3837" s="35" t="s">
        <v>9305</v>
      </c>
      <c r="B3837" s="31" t="s">
        <v>9306</v>
      </c>
      <c r="C3837" s="31" t="s">
        <v>9307</v>
      </c>
      <c r="D3837" s="37" t="s">
        <v>68</v>
      </c>
      <c r="E3837" s="38">
        <v>2.0</v>
      </c>
      <c r="F3837" s="38">
        <v>68.0</v>
      </c>
      <c r="G3837" s="11">
        <v>251345.0</v>
      </c>
      <c r="H3837" s="34" t="str">
        <f>IFERROR(__xludf.DUMMYFUNCTION("LOWER(REGEXREPLACE(B3837&amp;"" ""&amp;C3837,""[^а-яa-z0-9 ]"","" ""))"),"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f>
        <v>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v>
      </c>
    </row>
    <row r="3838">
      <c r="A3838" s="35" t="s">
        <v>9308</v>
      </c>
      <c r="B3838" s="31" t="s">
        <v>9309</v>
      </c>
      <c r="C3838" s="31"/>
      <c r="D3838" s="37" t="s">
        <v>14</v>
      </c>
      <c r="E3838" s="10"/>
      <c r="F3838" s="36"/>
      <c r="G3838" s="11"/>
      <c r="H3838" s="34" t="str">
        <f>IFERROR(__xludf.DUMMYFUNCTION("LOWER(REGEXREPLACE(B3838&amp;"" ""&amp;C3838,""[^а-яa-z0-9 ]"","" ""))")," иван 2 х местный ")</f>
        <v> иван 2 х местный </v>
      </c>
    </row>
    <row r="3839">
      <c r="A3839" s="35" t="s">
        <v>9310</v>
      </c>
      <c r="B3839" s="9" t="s">
        <v>9311</v>
      </c>
      <c r="C3839" s="31" t="s">
        <v>9312</v>
      </c>
      <c r="D3839" s="37" t="s">
        <v>14</v>
      </c>
      <c r="E3839" s="38">
        <v>2.0</v>
      </c>
      <c r="F3839" s="38">
        <v>20.0</v>
      </c>
      <c r="G3839" s="11">
        <v>160510.0</v>
      </c>
      <c r="H3839" s="34" t="str">
        <f>IFERROR(__xludf.DUMMYFUNCTION("LOWER(REGEXREPLACE(B3839&amp;"" ""&amp;C3839,""[^а-яa-z0-9 ]"","" ""))"),"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f>
        <v>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v>
      </c>
    </row>
    <row r="3840">
      <c r="A3840" s="35" t="s">
        <v>9313</v>
      </c>
      <c r="B3840" s="9" t="s">
        <v>9314</v>
      </c>
      <c r="C3840" s="31" t="s">
        <v>9315</v>
      </c>
      <c r="D3840" s="37" t="s">
        <v>14</v>
      </c>
      <c r="E3840" s="38">
        <v>2.0</v>
      </c>
      <c r="F3840" s="38">
        <v>16.0</v>
      </c>
      <c r="G3840" s="11">
        <v>129559.0</v>
      </c>
      <c r="H3840" s="34" t="str">
        <f>IFERROR(__xludf.DUMMYFUNCTION("LOWER(REGEXREPLACE(B3840&amp;"" ""&amp;C3840,""[^а-яa-z0-9 ]"","" ""))"),"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f>
        <v>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v>
      </c>
    </row>
    <row r="3841">
      <c r="A3841" s="35" t="s">
        <v>9316</v>
      </c>
      <c r="B3841" s="9" t="s">
        <v>9317</v>
      </c>
      <c r="C3841" s="31" t="s">
        <v>9318</v>
      </c>
      <c r="D3841" s="37" t="s">
        <v>14</v>
      </c>
      <c r="E3841" s="38">
        <v>2.0</v>
      </c>
      <c r="F3841" s="38">
        <v>32.0</v>
      </c>
      <c r="G3841" s="11">
        <v>287896.0</v>
      </c>
      <c r="H3841" s="34" t="str">
        <f>IFERROR(__xludf.DUMMYFUNCTION("LOWER(REGEXREPLACE(B3841&amp;"" ""&amp;C3841,""[^а-яa-z0-9 ]"","" ""))"),"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f>
        <v>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v>
      </c>
    </row>
    <row r="3842">
      <c r="A3842" s="35" t="s">
        <v>9319</v>
      </c>
      <c r="B3842" s="9" t="s">
        <v>9320</v>
      </c>
      <c r="C3842" s="31" t="s">
        <v>9321</v>
      </c>
      <c r="D3842" s="37" t="s">
        <v>14</v>
      </c>
      <c r="E3842" s="38">
        <v>2.0</v>
      </c>
      <c r="F3842" s="38">
        <v>30.0</v>
      </c>
      <c r="G3842" s="11">
        <v>245622.0</v>
      </c>
      <c r="H3842" s="34" t="str">
        <f>IFERROR(__xludf.DUMMYFUNCTION("LOWER(REGEXREPLACE(B3842&amp;"" ""&amp;C3842,""[^а-яa-z0-9 ]"","" ""))"),"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f>
        <v>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v>
      </c>
    </row>
    <row r="3843">
      <c r="A3843" s="35" t="s">
        <v>9322</v>
      </c>
      <c r="B3843" s="9" t="s">
        <v>9323</v>
      </c>
      <c r="C3843" s="31" t="s">
        <v>9324</v>
      </c>
      <c r="D3843" s="37" t="s">
        <v>14</v>
      </c>
      <c r="E3843" s="38">
        <v>2.0</v>
      </c>
      <c r="F3843" s="38">
        <v>60.0</v>
      </c>
      <c r="G3843" s="11">
        <v>274515.0</v>
      </c>
      <c r="H3843" s="34" t="str">
        <f>IFERROR(__xludf.DUMMYFUNCTION("LOWER(REGEXREPLACE(B3843&amp;"" ""&amp;C3843,""[^а-яa-z0-9 ]"","" ""))")," иван 2 х местный офисный  размеры  1560х950х850мм  е трансформируемый   аркас деревянный    поры металл   атериал обивки  ткань или экокожа   абаритные размеры              1560х950х850")</f>
        <v> иван 2 х местный офисный  размеры  1560х950х850мм  е трансформируемый   аркас деревянный    поры металл   атериал обивки  ткань или экокожа   абаритные размеры              1560х950х850</v>
      </c>
    </row>
    <row r="3844">
      <c r="A3844" s="35" t="s">
        <v>9325</v>
      </c>
      <c r="B3844" s="9" t="s">
        <v>9326</v>
      </c>
      <c r="C3844" s="31" t="s">
        <v>9327</v>
      </c>
      <c r="D3844" s="37" t="s">
        <v>14</v>
      </c>
      <c r="E3844" s="38">
        <v>2.0</v>
      </c>
      <c r="F3844" s="38">
        <v>48.0</v>
      </c>
      <c r="G3844" s="11">
        <v>234001.0</v>
      </c>
      <c r="H3844" s="34" t="str">
        <f>IFERROR(__xludf.DUMMYFUNCTION("LOWER(REGEXREPLACE(B3844&amp;"" ""&amp;C3844,""[^а-яa-z0-9 ]"","" ""))"),"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f>
        <v>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v>
      </c>
    </row>
    <row r="3845">
      <c r="A3845" s="35" t="s">
        <v>9328</v>
      </c>
      <c r="B3845" s="9" t="s">
        <v>9329</v>
      </c>
      <c r="C3845" s="31" t="s">
        <v>9330</v>
      </c>
      <c r="D3845" s="37" t="s">
        <v>14</v>
      </c>
      <c r="E3845" s="38">
        <v>2.0</v>
      </c>
      <c r="F3845" s="38">
        <v>64.0</v>
      </c>
      <c r="G3845" s="11">
        <v>130645.0</v>
      </c>
      <c r="H3845" s="34" t="str">
        <f>IFERROR(__xludf.DUMMYFUNCTION("LOWER(REGEXREPLACE(B3845&amp;"" ""&amp;C3845,""[^а-яa-z0-9 ]"","" ""))"),"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f>
        <v>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v>
      </c>
    </row>
    <row r="3846">
      <c r="A3846" s="35" t="s">
        <v>9331</v>
      </c>
      <c r="B3846" s="31" t="s">
        <v>9332</v>
      </c>
      <c r="C3846" s="31" t="s">
        <v>9333</v>
      </c>
      <c r="D3846" s="37" t="s">
        <v>14</v>
      </c>
      <c r="E3846" s="38">
        <v>2.0</v>
      </c>
      <c r="F3846" s="38">
        <v>96.0</v>
      </c>
      <c r="G3846" s="11">
        <v>378073.0</v>
      </c>
      <c r="H3846" s="34" t="str">
        <f>IFERROR(__xludf.DUMMYFUNCTION("LOWER(REGEXREPLACE(B3846&amp;"" ""&amp;C3846,""[^а-яa-z0-9 ]"","" ""))"),"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"&amp;" 1600х750х1400мм")</f>
        <v>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1600х750х1400мм</v>
      </c>
    </row>
    <row r="3847">
      <c r="A3847" s="35" t="s">
        <v>9334</v>
      </c>
      <c r="B3847" s="31" t="s">
        <v>9335</v>
      </c>
      <c r="C3847" s="31" t="s">
        <v>9336</v>
      </c>
      <c r="D3847" s="37" t="s">
        <v>14</v>
      </c>
      <c r="E3847" s="38">
        <v>2.0</v>
      </c>
      <c r="F3847" s="38">
        <v>142.0</v>
      </c>
      <c r="G3847" s="11">
        <v>358468.0</v>
      </c>
      <c r="H3847" s="34" t="str">
        <f>IFERROR(__xludf.DUMMYFUNCTION("LOWER(REGEXREPLACE(B3847&amp;"" ""&amp;C3847,""[^а-яa-z0-9 ]"","" ""))"),"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сто"&amp;"рон пространство  зона с монтированным диваном и подставкой под ноги   ысота спинки 1230мм   абаритные размеры  1090х1850х1230мм")</f>
        <v>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сторон пространство  зона с монтированным диваном и подставкой под ноги   ысота спинки 1230мм   абаритные размеры  1090х1850х1230мм</v>
      </c>
    </row>
    <row r="3848">
      <c r="A3848" s="35" t="s">
        <v>9337</v>
      </c>
      <c r="B3848" s="31" t="s">
        <v>9338</v>
      </c>
      <c r="C3848" s="31"/>
      <c r="D3848" s="37" t="s">
        <v>14</v>
      </c>
      <c r="E3848" s="10"/>
      <c r="F3848" s="36"/>
      <c r="G3848" s="11"/>
      <c r="H3848" s="34" t="str">
        <f>IFERROR(__xludf.DUMMYFUNCTION("LOWER(REGEXREPLACE(B3848&amp;"" ""&amp;C3848,""[^а-яa-z0-9 ]"","" ""))")," иван 3 х местный ")</f>
        <v> иван 3 х местный </v>
      </c>
    </row>
    <row r="3849">
      <c r="A3849" s="35" t="s">
        <v>9339</v>
      </c>
      <c r="B3849" s="31" t="s">
        <v>9340</v>
      </c>
      <c r="C3849" s="31" t="s">
        <v>9341</v>
      </c>
      <c r="D3849" s="37" t="s">
        <v>14</v>
      </c>
      <c r="E3849" s="38">
        <v>2.0</v>
      </c>
      <c r="F3849" s="38">
        <v>65.0</v>
      </c>
      <c r="G3849" s="11">
        <v>334787.0</v>
      </c>
      <c r="H3849" s="34" t="str">
        <f>IFERROR(__xludf.DUMMYFUNCTION("LOWER(REGEXREPLACE(B3849&amp;"" ""&amp;C3849,""[^а-яa-z0-9 ]"","" ""))"),"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f>
        <v>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v>
      </c>
    </row>
    <row r="3850">
      <c r="A3850" s="35" t="s">
        <v>9342</v>
      </c>
      <c r="B3850" s="31" t="s">
        <v>9343</v>
      </c>
      <c r="C3850" s="31" t="s">
        <v>9344</v>
      </c>
      <c r="D3850" s="37" t="s">
        <v>14</v>
      </c>
      <c r="E3850" s="38">
        <v>2.0</v>
      </c>
      <c r="F3850" s="38">
        <v>68.0</v>
      </c>
      <c r="G3850" s="11">
        <v>348288.0</v>
      </c>
      <c r="H3850" s="34" t="str">
        <f>IFERROR(__xludf.DUMMYFUNCTION("LOWER(REGEXREPLACE(B3850&amp;"" ""&amp;C3850,""[^а-яa-z0-9 ]"","" ""))"),"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f>
        <v>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v>
      </c>
    </row>
    <row r="3851">
      <c r="A3851" s="35" t="s">
        <v>9345</v>
      </c>
      <c r="B3851" s="31" t="s">
        <v>9346</v>
      </c>
      <c r="C3851" s="31" t="s">
        <v>9347</v>
      </c>
      <c r="D3851" s="37" t="s">
        <v>14</v>
      </c>
      <c r="E3851" s="38">
        <v>2.0</v>
      </c>
      <c r="F3851" s="38">
        <v>64.0</v>
      </c>
      <c r="G3851" s="11">
        <v>271833.0</v>
      </c>
      <c r="H3851" s="34" t="str">
        <f>IFERROR(__xludf.DUMMYFUNCTION("LOWER(REGEXREPLACE(B3851&amp;"" ""&amp;C3851,""[^а-яa-z0-9 ]"","" ""))"),"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f>
        <v>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v>
      </c>
    </row>
    <row r="3852">
      <c r="A3852" s="35" t="s">
        <v>9348</v>
      </c>
      <c r="B3852" s="31" t="s">
        <v>9349</v>
      </c>
      <c r="C3852" s="31" t="s">
        <v>9350</v>
      </c>
      <c r="D3852" s="37" t="s">
        <v>14</v>
      </c>
      <c r="E3852" s="38">
        <v>2.0</v>
      </c>
      <c r="F3852" s="38">
        <v>68.0</v>
      </c>
      <c r="G3852" s="11">
        <v>351885.0</v>
      </c>
      <c r="H3852" s="34" t="str">
        <f>IFERROR(__xludf.DUMMYFUNCTION("LOWER(REGEXREPLACE(B3852&amp;"" ""&amp;C3852,""[^а-яa-z0-9 ]"","" ""))"),"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f>
        <v>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v>
      </c>
    </row>
    <row r="3853">
      <c r="A3853" s="35" t="s">
        <v>9351</v>
      </c>
      <c r="B3853" s="31" t="s">
        <v>9352</v>
      </c>
      <c r="C3853" s="31" t="s">
        <v>9353</v>
      </c>
      <c r="D3853" s="37" t="s">
        <v>14</v>
      </c>
      <c r="E3853" s="38">
        <v>2.0</v>
      </c>
      <c r="F3853" s="38">
        <v>74.0</v>
      </c>
      <c r="G3853" s="11">
        <v>380685.0</v>
      </c>
      <c r="H3853" s="34" t="str">
        <f>IFERROR(__xludf.DUMMYFUNCTION("LOWER(REGEXREPLACE(B3853&amp;"" ""&amp;C3853,""[^а-яa-z0-9 ]"","" ""))"),"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f>
        <v>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v>
      </c>
    </row>
    <row r="3854">
      <c r="A3854" s="35" t="s">
        <v>9354</v>
      </c>
      <c r="B3854" s="31" t="s">
        <v>9355</v>
      </c>
      <c r="C3854" s="31" t="s">
        <v>9356</v>
      </c>
      <c r="D3854" s="37" t="s">
        <v>14</v>
      </c>
      <c r="E3854" s="38">
        <v>2.0</v>
      </c>
      <c r="F3854" s="38">
        <v>76.0</v>
      </c>
      <c r="G3854" s="11">
        <v>391485.0</v>
      </c>
      <c r="H3854" s="34" t="str">
        <f>IFERROR(__xludf.DUMMYFUNCTION("LOWER(REGEXREPLACE(B3854&amp;"" ""&amp;C3854,""[^а-яa-z0-9 ]"","" ""))"),"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f>
        <v>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v>
      </c>
    </row>
    <row r="3855">
      <c r="A3855" s="35" t="s">
        <v>9357</v>
      </c>
      <c r="B3855" s="31" t="s">
        <v>9358</v>
      </c>
      <c r="C3855" s="31" t="s">
        <v>9359</v>
      </c>
      <c r="D3855" s="37" t="s">
        <v>14</v>
      </c>
      <c r="E3855" s="38">
        <v>2.0</v>
      </c>
      <c r="F3855" s="38">
        <v>77.0</v>
      </c>
      <c r="G3855" s="11">
        <v>373503.0</v>
      </c>
      <c r="H3855" s="34" t="str">
        <f>IFERROR(__xludf.DUMMYFUNCTION("LOWER(REGEXREPLACE(B3855&amp;"" ""&amp;C3855,""[^а-яa-z0-9 ]"","" ""))"),"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f>
        <v>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v>
      </c>
    </row>
    <row r="3856">
      <c r="A3856" s="35" t="s">
        <v>9360</v>
      </c>
      <c r="B3856" s="31" t="s">
        <v>9361</v>
      </c>
      <c r="C3856" s="31" t="s">
        <v>9362</v>
      </c>
      <c r="D3856" s="37" t="s">
        <v>14</v>
      </c>
      <c r="E3856" s="38">
        <v>2.0</v>
      </c>
      <c r="F3856" s="38">
        <v>62.0</v>
      </c>
      <c r="G3856" s="11">
        <v>227760.0</v>
      </c>
      <c r="H3856" s="34" t="str">
        <f>IFERROR(__xludf.DUMMYFUNCTION("LOWER(REGEXREPLACE(B3856&amp;"" ""&amp;C3856,""[^а-яa-z0-9 ]"","" ""))"),"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f>
        <v>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v>
      </c>
    </row>
    <row r="3857">
      <c r="A3857" s="35" t="s">
        <v>9363</v>
      </c>
      <c r="B3857" s="31" t="s">
        <v>9364</v>
      </c>
      <c r="C3857" s="31" t="s">
        <v>9365</v>
      </c>
      <c r="D3857" s="37" t="s">
        <v>14</v>
      </c>
      <c r="E3857" s="38">
        <v>2.0</v>
      </c>
      <c r="F3857" s="38">
        <v>60.0</v>
      </c>
      <c r="G3857" s="11">
        <v>198076.0</v>
      </c>
      <c r="H3857" s="34" t="str">
        <f>IFERROR(__xludf.DUMMYFUNCTION("LOWER(REGEXREPLACE(B3857&amp;"" ""&amp;C3857,""[^а-яa-z0-9 ]"","" ""))"),"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f>
        <v>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v>
      </c>
    </row>
    <row r="3858">
      <c r="A3858" s="35" t="s">
        <v>9366</v>
      </c>
      <c r="B3858" s="31" t="s">
        <v>9367</v>
      </c>
      <c r="C3858" s="31" t="s">
        <v>9368</v>
      </c>
      <c r="D3858" s="37" t="s">
        <v>14</v>
      </c>
      <c r="E3858" s="38">
        <v>2.0</v>
      </c>
      <c r="F3858" s="38">
        <v>69.0</v>
      </c>
      <c r="G3858" s="11">
        <v>251169.0</v>
      </c>
      <c r="H3858" s="34" t="str">
        <f>IFERROR(__xludf.DUMMYFUNCTION("LOWER(REGEXREPLACE(B3858&amp;"" ""&amp;C3858,""[^а-яa-z0-9 ]"","" ""))"),"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f>
        <v>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v>
      </c>
    </row>
    <row r="3859">
      <c r="A3859" s="35" t="s">
        <v>9369</v>
      </c>
      <c r="B3859" s="31" t="s">
        <v>9370</v>
      </c>
      <c r="C3859" s="31" t="s">
        <v>9371</v>
      </c>
      <c r="D3859" s="37" t="s">
        <v>14</v>
      </c>
      <c r="E3859" s="38">
        <v>2.0</v>
      </c>
      <c r="F3859" s="38">
        <v>180.0</v>
      </c>
      <c r="G3859" s="11">
        <v>204837.0</v>
      </c>
      <c r="H3859" s="34" t="str">
        <f>IFERROR(__xludf.DUMMYFUNCTION("LOWER(REGEXREPLACE(B3859&amp;"" ""&amp;C3859,""[^а-яa-z0-9 ]"","" ""))"),"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"&amp;" экокожа   урнитура  конфирматы  шурупы  скобы мебельные   иван имеет пластиковые ножки  защищающие пол от повреждений ")</f>
        <v>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экокожа   урнитура  конфирматы  шурупы  скобы мебельные   иван имеет пластиковые ножки  защищающие пол от повреждений </v>
      </c>
    </row>
    <row r="3860">
      <c r="A3860" s="35" t="s">
        <v>9372</v>
      </c>
      <c r="B3860" s="31" t="s">
        <v>9373</v>
      </c>
      <c r="C3860" s="31" t="s">
        <v>9374</v>
      </c>
      <c r="D3860" s="37" t="s">
        <v>14</v>
      </c>
      <c r="E3860" s="38">
        <v>2.0</v>
      </c>
      <c r="F3860" s="38">
        <v>75.0</v>
      </c>
      <c r="G3860" s="11">
        <v>541909.0</v>
      </c>
      <c r="H3860" s="34" t="str">
        <f>IFERROR(__xludf.DUMMYFUNCTION("LOWER(REGEXREPLACE(B3860&amp;"" ""&amp;C3860,""[^а-яa-z0-9 ]"","" ""))"),"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f>
        <v>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v>
      </c>
    </row>
    <row r="3861">
      <c r="A3861" s="35" t="s">
        <v>9375</v>
      </c>
      <c r="B3861" s="31" t="s">
        <v>9376</v>
      </c>
      <c r="C3861" s="31" t="s">
        <v>9377</v>
      </c>
      <c r="D3861" s="37" t="s">
        <v>14</v>
      </c>
      <c r="E3861" s="38">
        <v>2.0</v>
      </c>
      <c r="F3861" s="38">
        <v>78.0</v>
      </c>
      <c r="G3861" s="11">
        <v>524601.0</v>
      </c>
      <c r="H3861" s="34" t="str">
        <f>IFERROR(__xludf.DUMMYFUNCTION("LOWER(REGEXREPLACE(B3861&amp;"" ""&amp;C3861,""[^а-яa-z0-9 ]"","" ""))"),"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f>
        <v>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v>
      </c>
    </row>
    <row r="3862">
      <c r="A3862" s="35" t="s">
        <v>9378</v>
      </c>
      <c r="B3862" s="31" t="s">
        <v>9379</v>
      </c>
      <c r="C3862" s="31" t="s">
        <v>9380</v>
      </c>
      <c r="D3862" s="37" t="s">
        <v>14</v>
      </c>
      <c r="E3862" s="38">
        <v>2.0</v>
      </c>
      <c r="F3862" s="38">
        <v>70.0</v>
      </c>
      <c r="G3862" s="11">
        <v>559209.0</v>
      </c>
      <c r="H3862" s="34" t="str">
        <f>IFERROR(__xludf.DUMMYFUNCTION("LOWER(REGEXREPLACE(B3862&amp;"" ""&amp;C3862,""[^а-яa-z0-9 ]"","" ""))")," иван 3 х местный   иденье и спинка из полиуретана      кожи        аркас из металла   азмер  1800х750х700мм  ена высокой плотности   вет    лтый  синий")</f>
        <v> иван 3 х местный   иденье и спинка из полиуретана      кожи        аркас из металла   азмер  1800х750х700мм  ена высокой плотности   вет    лтый  синий</v>
      </c>
    </row>
    <row r="3863">
      <c r="A3863" s="35" t="s">
        <v>9381</v>
      </c>
      <c r="B3863" s="31" t="s">
        <v>9382</v>
      </c>
      <c r="C3863" s="31"/>
      <c r="D3863" s="37" t="s">
        <v>14</v>
      </c>
      <c r="E3863" s="10"/>
      <c r="F3863" s="36"/>
      <c r="G3863" s="11"/>
      <c r="H3863" s="34" t="str">
        <f>IFERROR(__xludf.DUMMYFUNCTION("LOWER(REGEXREPLACE(B3863&amp;"" ""&amp;C3863,""[^а-яa-z0-9 ]"","" ""))")," уф ")</f>
        <v> уф </v>
      </c>
    </row>
    <row r="3864">
      <c r="A3864" s="35" t="s">
        <v>9383</v>
      </c>
      <c r="B3864" s="31" t="s">
        <v>9384</v>
      </c>
      <c r="C3864" s="31" t="s">
        <v>9385</v>
      </c>
      <c r="D3864" s="37" t="s">
        <v>14</v>
      </c>
      <c r="E3864" s="38">
        <v>2.0</v>
      </c>
      <c r="F3864" s="38">
        <v>2.0</v>
      </c>
      <c r="G3864" s="11">
        <v>58022.0</v>
      </c>
      <c r="H3864" s="34" t="str">
        <f>IFERROR(__xludf.DUMMYFUNCTION("LOWER(REGEXREPLACE(B3864&amp;"" ""&amp;C3864,""[^а-яa-z0-9 ]"","" ""))")," уф 500 400мм  уф 500 400мм   одходит для зоны рекреации и офиса  учебного заведения   атериал по согласованию")</f>
        <v> уф 500 400мм  уф 500 400мм   одходит для зоны рекреации и офиса  учебного заведения   атериал по согласованию</v>
      </c>
    </row>
    <row r="3865">
      <c r="A3865" s="35" t="s">
        <v>9386</v>
      </c>
      <c r="B3865" s="31" t="s">
        <v>9387</v>
      </c>
      <c r="C3865" s="31" t="s">
        <v>9388</v>
      </c>
      <c r="D3865" s="37" t="s">
        <v>14</v>
      </c>
      <c r="E3865" s="38">
        <v>2.0</v>
      </c>
      <c r="F3865" s="39">
        <v>6.8</v>
      </c>
      <c r="G3865" s="11">
        <v>25206.0</v>
      </c>
      <c r="H3865" s="34" t="str">
        <f>IFERROR(__xludf.DUMMYFUNCTION("LOWER(REGEXREPLACE(B3865&amp;"" ""&amp;C3865,""[^а-яa-z0-9 ]"","" ""))"),"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f>
        <v>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v>
      </c>
    </row>
    <row r="3866">
      <c r="A3866" s="35" t="s">
        <v>9389</v>
      </c>
      <c r="B3866" s="31" t="s">
        <v>9390</v>
      </c>
      <c r="C3866" s="31" t="s">
        <v>9391</v>
      </c>
      <c r="D3866" s="37" t="s">
        <v>14</v>
      </c>
      <c r="E3866" s="38">
        <v>2.0</v>
      </c>
      <c r="F3866" s="38">
        <v>7.0</v>
      </c>
      <c r="G3866" s="11">
        <v>25207.0</v>
      </c>
      <c r="H3866" s="34" t="str">
        <f>IFERROR(__xludf.DUMMYFUNCTION("LOWER(REGEXREPLACE(B3866&amp;"" ""&amp;C3866,""[^а-яa-z0-9 ]"","" ""))"),"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f>
        <v>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v>
      </c>
    </row>
    <row r="3867">
      <c r="A3867" s="35" t="s">
        <v>9392</v>
      </c>
      <c r="B3867" s="31" t="s">
        <v>9393</v>
      </c>
      <c r="C3867" s="31" t="s">
        <v>9394</v>
      </c>
      <c r="D3867" s="37" t="s">
        <v>14</v>
      </c>
      <c r="E3867" s="38">
        <v>2.0</v>
      </c>
      <c r="F3867" s="38">
        <v>11.0</v>
      </c>
      <c r="G3867" s="11">
        <v>90871.0</v>
      </c>
      <c r="H3867" s="34" t="str">
        <f>IFERROR(__xludf.DUMMYFUNCTION("LOWER(REGEXREPLACE(B3867&amp;"" ""&amp;C3867,""[^а-яa-z0-9 ]"","" ""))"),"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f>
        <v>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v>
      </c>
    </row>
    <row r="3868">
      <c r="A3868" s="35" t="s">
        <v>9395</v>
      </c>
      <c r="B3868" s="31" t="s">
        <v>9396</v>
      </c>
      <c r="C3868" s="31" t="s">
        <v>9397</v>
      </c>
      <c r="D3868" s="37" t="s">
        <v>14</v>
      </c>
      <c r="E3868" s="38">
        <v>2.0</v>
      </c>
      <c r="F3868" s="38">
        <v>18.0</v>
      </c>
      <c r="G3868" s="11">
        <v>100790.0</v>
      </c>
      <c r="H3868" s="34" t="str">
        <f>IFERROR(__xludf.DUMMYFUNCTION("LOWER(REGEXREPLACE(B3868&amp;"" ""&amp;C3868,""[^а-яa-z0-9 ]"","" ""))"),"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f>
        <v>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v>
      </c>
    </row>
    <row r="3869">
      <c r="A3869" s="35" t="s">
        <v>9398</v>
      </c>
      <c r="B3869" s="31" t="s">
        <v>9399</v>
      </c>
      <c r="C3869" s="31" t="s">
        <v>9400</v>
      </c>
      <c r="D3869" s="37" t="s">
        <v>14</v>
      </c>
      <c r="E3869" s="38">
        <v>2.0</v>
      </c>
      <c r="F3869" s="38">
        <v>12.0</v>
      </c>
      <c r="G3869" s="11">
        <v>68392.0</v>
      </c>
      <c r="H3869" s="34" t="str">
        <f>IFERROR(__xludf.DUMMYFUNCTION("LOWER(REGEXREPLACE(B3869&amp;"" ""&amp;C3869,""[^а-яa-z0-9 ]"","" ""))"),"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f>
        <v>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v>
      </c>
    </row>
    <row r="3870">
      <c r="A3870" s="35" t="s">
        <v>9401</v>
      </c>
      <c r="B3870" s="31" t="s">
        <v>9402</v>
      </c>
      <c r="C3870" s="31" t="s">
        <v>9403</v>
      </c>
      <c r="D3870" s="37" t="s">
        <v>14</v>
      </c>
      <c r="E3870" s="38">
        <v>2.0</v>
      </c>
      <c r="F3870" s="39">
        <v>15.8</v>
      </c>
      <c r="G3870" s="11">
        <v>71824.0</v>
      </c>
      <c r="H3870" s="34" t="str">
        <f>IFERROR(__xludf.DUMMYFUNCTION("LOWER(REGEXREPLACE(B3870&amp;"" ""&amp;C3870,""[^а-яa-z0-9 ]"","" ""))"),"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f>
        <v>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v>
      </c>
    </row>
    <row r="3871">
      <c r="A3871" s="35" t="s">
        <v>9404</v>
      </c>
      <c r="B3871" s="31" t="s">
        <v>9405</v>
      </c>
      <c r="C3871" s="31" t="s">
        <v>9406</v>
      </c>
      <c r="D3871" s="37" t="s">
        <v>14</v>
      </c>
      <c r="E3871" s="38">
        <v>2.0</v>
      </c>
      <c r="F3871" s="38">
        <v>19.0</v>
      </c>
      <c r="G3871" s="11">
        <v>138564.0</v>
      </c>
      <c r="H3871" s="34" t="str">
        <f>IFERROR(__xludf.DUMMYFUNCTION("LOWER(REGEXREPLACE(B3871&amp;"" ""&amp;C3871,""[^а-яa-z0-9 ]"","" ""))"),"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f>
        <v>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v>
      </c>
    </row>
    <row r="3872">
      <c r="A3872" s="35" t="s">
        <v>9407</v>
      </c>
      <c r="B3872" s="31" t="s">
        <v>9408</v>
      </c>
      <c r="C3872" s="31" t="s">
        <v>9409</v>
      </c>
      <c r="D3872" s="37" t="s">
        <v>14</v>
      </c>
      <c r="E3872" s="38">
        <v>2.0</v>
      </c>
      <c r="F3872" s="38">
        <v>10.0</v>
      </c>
      <c r="G3872" s="11">
        <v>51298.0</v>
      </c>
      <c r="H3872" s="34" t="str">
        <f>IFERROR(__xludf.DUMMYFUNCTION("LOWER(REGEXREPLACE(B3872&amp;"" ""&amp;C3872,""[^а-яa-z0-9 ]"","" ""))"),"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f>
        <v>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v>
      </c>
    </row>
    <row r="3873">
      <c r="A3873" s="35" t="s">
        <v>9410</v>
      </c>
      <c r="B3873" s="31" t="s">
        <v>9411</v>
      </c>
      <c r="C3873" s="31" t="s">
        <v>9412</v>
      </c>
      <c r="D3873" s="37" t="s">
        <v>14</v>
      </c>
      <c r="E3873" s="38">
        <v>2.0</v>
      </c>
      <c r="F3873" s="38">
        <v>21.0</v>
      </c>
      <c r="G3873" s="11">
        <v>97204.0</v>
      </c>
      <c r="H3873" s="34" t="str">
        <f>IFERROR(__xludf.DUMMYFUNCTION("LOWER(REGEXREPLACE(B3873&amp;"" ""&amp;C3873,""[^а-яa-z0-9 ]"","" ""))"),"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f>
        <v>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v>
      </c>
    </row>
    <row r="3874">
      <c r="A3874" s="35" t="s">
        <v>9413</v>
      </c>
      <c r="B3874" s="31" t="s">
        <v>9414</v>
      </c>
      <c r="C3874" s="31" t="s">
        <v>9415</v>
      </c>
      <c r="D3874" s="37" t="s">
        <v>14</v>
      </c>
      <c r="E3874" s="38">
        <v>2.0</v>
      </c>
      <c r="F3874" s="38">
        <v>12.0</v>
      </c>
      <c r="G3874" s="11">
        <v>68932.0</v>
      </c>
      <c r="H3874" s="34" t="str">
        <f>IFERROR(__xludf.DUMMYFUNCTION("LOWER(REGEXREPLACE(B3874&amp;"" ""&amp;C3874,""[^а-яa-z0-9 ]"","" ""))"),"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f>
        <v>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v>
      </c>
    </row>
    <row r="3875">
      <c r="A3875" s="35" t="s">
        <v>9416</v>
      </c>
      <c r="B3875" s="31" t="s">
        <v>9417</v>
      </c>
      <c r="C3875" s="31" t="s">
        <v>9418</v>
      </c>
      <c r="D3875" s="37" t="s">
        <v>14</v>
      </c>
      <c r="E3875" s="38">
        <v>2.0</v>
      </c>
      <c r="F3875" s="38">
        <v>11.0</v>
      </c>
      <c r="G3875" s="11">
        <v>61554.0</v>
      </c>
      <c r="H3875" s="34" t="str">
        <f>IFERROR(__xludf.DUMMYFUNCTION("LOWER(REGEXREPLACE(B3875&amp;"" ""&amp;C3875,""[^а-яa-z0-9 ]"","" ""))"),"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f>
        <v>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v>
      </c>
    </row>
    <row r="3876">
      <c r="A3876" s="35" t="s">
        <v>9419</v>
      </c>
      <c r="B3876" s="31" t="s">
        <v>9420</v>
      </c>
      <c r="C3876" s="31" t="s">
        <v>9421</v>
      </c>
      <c r="D3876" s="37" t="s">
        <v>1507</v>
      </c>
      <c r="E3876" s="38">
        <v>2.0</v>
      </c>
      <c r="F3876" s="38">
        <v>9.0</v>
      </c>
      <c r="G3876" s="11">
        <v>115593.0</v>
      </c>
      <c r="H3876" s="34" t="str">
        <f>IFERROR(__xludf.DUMMYFUNCTION("LOWER(REGEXREPLACE(B3876&amp;"" ""&amp;C3876,""[^а-яa-z0-9 ]"","" ""))"),"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f>
        <v>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v>
      </c>
    </row>
    <row r="3877">
      <c r="A3877" s="35" t="s">
        <v>9422</v>
      </c>
      <c r="B3877" s="31" t="s">
        <v>9423</v>
      </c>
      <c r="C3877" s="31" t="s">
        <v>9424</v>
      </c>
      <c r="D3877" s="37" t="s">
        <v>1507</v>
      </c>
      <c r="E3877" s="38">
        <v>2.0</v>
      </c>
      <c r="F3877" s="38">
        <v>56.0</v>
      </c>
      <c r="G3877" s="11">
        <v>278996.0</v>
      </c>
      <c r="H3877" s="34" t="str">
        <f>IFERROR(__xludf.DUMMYFUNCTION("LOWER(REGEXREPLACE(B3877&amp;"" ""&amp;C3877,""[^а-яa-z0-9 ]"","" ""))"),"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f>
        <v>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v>
      </c>
    </row>
    <row r="3878">
      <c r="A3878" s="35" t="s">
        <v>9425</v>
      </c>
      <c r="B3878" s="31" t="s">
        <v>9426</v>
      </c>
      <c r="C3878" s="31" t="s">
        <v>9427</v>
      </c>
      <c r="D3878" s="37" t="s">
        <v>1507</v>
      </c>
      <c r="E3878" s="38">
        <v>2.0</v>
      </c>
      <c r="F3878" s="38">
        <v>33.0</v>
      </c>
      <c r="G3878" s="11">
        <v>231065.0</v>
      </c>
      <c r="H3878" s="34" t="str">
        <f>IFERROR(__xludf.DUMMYFUNCTION("LOWER(REGEXREPLACE(B3878&amp;"" ""&amp;C3878,""[^а-яa-z0-9 ]"","" ""))"),"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f>
        <v>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v>
      </c>
    </row>
    <row r="3879">
      <c r="A3879" s="35" t="s">
        <v>9428</v>
      </c>
      <c r="B3879" s="31" t="s">
        <v>9429</v>
      </c>
      <c r="C3879" s="31" t="s">
        <v>9430</v>
      </c>
      <c r="D3879" s="37" t="s">
        <v>1507</v>
      </c>
      <c r="E3879" s="38">
        <v>2.0</v>
      </c>
      <c r="F3879" s="38">
        <v>36.0</v>
      </c>
      <c r="G3879" s="11">
        <v>259134.0</v>
      </c>
      <c r="H3879" s="34" t="str">
        <f>IFERROR(__xludf.DUMMYFUNCTION("LOWER(REGEXREPLACE(B3879&amp;"" ""&amp;C3879,""[^а-яa-z0-9 ]"","" ""))"),"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f>
        <v>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v>
      </c>
    </row>
    <row r="3880">
      <c r="A3880" s="35" t="s">
        <v>9431</v>
      </c>
      <c r="B3880" s="31" t="s">
        <v>9432</v>
      </c>
      <c r="C3880" s="31" t="s">
        <v>9433</v>
      </c>
      <c r="D3880" s="37" t="s">
        <v>1507</v>
      </c>
      <c r="E3880" s="38">
        <v>2.0</v>
      </c>
      <c r="F3880" s="38">
        <v>42.0</v>
      </c>
      <c r="G3880" s="11">
        <v>247287.0</v>
      </c>
      <c r="H3880" s="34" t="str">
        <f>IFERROR(__xludf.DUMMYFUNCTION("LOWER(REGEXREPLACE(B3880&amp;"" ""&amp;C3880,""[^а-яa-z0-9 ]"","" ""))"),"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f>
        <v>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v>
      </c>
    </row>
    <row r="3881">
      <c r="A3881" s="35" t="s">
        <v>9434</v>
      </c>
      <c r="B3881" s="31" t="s">
        <v>9435</v>
      </c>
      <c r="C3881" s="31" t="s">
        <v>9436</v>
      </c>
      <c r="D3881" s="37" t="s">
        <v>14</v>
      </c>
      <c r="E3881" s="38">
        <v>2.0</v>
      </c>
      <c r="F3881" s="38">
        <v>5.0</v>
      </c>
      <c r="G3881" s="11">
        <v>70635.0</v>
      </c>
      <c r="H3881" s="34" t="str">
        <f>IFERROR(__xludf.DUMMYFUNCTION("LOWER(REGEXREPLACE(B3881&amp;"" ""&amp;C3881,""[^а-яa-z0-9 ]"","" ""))")," уф модульный   азмер 497х623х400мм  ыполнен из ппу самой высотокой плотности  плотной ткани  которая не принимает форму тела  возвращается в исходную форму ")</f>
        <v> уф модульный   азмер 497х623х400мм  ыполнен из ппу самой высотокой плотности  плотной ткани  которая не принимает форму тела  возвращается в исходную форму </v>
      </c>
    </row>
    <row r="3882">
      <c r="A3882" s="35" t="s">
        <v>9437</v>
      </c>
      <c r="B3882" s="31" t="s">
        <v>9438</v>
      </c>
      <c r="C3882" s="31"/>
      <c r="D3882" s="37" t="s">
        <v>14</v>
      </c>
      <c r="E3882" s="10"/>
      <c r="F3882" s="36"/>
      <c r="G3882" s="11"/>
      <c r="H3882" s="34" t="str">
        <f>IFERROR(__xludf.DUMMYFUNCTION("LOWER(REGEXREPLACE(B3882&amp;"" ""&amp;C3882,""[^а-яa-z0-9 ]"","" ""))")," ресло для актового  медиа и конференц залов ")</f>
        <v> ресло для актового  медиа и конференц залов </v>
      </c>
    </row>
    <row r="3883">
      <c r="A3883" s="35" t="s">
        <v>9439</v>
      </c>
      <c r="B3883" s="31" t="s">
        <v>9440</v>
      </c>
      <c r="C3883" s="31" t="s">
        <v>9441</v>
      </c>
      <c r="D3883" s="37" t="s">
        <v>14</v>
      </c>
      <c r="E3883" s="38">
        <v>2.0</v>
      </c>
      <c r="F3883" s="38">
        <v>15.0</v>
      </c>
      <c r="G3883" s="11">
        <v>94483.0</v>
      </c>
      <c r="H3883" s="34" t="str">
        <f>IFERROR(__xludf.DUMMYFUNCTION("LOWER(REGEXREPLACE(B3883&amp;"" ""&amp;C3883,""[^а-яa-z0-9 ]"","" ""))"),"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п"&amp;"одлокотников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4">
      <c r="A3884" s="35" t="s">
        <v>9442</v>
      </c>
      <c r="B3884" s="31" t="s">
        <v>9443</v>
      </c>
      <c r="C3884" s="31" t="s">
        <v>9444</v>
      </c>
      <c r="D3884" s="37" t="s">
        <v>14</v>
      </c>
      <c r="E3884" s="38">
        <v>2.0</v>
      </c>
      <c r="F3884" s="38">
        <v>15.0</v>
      </c>
      <c r="G3884" s="11">
        <v>75936.0</v>
      </c>
      <c r="H3884" s="34" t="str">
        <f>IFERROR(__xludf.DUMMYFUNCTION("LOWER(REGEXREPLACE(B3884&amp;"" ""&amp;C3884,""[^а-яa-z0-9 ]"","" ""))"),"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85">
      <c r="A3885" s="35" t="s">
        <v>9445</v>
      </c>
      <c r="B3885" s="31" t="s">
        <v>9446</v>
      </c>
      <c r="C3885" s="31" t="s">
        <v>9447</v>
      </c>
      <c r="D3885" s="37" t="s">
        <v>14</v>
      </c>
      <c r="E3885" s="38">
        <v>2.0</v>
      </c>
      <c r="F3885" s="38">
        <v>15.0</v>
      </c>
      <c r="G3885" s="11">
        <v>70877.0</v>
      </c>
      <c r="H3885" s="34" t="str">
        <f>IFERROR(__xludf.DUMMYFUNCTION("LOWER(REGEXREPLACE(B3885&amp;"" ""&amp;C3885,""[^а-яa-z0-9 ]"","" ""))"),"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86">
      <c r="A3886" s="35" t="s">
        <v>9448</v>
      </c>
      <c r="B3886" s="31" t="s">
        <v>9449</v>
      </c>
      <c r="C3886" s="31" t="s">
        <v>9450</v>
      </c>
      <c r="D3886" s="37" t="s">
        <v>14</v>
      </c>
      <c r="E3886" s="38">
        <v>2.0</v>
      </c>
      <c r="F3886" s="38">
        <v>15.0</v>
      </c>
      <c r="G3886" s="11">
        <v>68854.0</v>
      </c>
      <c r="H3886" s="34" t="str">
        <f>IFERROR(__xludf.DUMMYFUNCTION("LOWER(REGEXREPLACE(B3886&amp;"" ""&amp;C3886,""[^а-яa-z0-9 ]"","" ""))"),"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87">
      <c r="A3887" s="35" t="s">
        <v>9451</v>
      </c>
      <c r="B3887" s="31" t="s">
        <v>9452</v>
      </c>
      <c r="C3887" s="31" t="s">
        <v>9453</v>
      </c>
      <c r="D3887" s="37" t="s">
        <v>14</v>
      </c>
      <c r="E3887" s="38">
        <v>2.0</v>
      </c>
      <c r="F3887" s="38">
        <v>15.0</v>
      </c>
      <c r="G3887" s="11">
        <v>89088.0</v>
      </c>
      <c r="H3887" s="34" t="str">
        <f>IFERROR(__xludf.DUMMYFUNCTION("LOWER(REGEXREPLACE(B3887&amp;"" ""&amp;C3887,""[^а-яa-z0-9 ]"","" ""))"),"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"&amp;"ребрами жесткости  азмеры  высота   900 мм  ширина   520 мм  глубина в сложенном состоянии   225 мм  глубина в разложенном состоянии   655 мм")</f>
        <v>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  азмеры  высота   900 мм  ширина   520 мм  глубина в сложенном состоянии   225 мм  глубина в разложенном состоянии   655 мм</v>
      </c>
    </row>
    <row r="3888">
      <c r="A3888" s="35" t="s">
        <v>9454</v>
      </c>
      <c r="B3888" s="31" t="s">
        <v>9455</v>
      </c>
      <c r="C3888" s="31" t="s">
        <v>9456</v>
      </c>
      <c r="D3888" s="37" t="s">
        <v>14</v>
      </c>
      <c r="E3888" s="38">
        <v>2.0</v>
      </c>
      <c r="F3888" s="38">
        <v>15.0</v>
      </c>
      <c r="G3888" s="11">
        <v>94483.0</v>
      </c>
      <c r="H3888" s="34" t="str">
        <f>IFERROR(__xludf.DUMMYFUNCTION("LOWER(REGEXREPLACE(B3888&amp;"" ""&amp;C3888,""[^а-яa-z0-9 ]"","" ""))"),"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ос"&amp;"ями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9">
      <c r="A3889" s="35" t="s">
        <v>9457</v>
      </c>
      <c r="B3889" s="31" t="s">
        <v>9458</v>
      </c>
      <c r="C3889" s="31" t="s">
        <v>9459</v>
      </c>
      <c r="D3889" s="37" t="s">
        <v>14</v>
      </c>
      <c r="E3889" s="38">
        <v>2.0</v>
      </c>
      <c r="F3889" s="38">
        <v>15.0</v>
      </c>
      <c r="G3889" s="11">
        <v>75936.0</v>
      </c>
      <c r="H3889" s="34" t="str">
        <f>IFERROR(__xludf.DUMMYFUNCTION("LOWER(REGEXREPLACE(B3889&amp;"" ""&amp;C3889,""[^а-яa-z0-9 ]"","" ""))"),"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90">
      <c r="A3890" s="35" t="s">
        <v>9460</v>
      </c>
      <c r="B3890" s="31" t="s">
        <v>9461</v>
      </c>
      <c r="C3890" s="31" t="s">
        <v>9447</v>
      </c>
      <c r="D3890" s="37" t="s">
        <v>14</v>
      </c>
      <c r="E3890" s="38">
        <v>2.0</v>
      </c>
      <c r="F3890" s="38">
        <v>15.0</v>
      </c>
      <c r="G3890" s="11">
        <v>70877.0</v>
      </c>
      <c r="H3890" s="34" t="str">
        <f>IFERROR(__xludf.DUMMYFUNCTION("LOWER(REGEXREPLACE(B3890&amp;"" ""&amp;C3890,""[^а-яa-z0-9 ]"","" ""))"),"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91">
      <c r="A3891" s="35" t="s">
        <v>9462</v>
      </c>
      <c r="B3891" s="31" t="s">
        <v>9463</v>
      </c>
      <c r="C3891" s="31" t="s">
        <v>9450</v>
      </c>
      <c r="D3891" s="37" t="s">
        <v>14</v>
      </c>
      <c r="E3891" s="38">
        <v>2.0</v>
      </c>
      <c r="F3891" s="38">
        <v>15.0</v>
      </c>
      <c r="G3891" s="11">
        <v>68854.0</v>
      </c>
      <c r="H3891" s="34" t="str">
        <f>IFERROR(__xludf.DUMMYFUNCTION("LOWER(REGEXREPLACE(B3891&amp;"" ""&amp;C3891,""[^а-яa-z0-9 ]"","" ""))"),"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92">
      <c r="A3892" s="35" t="s">
        <v>9464</v>
      </c>
      <c r="B3892" s="31" t="s">
        <v>9465</v>
      </c>
      <c r="C3892" s="31" t="s">
        <v>9466</v>
      </c>
      <c r="D3892" s="37" t="s">
        <v>14</v>
      </c>
      <c r="E3892" s="38">
        <v>2.0</v>
      </c>
      <c r="F3892" s="38">
        <v>20.0</v>
      </c>
      <c r="G3892" s="11">
        <v>112488.0</v>
      </c>
      <c r="H3892" s="34" t="str">
        <f>IFERROR(__xludf.DUMMYFUNCTION("LOWER(REGEXREPLACE(B3892&amp;"" ""&amp;C3892,""[^а-яa-z0-9 ]"","" ""))"),"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"&amp;"класс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воз"&amp;"можностью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f>
        <v>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v>
      </c>
    </row>
    <row r="3893">
      <c r="A3893" s="35" t="s">
        <v>9467</v>
      </c>
      <c r="B3893" s="31" t="s">
        <v>9468</v>
      </c>
      <c r="C3893" s="31" t="s">
        <v>9469</v>
      </c>
      <c r="D3893" s="37" t="s">
        <v>14</v>
      </c>
      <c r="E3893" s="38">
        <v>2.0</v>
      </c>
      <c r="F3893" s="38">
        <v>25.0</v>
      </c>
      <c r="G3893" s="11">
        <v>121501.0</v>
      </c>
      <c r="H3893" s="34" t="str">
        <f>IFERROR(__xludf.DUMMYFUNCTION("LOWER(REGEXREPLACE(B3893&amp;"" ""&amp;C3893,""[^а-яa-z0-9 ]"","" ""))"),"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фане"&amp;"ры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"&amp;"из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f>
        <v>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v>
      </c>
    </row>
    <row r="3894">
      <c r="A3894" s="35" t="s">
        <v>9470</v>
      </c>
      <c r="B3894" s="31" t="s">
        <v>9471</v>
      </c>
      <c r="C3894" s="31" t="s">
        <v>9472</v>
      </c>
      <c r="D3894" s="37" t="s">
        <v>14</v>
      </c>
      <c r="E3894" s="38">
        <v>2.0</v>
      </c>
      <c r="F3894" s="39">
        <v>20.7</v>
      </c>
      <c r="G3894" s="11">
        <v>70225.0</v>
      </c>
      <c r="H3894" s="34" t="str">
        <f>IFERROR(__xludf.DUMMYFUNCTION("LOWER(REGEXREPLACE(B3894&amp;"" ""&amp;C3894,""[^а-яa-z0-9 ]"","" ""))"),"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"&amp;"сложенном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повыше"&amp;"нной плотности   олщина     50 мм   лотная ткань устойчивая к износу  триплированная сеткой и      возможность изготовления чехлов на молниях для удобства их чистки ")</f>
        <v>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повышенной плотности   олщина     50 мм   лотная ткань устойчивая к износу  триплированная сеткой и      возможность изготовления чехлов на молниях для удобства их чистки </v>
      </c>
    </row>
    <row r="3895">
      <c r="A3895" s="35" t="s">
        <v>9473</v>
      </c>
      <c r="B3895" s="31" t="s">
        <v>9474</v>
      </c>
      <c r="C3895" s="31" t="s">
        <v>9475</v>
      </c>
      <c r="D3895" s="37" t="s">
        <v>14</v>
      </c>
      <c r="E3895" s="38">
        <v>2.0</v>
      </c>
      <c r="F3895" s="38">
        <v>18.0</v>
      </c>
      <c r="G3895" s="11">
        <v>70214.0</v>
      </c>
      <c r="H3895" s="34" t="str">
        <f>IFERROR(__xludf.DUMMYFUNCTION("LOWER(REGEXREPLACE(B3895&amp;"" ""&amp;C3895,""[^а-яa-z0-9 ]"","" ""))"),"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разм"&amp;"еры   лина 1800мм   ирина 560мм   ысота 785мм   бивка  искусственная кожа  ткань")</f>
        <v>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размеры   лина 1800мм   ирина 560мм   ысота 785мм   бивка  искусственная кожа  ткань</v>
      </c>
    </row>
    <row r="3896">
      <c r="A3896" s="35" t="s">
        <v>9476</v>
      </c>
      <c r="B3896" s="31" t="s">
        <v>9477</v>
      </c>
      <c r="C3896" s="31" t="s">
        <v>9478</v>
      </c>
      <c r="D3896" s="37" t="s">
        <v>14</v>
      </c>
      <c r="E3896" s="38">
        <v>2.0</v>
      </c>
      <c r="F3896" s="38">
        <v>21.0</v>
      </c>
      <c r="G3896" s="11">
        <v>33300.0</v>
      </c>
      <c r="H3896" s="34" t="str">
        <f>IFERROR(__xludf.DUMMYFUNCTION("LOWER(REGEXREPLACE(B3896&amp;"" ""&amp;C3896,""[^а-яa-z0-9 ]"","" ""))"),"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"&amp;" ысота от пола до сиденья 460мм ")</f>
        <v>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ысота от пола до сиденья 460мм </v>
      </c>
    </row>
    <row r="3897">
      <c r="A3897" s="35" t="s">
        <v>9479</v>
      </c>
      <c r="B3897" s="31" t="s">
        <v>9480</v>
      </c>
      <c r="C3897" s="31" t="s">
        <v>9481</v>
      </c>
      <c r="D3897" s="37" t="s">
        <v>14</v>
      </c>
      <c r="E3897" s="38">
        <v>2.0</v>
      </c>
      <c r="F3897" s="38">
        <v>21.0</v>
      </c>
      <c r="G3897" s="11">
        <v>30881.0</v>
      </c>
      <c r="H3897" s="34" t="str">
        <f>IFERROR(__xludf.DUMMYFUNCTION("LOWER(REGEXREPLACE(B3897&amp;"" ""&amp;C3897,""[^а-яa-z0-9 ]"","" ""))"),"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сиденья"&amp;" 490мм ")</f>
        <v>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 490мм </v>
      </c>
    </row>
    <row r="3898">
      <c r="A3898" s="35" t="s">
        <v>9482</v>
      </c>
      <c r="B3898" s="9" t="s">
        <v>9483</v>
      </c>
      <c r="C3898" s="31" t="s">
        <v>9484</v>
      </c>
      <c r="D3898" s="37" t="s">
        <v>14</v>
      </c>
      <c r="E3898" s="38">
        <v>2.0</v>
      </c>
      <c r="F3898" s="38">
        <v>25.0</v>
      </c>
      <c r="G3898" s="11">
        <v>82371.0</v>
      </c>
      <c r="H3898" s="34" t="str">
        <f>IFERROR(__xludf.DUMMYFUNCTION("LOWER(REGEXREPLACE(B3898&amp;"" ""&amp;C3898,""[^а-яa-z0-9 ]"","" ""))"),"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размером"&amp;"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по"&amp;"длокотник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899">
      <c r="A3899" s="35" t="s">
        <v>9485</v>
      </c>
      <c r="B3899" s="31" t="s">
        <v>9486</v>
      </c>
      <c r="C3899" s="31" t="s">
        <v>9487</v>
      </c>
      <c r="D3899" s="37" t="s">
        <v>14</v>
      </c>
      <c r="E3899" s="38">
        <v>2.0</v>
      </c>
      <c r="F3899" s="38">
        <v>25.0</v>
      </c>
      <c r="G3899" s="11">
        <v>87679.0</v>
      </c>
      <c r="H3899" s="34" t="str">
        <f>IFERROR(__xludf.DUMMYFUNCTION("LOWER(REGEXREPLACE(B3899&amp;"" ""&amp;C3899,""[^а-яa-z0-9 ]"","" ""))"),"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размером"&amp;"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наклад"&amp;"ка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900">
      <c r="A3900" s="35" t="s">
        <v>9488</v>
      </c>
      <c r="B3900" s="31" t="s">
        <v>9489</v>
      </c>
      <c r="C3900" s="31" t="s">
        <v>9490</v>
      </c>
      <c r="D3900" s="37" t="s">
        <v>14</v>
      </c>
      <c r="E3900" s="38">
        <v>2.0</v>
      </c>
      <c r="F3900" s="38">
        <v>30.0</v>
      </c>
      <c r="G3900" s="11">
        <v>90353.0</v>
      </c>
      <c r="H3900" s="34" t="str">
        <f>IFERROR(__xludf.DUMMYFUNCTION("LOWER(REGEXREPLACE(B3900&amp;"" ""&amp;C3900,""[^а-яa-z0-9 ]"","" ""))"),"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пл"&amp;"астина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звукопоглощаю"&amp;"щими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"&amp;"и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внутренн"&amp;"им переплетением   репление кресла к полу осуществляется с помощью анкерных элементов")</f>
        <v>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внутренним переплетением   репление кресла к полу осуществляется с помощью анкерных элементов</v>
      </c>
    </row>
    <row r="3901">
      <c r="A3901" s="35" t="s">
        <v>9491</v>
      </c>
      <c r="B3901" s="31" t="s">
        <v>9492</v>
      </c>
      <c r="C3901" s="31" t="s">
        <v>9493</v>
      </c>
      <c r="D3901" s="37" t="s">
        <v>14</v>
      </c>
      <c r="E3901" s="38">
        <v>2.0</v>
      </c>
      <c r="F3901" s="38">
        <v>28.0</v>
      </c>
      <c r="G3901" s="11">
        <v>92999.0</v>
      </c>
      <c r="H3901" s="34" t="str">
        <f>IFERROR(__xludf.DUMMYFUNCTION("LOWER(REGEXREPLACE(B3901&amp;"" ""&amp;C3901,""[^а-яa-z0-9 ]"",""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"&amp;"панель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ме"&amp;"ханизмом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бивочная"&amp;"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ш"&amp;"тампованной стали толщиной 2 0 мм ")</f>
        <v>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штампованной стали толщиной 2 0 мм </v>
      </c>
    </row>
    <row r="3902">
      <c r="A3902" s="35" t="s">
        <v>9494</v>
      </c>
      <c r="B3902" s="31" t="s">
        <v>9495</v>
      </c>
      <c r="C3902" s="31" t="s">
        <v>9496</v>
      </c>
      <c r="D3902" s="37" t="s">
        <v>14</v>
      </c>
      <c r="E3902" s="38">
        <v>2.0</v>
      </c>
      <c r="F3902" s="38">
        <v>38.0</v>
      </c>
      <c r="G3902" s="11">
        <v>89057.0</v>
      </c>
      <c r="H3902" s="34" t="str">
        <f>IFERROR(__xludf.DUMMYFUNCTION("LOWER(REGEXREPLACE(B3902&amp;"" ""&amp;C3902,""[^а-яa-z0-9 ]"","" ""))"),"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лис"&amp;"твенных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"&amp;"доска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воз"&amp;"вращение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f>
        <v>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v>
      </c>
    </row>
    <row r="3903">
      <c r="A3903" s="35" t="s">
        <v>9497</v>
      </c>
      <c r="B3903" s="31" t="s">
        <v>9498</v>
      </c>
      <c r="C3903" s="31" t="s">
        <v>9499</v>
      </c>
      <c r="D3903" s="37" t="s">
        <v>14</v>
      </c>
      <c r="E3903" s="38">
        <v>2.0</v>
      </c>
      <c r="F3903" s="38">
        <v>32.0</v>
      </c>
      <c r="G3903" s="11">
        <v>98322.0</v>
      </c>
      <c r="H3903" s="34" t="str">
        <f>IFERROR(__xludf.DUMMYFUNCTION("LOWER(REGEXREPLACE(B3903&amp;"" ""&amp;C3903,""[^а-яa-z0-9 ]"",""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во"&amp;"зврата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пенополиурета"&amp;"на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древ"&amp;"есины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обеспечивающ"&amp;"им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выполнена"&amp;"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"&amp;"к полу осуществляется с помощью анкерных элементов")</f>
        <v>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v>
      </c>
    </row>
    <row r="3904">
      <c r="A3904" s="35" t="s">
        <v>9500</v>
      </c>
      <c r="B3904" s="31" t="s">
        <v>9501</v>
      </c>
      <c r="C3904" s="31" t="s">
        <v>9502</v>
      </c>
      <c r="D3904" s="37" t="s">
        <v>14</v>
      </c>
      <c r="E3904" s="38">
        <v>2.0</v>
      </c>
      <c r="F3904" s="38">
        <v>30.0</v>
      </c>
      <c r="G3904" s="11">
        <v>109461.0</v>
      </c>
      <c r="H3904" s="34" t="str">
        <f>IFERROR(__xludf.DUMMYFUNCTION("LOWER(REGEXREPLACE(B3904&amp;"" ""&amp;C3904,""[^а-яa-z0-9 ]"",""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плотностью"&amp;"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"&amp;"размером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бивка"&amp;"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f>
        <v>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v>
      </c>
    </row>
    <row r="3905">
      <c r="A3905" s="35" t="s">
        <v>9503</v>
      </c>
      <c r="B3905" s="31" t="s">
        <v>9504</v>
      </c>
      <c r="C3905" s="31" t="s">
        <v>9505</v>
      </c>
      <c r="D3905" s="37" t="s">
        <v>14</v>
      </c>
      <c r="E3905" s="38">
        <v>2.0</v>
      </c>
      <c r="F3905" s="38">
        <v>32.0</v>
      </c>
      <c r="G3905" s="11">
        <v>114247.0</v>
      </c>
      <c r="H3905" s="34" t="str">
        <f>IFERROR(__xludf.DUMMYFUNCTION("LOWER(REGEXREPLACE(B3905&amp;"" ""&amp;C3905,""[^а-яa-z0-9 ]"","" ""))"),"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"&amp;"с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"&amp;"подлокотника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ли"&amp;"тья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а"&amp;"нкерных элементов ")</f>
        <v>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анкерных элементов </v>
      </c>
    </row>
    <row r="3906">
      <c r="A3906" s="35" t="s">
        <v>9506</v>
      </c>
      <c r="B3906" s="31" t="s">
        <v>9507</v>
      </c>
      <c r="C3906" s="31" t="s">
        <v>9508</v>
      </c>
      <c r="D3906" s="37" t="s">
        <v>14</v>
      </c>
      <c r="E3906" s="38">
        <v>2.0</v>
      </c>
      <c r="F3906" s="38">
        <v>32.0</v>
      </c>
      <c r="G3906" s="11">
        <v>115573.0</v>
      </c>
      <c r="H3906" s="34" t="str">
        <f>IFERROR(__xludf.DUMMYFUNCTION("LOWER(REGEXREPLACE(B3906&amp;"" ""&amp;C3906,""[^а-яa-z0-9 ]"","" ""))"),"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облицованные"&amp;"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изг"&amp;"отовлена из холоднокатаной стальной пластины толщиной 1 5 мм   репление кресла к полу осуществляется с помощью анкерных элементов ")</f>
        <v>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изготовлена из холоднокатаной стальной пластины толщиной 1 5 мм   репление кресла к полу осуществляется с помощью анкерных элементов </v>
      </c>
    </row>
    <row r="3907">
      <c r="A3907" s="35" t="s">
        <v>9509</v>
      </c>
      <c r="B3907" s="31" t="s">
        <v>9510</v>
      </c>
      <c r="C3907" s="31" t="s">
        <v>9511</v>
      </c>
      <c r="D3907" s="37" t="s">
        <v>14</v>
      </c>
      <c r="E3907" s="38">
        <v>2.0</v>
      </c>
      <c r="F3907" s="38">
        <v>36.0</v>
      </c>
      <c r="G3907" s="11">
        <v>122224.0</v>
      </c>
      <c r="H3907" s="34" t="str">
        <f>IFERROR(__xludf.DUMMYFUNCTION("LOWER(REGEXREPLACE(B3907&amp;"" ""&amp;C3907,""[^а-яa-z0-9 ]"","" ""))"),"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з"&amp;"ала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пр"&amp;"очного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хлопчатобумажно"&amp;"й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f>
        <v>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v>
      </c>
    </row>
    <row r="3908">
      <c r="A3908" s="35" t="s">
        <v>9512</v>
      </c>
      <c r="B3908" s="31" t="s">
        <v>9513</v>
      </c>
      <c r="C3908" s="31" t="s">
        <v>9514</v>
      </c>
      <c r="D3908" s="37" t="s">
        <v>14</v>
      </c>
      <c r="E3908" s="38">
        <v>2.0</v>
      </c>
      <c r="F3908" s="38">
        <v>26.0</v>
      </c>
      <c r="G3908" s="11">
        <v>150052.0</v>
      </c>
      <c r="H3908" s="34" t="str">
        <f>IFERROR(__xludf.DUMMYFUNCTION("LOWER(REGEXREPLACE(B3908&amp;"" ""&amp;C3908,""[^а-яa-z0-9 ]"","" ""))"),"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акто"&amp;"вого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древес"&amp;"ины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прочного"&amp;"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f>
        <v>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v>
      </c>
    </row>
    <row r="3909">
      <c r="A3909" s="35" t="s">
        <v>9515</v>
      </c>
      <c r="B3909" s="31" t="s">
        <v>9516</v>
      </c>
      <c r="C3909" s="31" t="s">
        <v>9517</v>
      </c>
      <c r="D3909" s="37" t="s">
        <v>14</v>
      </c>
      <c r="E3909" s="38">
        <v>2.0</v>
      </c>
      <c r="F3909" s="38">
        <v>28.0</v>
      </c>
      <c r="G3909" s="11">
        <v>195442.0</v>
      </c>
      <c r="H3909" s="34" t="str">
        <f>IFERROR(__xludf.DUMMYFUNCTION("LOWER(REGEXREPLACE(B3909&amp;"" ""&amp;C3909,""[^а-яa-z0-9 ]"",""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много"&amp;"слойной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мех"&amp;"анизмом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"&amp;"и устойчивостью к выцветанию   репление кресла к полу осуществляется с помощью анкерных элементов ")</f>
        <v>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и устойчивостью к выцветанию   репление кресла к полу осуществляется с помощью анкерных элементов </v>
      </c>
    </row>
    <row r="3910">
      <c r="A3910" s="35" t="s">
        <v>9518</v>
      </c>
      <c r="B3910" s="31" t="s">
        <v>9519</v>
      </c>
      <c r="C3910" s="31" t="s">
        <v>9520</v>
      </c>
      <c r="D3910" s="37" t="s">
        <v>14</v>
      </c>
      <c r="E3910" s="38">
        <v>2.0</v>
      </c>
      <c r="F3910" s="38">
        <v>48.0</v>
      </c>
      <c r="G3910" s="11">
        <v>663681.0</v>
      </c>
      <c r="H3910" s="34" t="str">
        <f>IFERROR(__xludf.DUMMYFUNCTION("LOWER(REGEXREPLACE(B3910&amp;"" ""&amp;C3910,""[^а-яa-z0-9 ]"","" ""))"),"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электр"&amp;"оприводом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глу"&amp;"бокой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"&amp;"любого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реп"&amp;"ление кресла к полу не требуется")</f>
        <v>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репление кресла к полу не требуется</v>
      </c>
    </row>
    <row r="3911">
      <c r="A3911" s="35" t="s">
        <v>9521</v>
      </c>
      <c r="B3911" s="31" t="s">
        <v>9522</v>
      </c>
      <c r="C3911" s="31" t="s">
        <v>9523</v>
      </c>
      <c r="D3911" s="37" t="s">
        <v>14</v>
      </c>
      <c r="E3911" s="38">
        <v>2.0</v>
      </c>
      <c r="F3911" s="38">
        <v>33.0</v>
      </c>
      <c r="G3911" s="11">
        <v>438037.0</v>
      </c>
      <c r="H3911" s="34" t="str">
        <f>IFERROR(__xludf.DUMMYFUNCTION("LOWER(REGEXREPLACE(B3911&amp;"" ""&amp;C3911,""[^а-яa-z0-9 ]"","" ""))"),"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1800"&amp;"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мест"&amp;"о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"&amp;"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зрите"&amp;"льных залов  актовых помещений и кинотеатров   репление кресла к полу не требуется")</f>
        <v>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зрительных залов  актовых помещений и кинотеатров   репление кресла к полу не требуется</v>
      </c>
    </row>
    <row r="3912">
      <c r="A3912" s="35" t="s">
        <v>9524</v>
      </c>
      <c r="B3912" s="31" t="s">
        <v>9525</v>
      </c>
      <c r="C3912" s="31" t="s">
        <v>9526</v>
      </c>
      <c r="D3912" s="37" t="s">
        <v>14</v>
      </c>
      <c r="E3912" s="38">
        <v>2.0</v>
      </c>
      <c r="F3912" s="38">
        <v>49.0</v>
      </c>
      <c r="G3912" s="11">
        <v>610606.0</v>
      </c>
      <c r="H3912" s="34" t="str">
        <f>IFERROR(__xludf.DUMMYFUNCTION("LOWER(REGEXREPLACE(B3912&amp;"" ""&amp;C3912,""[^а-яa-z0-9 ]"","" ""))"),"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"&amp;"высокой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"&amp;"ирина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"&amp;"эффектом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соответству"&amp;"ют требованиям пожарной безопасности  предусмотренным для кинотеатров  актовых и общественных залов   репление кресла к полу не требуется")</f>
        <v>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соответствуют требованиям пожарной безопасности  предусмотренным для кинотеатров  актовых и общественных залов   репление кресла к полу не требуется</v>
      </c>
    </row>
    <row r="3913">
      <c r="A3913" s="35" t="s">
        <v>9527</v>
      </c>
      <c r="B3913" s="31" t="s">
        <v>9528</v>
      </c>
      <c r="C3913" s="31" t="s">
        <v>9529</v>
      </c>
      <c r="D3913" s="37" t="s">
        <v>14</v>
      </c>
      <c r="E3913" s="38">
        <v>2.0</v>
      </c>
      <c r="F3913" s="38">
        <v>50.0</v>
      </c>
      <c r="G3913" s="11">
        <v>849467.0</v>
      </c>
      <c r="H3913" s="34" t="str">
        <f>IFERROR(__xludf.DUMMYFUNCTION("LOWER(REGEXREPLACE(B3913&amp;"" ""&amp;C3913,""[^а-яa-z0-9 ]"","" ""))"),"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спинко"&amp;"й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обеспечив"&amp;"ая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плотн"&amp;"остью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"&amp;"из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f>
        <v>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v>
      </c>
    </row>
    <row r="3914">
      <c r="A3914" s="35" t="s">
        <v>9530</v>
      </c>
      <c r="B3914" s="31" t="s">
        <v>9531</v>
      </c>
      <c r="C3914" s="31" t="s">
        <v>9532</v>
      </c>
      <c r="D3914" s="37" t="s">
        <v>14</v>
      </c>
      <c r="E3914" s="38">
        <v>2.0</v>
      </c>
      <c r="F3914" s="38">
        <v>14.0</v>
      </c>
      <c r="G3914" s="11">
        <v>46822.0</v>
      </c>
      <c r="H3914" s="34" t="str">
        <f>IFERROR(__xludf.DUMMYFUNCTION("LOWER(REGEXREPLACE(B3914&amp;"" ""&amp;C3914,""[^а-яa-z0-9 ]"","" ""))"),"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фла"&amp;"нец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"&amp;"мм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сва"&amp;"рки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крепится"&amp;"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снован"&amp;"ие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f>
        <v>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v>
      </c>
    </row>
    <row r="3915">
      <c r="A3915" s="35" t="s">
        <v>9533</v>
      </c>
      <c r="B3915" s="31" t="s">
        <v>9534</v>
      </c>
      <c r="C3915" s="31"/>
      <c r="D3915" s="37" t="s">
        <v>14</v>
      </c>
      <c r="E3915" s="10"/>
      <c r="F3915" s="36"/>
      <c r="G3915" s="11"/>
      <c r="H3915" s="34" t="str">
        <f>IFERROR(__xludf.DUMMYFUNCTION("LOWER(REGEXREPLACE(B3915&amp;"" ""&amp;C3915,""[^а-яa-z0-9 ]"","" ""))")," ресло для спортивного зала ")</f>
        <v> ресло для спортивного зала </v>
      </c>
    </row>
    <row r="3916">
      <c r="A3916" s="35" t="s">
        <v>9535</v>
      </c>
      <c r="B3916" s="31" t="s">
        <v>9536</v>
      </c>
      <c r="C3916" s="31" t="s">
        <v>9537</v>
      </c>
      <c r="D3916" s="37" t="s">
        <v>14</v>
      </c>
      <c r="E3916" s="38">
        <v>2.0</v>
      </c>
      <c r="F3916" s="38">
        <v>8.0</v>
      </c>
      <c r="G3916" s="11">
        <v>65791.0</v>
      </c>
      <c r="H3916" s="34" t="str">
        <f>IFERROR(__xludf.DUMMYFUNCTION("LOWER(REGEXREPLACE(B3916&amp;"" ""&amp;C3916,""[^а-яa-z0-9 ]"","" ""))"),"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ква"&amp;"дратного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до"&amp;"пускается гофрирование  сморщивание  трубы в месте гибки ")</f>
        <v>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допускается гофрирование  сморщивание  трубы в месте гибки </v>
      </c>
    </row>
    <row r="3917">
      <c r="A3917" s="35" t="s">
        <v>9538</v>
      </c>
      <c r="B3917" s="31" t="s">
        <v>9539</v>
      </c>
      <c r="C3917" s="31" t="s">
        <v>9540</v>
      </c>
      <c r="D3917" s="37" t="s">
        <v>14</v>
      </c>
      <c r="E3917" s="38">
        <v>2.0</v>
      </c>
      <c r="F3917" s="38">
        <v>8.0</v>
      </c>
      <c r="G3917" s="11">
        <v>48593.0</v>
      </c>
      <c r="H3917" s="34" t="str">
        <f>IFERROR(__xludf.DUMMYFUNCTION("LOWER(REGEXREPLACE(B3917&amp;"" ""&amp;C3917,""[^а-яa-z0-9 ]"","" ""))"),"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f>
        <v>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v>
      </c>
    </row>
    <row r="3918">
      <c r="A3918" s="35" t="s">
        <v>9541</v>
      </c>
      <c r="B3918" s="31" t="s">
        <v>9542</v>
      </c>
      <c r="C3918" s="31" t="s">
        <v>9540</v>
      </c>
      <c r="D3918" s="37" t="s">
        <v>14</v>
      </c>
      <c r="E3918" s="38">
        <v>2.0</v>
      </c>
      <c r="F3918" s="38">
        <v>8.0</v>
      </c>
      <c r="G3918" s="11">
        <v>64105.0</v>
      </c>
      <c r="H3918" s="34" t="str">
        <f>IFERROR(__xludf.DUMMYFUNCTION("LOWER(REGEXREPLACE(B3918&amp;"" ""&amp;C3918,""[^а-яa-z0-9 ]"","" ""))"),"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рас"&amp;"стояние кресел от 470 до 520 мм")</f>
        <v>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расстояние кресел от 470 до 520 мм</v>
      </c>
    </row>
    <row r="3919">
      <c r="A3919" s="35" t="s">
        <v>9543</v>
      </c>
      <c r="B3919" s="31" t="s">
        <v>9544</v>
      </c>
      <c r="C3919" s="31" t="s">
        <v>9545</v>
      </c>
      <c r="D3919" s="37" t="s">
        <v>14</v>
      </c>
      <c r="E3919" s="38">
        <v>2.0</v>
      </c>
      <c r="F3919" s="38">
        <v>8.0</v>
      </c>
      <c r="G3919" s="11">
        <v>42522.0</v>
      </c>
      <c r="H3919" s="34" t="str">
        <f>IFERROR(__xludf.DUMMYFUNCTION("LOWER(REGEXREPLACE(B3919&amp;"" ""&amp;C3919,""[^а-яa-z0-9 ]"","" ""))"),"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сост"&amp;"оянии   230 мм  межцентровое расстояние кресел от 470 до 520 мм")</f>
        <v>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состоянии   230 мм  межцентровое расстояние кресел от 470 до 520 мм</v>
      </c>
    </row>
    <row r="3920">
      <c r="A3920" s="35" t="s">
        <v>9546</v>
      </c>
      <c r="B3920" s="31" t="s">
        <v>9547</v>
      </c>
      <c r="C3920" s="31" t="s">
        <v>9548</v>
      </c>
      <c r="D3920" s="37" t="s">
        <v>14</v>
      </c>
      <c r="E3920" s="38">
        <v>2.0</v>
      </c>
      <c r="F3920" s="38">
        <v>8.0</v>
      </c>
      <c r="G3920" s="11">
        <v>75571.0</v>
      </c>
      <c r="H3920" s="34" t="str">
        <f>IFERROR(__xludf.DUMMYFUNCTION("LOWER(REGEXREPLACE(B3920&amp;"" ""&amp;C3920,""[^а-яa-z0-9 ]"","" ""))"),"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разложенн"&amp;"ом 680 мм")</f>
        <v>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разложенном 680 мм</v>
      </c>
    </row>
    <row r="3921">
      <c r="A3921" s="35" t="s">
        <v>9549</v>
      </c>
      <c r="B3921" s="9" t="s">
        <v>9550</v>
      </c>
      <c r="C3921" s="31" t="s">
        <v>9551</v>
      </c>
      <c r="D3921" s="37" t="s">
        <v>14</v>
      </c>
      <c r="E3921" s="38">
        <v>2.0</v>
      </c>
      <c r="F3921" s="38">
        <v>9.0</v>
      </c>
      <c r="G3921" s="11">
        <v>61726.0</v>
      </c>
      <c r="H3921" s="34" t="str">
        <f>IFERROR(__xludf.DUMMYFUNCTION("LOWER(REGEXREPLACE(B3921&amp;"" ""&amp;C3921,""[^а-яa-z0-9 ]"","" ""))"),"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высок"&amp;"ой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метал"&amp;"ла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порошков"&amp;"ой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мик"&amp;"рон   азмеры  450 ширина  390 высота  500 глубина  мм ")</f>
        <v>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450 ширина  390 высота  500 глубина  мм </v>
      </c>
    </row>
    <row r="3922">
      <c r="A3922" s="35" t="s">
        <v>9552</v>
      </c>
      <c r="B3922" s="9" t="s">
        <v>9553</v>
      </c>
      <c r="C3922" s="31" t="s">
        <v>9554</v>
      </c>
      <c r="D3922" s="37" t="s">
        <v>14</v>
      </c>
      <c r="E3922" s="38">
        <v>2.0</v>
      </c>
      <c r="F3922" s="39">
        <v>7.5</v>
      </c>
      <c r="G3922" s="11">
        <v>43734.0</v>
      </c>
      <c r="H3922" s="34" t="str">
        <f>IFERROR(__xludf.DUMMYFUNCTION("LOWER(REGEXREPLACE(B3922&amp;"" ""&amp;C3922,""[^а-яa-z0-9 ]"","" ""))"),"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в"&amp;"ыдувное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крепежн"&amp;"ых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ви"&amp;"нтов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сложн"&amp;"ым требованиям к установке на объекте ")</f>
        <v>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сложным требованиям к установке на объекте </v>
      </c>
    </row>
    <row r="3923">
      <c r="A3923" s="35" t="s">
        <v>9555</v>
      </c>
      <c r="B3923" s="31" t="s">
        <v>9556</v>
      </c>
      <c r="C3923" s="31" t="s">
        <v>9557</v>
      </c>
      <c r="D3923" s="37" t="s">
        <v>14</v>
      </c>
      <c r="E3923" s="38">
        <v>2.0</v>
      </c>
      <c r="F3923" s="39">
        <v>8.5</v>
      </c>
      <c r="G3923" s="11">
        <v>75573.0</v>
      </c>
      <c r="H3923" s="34" t="str">
        <f>IFERROR(__xludf.DUMMYFUNCTION("LOWER(REGEXREPLACE(B3923&amp;"" ""&amp;C3923,""[^а-яa-z0-9 ]"","" ""))"),"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д"&amp;"ворцы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"&amp;"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f>
        <v>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v>
      </c>
    </row>
    <row r="3924">
      <c r="A3924" s="35" t="s">
        <v>9558</v>
      </c>
      <c r="B3924" s="31" t="s">
        <v>9559</v>
      </c>
      <c r="C3924" s="31" t="s">
        <v>9560</v>
      </c>
      <c r="D3924" s="37" t="s">
        <v>14</v>
      </c>
      <c r="E3924" s="38">
        <v>2.0</v>
      </c>
      <c r="F3924" s="38">
        <v>35.0</v>
      </c>
      <c r="G3924" s="11">
        <v>254751.0</v>
      </c>
      <c r="H3924" s="34" t="str">
        <f>IFERROR(__xludf.DUMMYFUNCTION("LOWER(REGEXREPLACE(B3924&amp;"" ""&amp;C3924,""[^а-яa-z0-9 ]"","" ""))"),"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металлокаркас"&amp;"а порошковая   еталлокаркас поставляется в собранном виде  пластиковые сиденья крепятся к каркасу при помощи болтов ")</f>
        <v>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5">
      <c r="A3925" s="35" t="s">
        <v>9561</v>
      </c>
      <c r="B3925" s="31" t="s">
        <v>9562</v>
      </c>
      <c r="C3925" s="31" t="s">
        <v>9560</v>
      </c>
      <c r="D3925" s="37" t="s">
        <v>14</v>
      </c>
      <c r="E3925" s="38">
        <v>2.0</v>
      </c>
      <c r="F3925" s="38">
        <v>28.0</v>
      </c>
      <c r="G3925" s="11">
        <v>148515.0</v>
      </c>
      <c r="H3925" s="34" t="str">
        <f>IFERROR(__xludf.DUMMYFUNCTION("LOWER(REGEXREPLACE(B3925&amp;"" ""&amp;C3925,""[^а-яa-z0-9 ]"","" ""))"),"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металлокарка"&amp;"са порошковая   еталлокаркас поставляется в собранном виде  пластиковые сиденья крепятся к каркасу при помощи болтов ")</f>
        <v>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6">
      <c r="A3926" s="35" t="s">
        <v>9563</v>
      </c>
      <c r="B3926" s="31" t="s">
        <v>9564</v>
      </c>
      <c r="C3926" s="31"/>
      <c r="D3926" s="37" t="s">
        <v>14</v>
      </c>
      <c r="E3926" s="10"/>
      <c r="F3926" s="36"/>
      <c r="G3926" s="11"/>
      <c r="H3926" s="34" t="str">
        <f>IFERROR(__xludf.DUMMYFUNCTION("LOWER(REGEXREPLACE(B3926&amp;"" ""&amp;C3926,""[^а-яa-z0-9 ]"","" ""))")," тол журнальный ")</f>
        <v> тол журнальный </v>
      </c>
    </row>
    <row r="3927">
      <c r="A3927" s="35" t="s">
        <v>9565</v>
      </c>
      <c r="B3927" s="31" t="s">
        <v>9566</v>
      </c>
      <c r="C3927" s="31" t="s">
        <v>9567</v>
      </c>
      <c r="D3927" s="37" t="s">
        <v>14</v>
      </c>
      <c r="E3927" s="38">
        <v>2.0</v>
      </c>
      <c r="F3927" s="38">
        <v>18.0</v>
      </c>
      <c r="G3927" s="11">
        <v>45030.0</v>
      </c>
      <c r="H3927" s="34" t="str">
        <f>IFERROR(__xludf.DUMMYFUNCTION("LOWER(REGEXREPLACE(B3927&amp;"" ""&amp;C3927,""[^а-яa-z0-9 ]"","" ""))"),"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толщ"&amp;"иной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f>
        <v>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v>
      </c>
    </row>
    <row r="3928">
      <c r="A3928" s="35" t="s">
        <v>9568</v>
      </c>
      <c r="B3928" s="31" t="s">
        <v>9569</v>
      </c>
      <c r="C3928" s="31" t="s">
        <v>9570</v>
      </c>
      <c r="D3928" s="37" t="s">
        <v>14</v>
      </c>
      <c r="E3928" s="38">
        <v>2.0</v>
      </c>
      <c r="F3928" s="40">
        <v>26.95</v>
      </c>
      <c r="G3928" s="11">
        <v>25644.0</v>
      </c>
      <c r="H3928" s="34" t="str">
        <f>IFERROR(__xludf.DUMMYFUNCTION("LOWER(REGEXREPLACE(B3928&amp;"" ""&amp;C3928,""[^а-яa-z0-9 ]"","" ""))"),"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f>
        <v>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v>
      </c>
    </row>
    <row r="3929">
      <c r="A3929" s="35" t="s">
        <v>9571</v>
      </c>
      <c r="B3929" s="31" t="s">
        <v>9572</v>
      </c>
      <c r="C3929" s="31" t="s">
        <v>9573</v>
      </c>
      <c r="D3929" s="37" t="s">
        <v>14</v>
      </c>
      <c r="E3929" s="38">
        <v>2.0</v>
      </c>
      <c r="F3929" s="38">
        <v>12.0</v>
      </c>
      <c r="G3929" s="11">
        <v>174017.0</v>
      </c>
      <c r="H3929" s="34" t="str">
        <f>IFERROR(__xludf.DUMMYFUNCTION("LOWER(REGEXREPLACE(B3929&amp;"" ""&amp;C3929,""[^а-яa-z0-9 ]"","" ""))"),"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высота"&amp;"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f>
        <v>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v>
      </c>
    </row>
    <row r="3930">
      <c r="A3930" s="35" t="s">
        <v>9574</v>
      </c>
      <c r="B3930" s="31" t="s">
        <v>9575</v>
      </c>
      <c r="C3930" s="31"/>
      <c r="D3930" s="37" t="s">
        <v>14</v>
      </c>
      <c r="E3930" s="10"/>
      <c r="F3930" s="36"/>
      <c r="G3930" s="11"/>
      <c r="H3930" s="34" t="str">
        <f>IFERROR(__xludf.DUMMYFUNCTION("LOWER(REGEXREPLACE(B3930&amp;"" ""&amp;C3930,""[^а-яa-z0-9 ]"","" ""))")," умба лабораторная ")</f>
        <v> умба лабораторная </v>
      </c>
    </row>
    <row r="3931">
      <c r="A3931" s="35" t="s">
        <v>9576</v>
      </c>
      <c r="B3931" s="31" t="s">
        <v>9577</v>
      </c>
      <c r="C3931" s="31" t="s">
        <v>9578</v>
      </c>
      <c r="D3931" s="37" t="s">
        <v>14</v>
      </c>
      <c r="E3931" s="38">
        <v>2.0</v>
      </c>
      <c r="F3931" s="38">
        <v>80.0</v>
      </c>
      <c r="G3931" s="11">
        <v>195818.0</v>
      </c>
      <c r="H3931" s="34" t="str">
        <f>IFERROR(__xludf.DUMMYFUNCTION("LOWER(REGEXREPLACE(B3931&amp;"" ""&amp;C3931,""[^а-яa-z0-9 ]"","" ""))"),"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изго"&amp;"товлен из латуни   а поверхность нанесено многослойное эпоксидное покрытие  устойчивое к щелочам и кислотам")</f>
        <v>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изготовлен из латуни   а поверхность нанесено многослойное эпоксидное покрытие  устойчивое к щелочам и кислотам</v>
      </c>
    </row>
    <row r="3932">
      <c r="A3932" s="35" t="s">
        <v>9579</v>
      </c>
      <c r="B3932" s="31" t="s">
        <v>9580</v>
      </c>
      <c r="C3932" s="31" t="s">
        <v>9581</v>
      </c>
      <c r="D3932" s="37" t="s">
        <v>14</v>
      </c>
      <c r="E3932" s="38">
        <v>2.0</v>
      </c>
      <c r="F3932" s="38">
        <v>21.0</v>
      </c>
      <c r="G3932" s="11">
        <v>358699.0</v>
      </c>
      <c r="H3932" s="34" t="str">
        <f>IFERROR(__xludf.DUMMYFUNCTION("LOWER(REGEXREPLACE(B3932&amp;"" ""&amp;C3932,""[^а-яa-z0-9 ]"","" ""))"),"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выполнен"&amp;"а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подключ"&amp;"ению   становлены пластиковые подпятники  регулируемые ")</f>
        <v>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подключению   становлены пластиковые подпятники  регулируемые </v>
      </c>
    </row>
    <row r="3933">
      <c r="A3933" s="35" t="s">
        <v>9582</v>
      </c>
      <c r="B3933" s="31" t="s">
        <v>9583</v>
      </c>
      <c r="C3933" s="31" t="s">
        <v>9584</v>
      </c>
      <c r="D3933" s="37" t="s">
        <v>14</v>
      </c>
      <c r="E3933" s="38">
        <v>2.0</v>
      </c>
      <c r="F3933" s="38">
        <v>17.0</v>
      </c>
      <c r="G3933" s="11">
        <v>23451.0</v>
      </c>
      <c r="H3933" s="34" t="str">
        <f>IFERROR(__xludf.DUMMYFUNCTION("LOWER(REGEXREPLACE(B3933&amp;"" ""&amp;C3933,""[^а-яa-z0-9 ]"","" ""))"),"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фа"&amp;"сада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мебе"&amp;"льную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f>
        <v>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v>
      </c>
    </row>
    <row r="3934">
      <c r="A3934" s="35" t="s">
        <v>9585</v>
      </c>
      <c r="B3934" s="31" t="s">
        <v>9586</v>
      </c>
      <c r="C3934" s="31" t="s">
        <v>9587</v>
      </c>
      <c r="D3934" s="37" t="s">
        <v>14</v>
      </c>
      <c r="E3934" s="38">
        <v>2.0</v>
      </c>
      <c r="F3934" s="38">
        <v>28.0</v>
      </c>
      <c r="G3934" s="11">
        <v>50343.0</v>
      </c>
      <c r="H3934" s="34" t="str">
        <f>IFERROR(__xludf.DUMMYFUNCTION("LOWER(REGEXREPLACE(B3934&amp;"" ""&amp;C3934,""[^а-яa-z0-9 ]"","" ""))"),"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фас"&amp;"ада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имеющи"&amp;"й мебельную ручку скобу   борка производиться с помощью конфирматов 6 4х50 мм и эксцентриковых стяжек   умба опирается на колесные опоры ")</f>
        <v>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имеющий мебельную ручку скобу   борка производиться с помощью конфирматов 6 4х50 мм и эксцентриковых стяжек   умба опирается на колесные опоры </v>
      </c>
    </row>
    <row r="3935">
      <c r="A3935" s="35" t="s">
        <v>9588</v>
      </c>
      <c r="B3935" s="31" t="s">
        <v>9589</v>
      </c>
      <c r="C3935" s="31"/>
      <c r="D3935" s="37" t="s">
        <v>14</v>
      </c>
      <c r="E3935" s="10"/>
      <c r="F3935" s="36"/>
      <c r="G3935" s="11"/>
      <c r="H3935" s="34" t="str">
        <f>IFERROR(__xludf.DUMMYFUNCTION("LOWER(REGEXREPLACE(B3935&amp;"" ""&amp;C3935,""[^а-яa-z0-9 ]"","" ""))")," каф металлический односекционный ")</f>
        <v> каф металлический односекционный </v>
      </c>
    </row>
    <row r="3936">
      <c r="A3936" s="35" t="s">
        <v>9590</v>
      </c>
      <c r="B3936" s="31" t="s">
        <v>9591</v>
      </c>
      <c r="C3936" s="31" t="s">
        <v>9592</v>
      </c>
      <c r="D3936" s="37" t="s">
        <v>14</v>
      </c>
      <c r="E3936" s="38">
        <v>2.0</v>
      </c>
      <c r="F3936" s="38">
        <v>17.0</v>
      </c>
      <c r="G3936" s="11">
        <v>69736.0</v>
      </c>
      <c r="H3936" s="34" t="str">
        <f>IFERROR(__xludf.DUMMYFUNCTION("LOWER(REGEXREPLACE(B3936&amp;"" ""&amp;C3936,""[^а-яa-z0-9 ]"","" ""))"),"типа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7">
      <c r="A3937" s="35" t="s">
        <v>9593</v>
      </c>
      <c r="B3937" s="31" t="s">
        <v>9594</v>
      </c>
      <c r="C3937" s="31" t="s">
        <v>9592</v>
      </c>
      <c r="D3937" s="37" t="s">
        <v>14</v>
      </c>
      <c r="E3937" s="38">
        <v>2.0</v>
      </c>
      <c r="F3937" s="38">
        <v>15.0</v>
      </c>
      <c r="G3937" s="11">
        <v>56367.0</v>
      </c>
      <c r="H3937" s="34" t="str">
        <f>IFERROR(__xludf.DUMMYFUNCTION("LOWER(REGEXREPLACE(B3937&amp;"" ""&amp;C3937,""[^а-яa-z0-9 ]"","" ""))"),"типа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8">
      <c r="A3938" s="35" t="s">
        <v>9595</v>
      </c>
      <c r="B3938" s="31" t="s">
        <v>9596</v>
      </c>
      <c r="C3938" s="31" t="s">
        <v>9592</v>
      </c>
      <c r="D3938" s="37" t="s">
        <v>14</v>
      </c>
      <c r="E3938" s="38">
        <v>2.0</v>
      </c>
      <c r="F3938" s="38">
        <v>17.0</v>
      </c>
      <c r="G3938" s="11">
        <v>72599.0</v>
      </c>
      <c r="H3938" s="34" t="str">
        <f>IFERROR(__xludf.DUMMYFUNCTION("LOWER(REGEXREPLACE(B3938&amp;"" ""&amp;C3938,""[^а-яa-z0-9 ]"","" ""))"),"типа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9">
      <c r="A3939" s="35" t="s">
        <v>9597</v>
      </c>
      <c r="B3939" s="31" t="s">
        <v>9598</v>
      </c>
      <c r="C3939" s="31" t="s">
        <v>9592</v>
      </c>
      <c r="D3939" s="37" t="s">
        <v>14</v>
      </c>
      <c r="E3939" s="38">
        <v>2.0</v>
      </c>
      <c r="F3939" s="38">
        <v>18.0</v>
      </c>
      <c r="G3939" s="11">
        <v>69740.0</v>
      </c>
      <c r="H3939" s="34" t="str">
        <f>IFERROR(__xludf.DUMMYFUNCTION("LOWER(REGEXREPLACE(B3939&amp;"" ""&amp;C3939,""[^а-яa-z0-9 ]"","" ""))"),"типа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0">
      <c r="A3940" s="35" t="s">
        <v>9599</v>
      </c>
      <c r="B3940" s="31" t="s">
        <v>9600</v>
      </c>
      <c r="C3940" s="31" t="s">
        <v>9592</v>
      </c>
      <c r="D3940" s="37" t="s">
        <v>14</v>
      </c>
      <c r="E3940" s="38">
        <v>2.0</v>
      </c>
      <c r="F3940" s="38">
        <v>20.0</v>
      </c>
      <c r="G3940" s="11">
        <v>77383.0</v>
      </c>
      <c r="H3940" s="34" t="str">
        <f>IFERROR(__xludf.DUMMYFUNCTION("LOWER(REGEXREPLACE(B3940&amp;"" ""&amp;C3940,""[^а-яa-z0-9 ]"","" ""))"),"типа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1">
      <c r="A3941" s="35" t="s">
        <v>9601</v>
      </c>
      <c r="B3941" s="31" t="s">
        <v>9602</v>
      </c>
      <c r="C3941" s="31" t="s">
        <v>9592</v>
      </c>
      <c r="D3941" s="37" t="s">
        <v>14</v>
      </c>
      <c r="E3941" s="38">
        <v>2.0</v>
      </c>
      <c r="F3941" s="38">
        <v>22.0</v>
      </c>
      <c r="G3941" s="11">
        <v>77391.0</v>
      </c>
      <c r="H3941" s="34" t="str">
        <f>IFERROR(__xludf.DUMMYFUNCTION("LOWER(REGEXREPLACE(B3941&amp;"" ""&amp;C3941,""[^а-яa-z0-9 ]"","" ""))"),"типа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2">
      <c r="A3942" s="35" t="s">
        <v>9603</v>
      </c>
      <c r="B3942" s="31" t="s">
        <v>9604</v>
      </c>
      <c r="C3942" s="31" t="s">
        <v>9592</v>
      </c>
      <c r="D3942" s="37" t="s">
        <v>14</v>
      </c>
      <c r="E3942" s="38">
        <v>2.0</v>
      </c>
      <c r="F3942" s="38">
        <v>17.0</v>
      </c>
      <c r="G3942" s="11">
        <v>77371.0</v>
      </c>
      <c r="H3942" s="34" t="str">
        <f>IFERROR(__xludf.DUMMYFUNCTION("LOWER(REGEXREPLACE(B3942&amp;"" ""&amp;C3942,""[^а-яa-z0-9 ]"","" ""))"),"типа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3">
      <c r="A3943" s="35" t="s">
        <v>9605</v>
      </c>
      <c r="B3943" s="31" t="s">
        <v>9606</v>
      </c>
      <c r="C3943" s="31" t="s">
        <v>9592</v>
      </c>
      <c r="D3943" s="37" t="s">
        <v>14</v>
      </c>
      <c r="E3943" s="38">
        <v>2.0</v>
      </c>
      <c r="F3943" s="38">
        <v>25.0</v>
      </c>
      <c r="G3943" s="11">
        <v>85038.0</v>
      </c>
      <c r="H3943" s="34" t="str">
        <f>IFERROR(__xludf.DUMMYFUNCTION("LOWER(REGEXREPLACE(B3943&amp;"" ""&amp;C3943,""[^а-яa-z0-9 ]"","" ""))"),"типа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4">
      <c r="A3944" s="35" t="s">
        <v>9607</v>
      </c>
      <c r="B3944" s="31" t="s">
        <v>9608</v>
      </c>
      <c r="C3944" s="31" t="s">
        <v>9609</v>
      </c>
      <c r="D3944" s="37" t="s">
        <v>14</v>
      </c>
      <c r="E3944" s="38">
        <v>2.0</v>
      </c>
      <c r="F3944" s="38">
        <v>17.0</v>
      </c>
      <c r="G3944" s="11">
        <v>68782.0</v>
      </c>
      <c r="H3944" s="34" t="str">
        <f>IFERROR(__xludf.DUMMYFUNCTION("LOWER(REGEXREPLACE(B3944&amp;"" ""&amp;C3944,""[^а-яa-z0-9 ]"","" ""))"),"типа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5">
      <c r="A3945" s="35" t="s">
        <v>9610</v>
      </c>
      <c r="B3945" s="31" t="s">
        <v>9611</v>
      </c>
      <c r="C3945" s="31" t="s">
        <v>9609</v>
      </c>
      <c r="D3945" s="37" t="s">
        <v>14</v>
      </c>
      <c r="E3945" s="38">
        <v>2.0</v>
      </c>
      <c r="F3945" s="38">
        <v>15.0</v>
      </c>
      <c r="G3945" s="11">
        <v>63048.0</v>
      </c>
      <c r="H3945" s="34" t="str">
        <f>IFERROR(__xludf.DUMMYFUNCTION("LOWER(REGEXREPLACE(B3945&amp;"" ""&amp;C3945,""[^а-яa-z0-9 ]"","" ""))"),"типа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6">
      <c r="A3946" s="35" t="s">
        <v>9612</v>
      </c>
      <c r="B3946" s="31" t="s">
        <v>9613</v>
      </c>
      <c r="C3946" s="31" t="s">
        <v>9609</v>
      </c>
      <c r="D3946" s="37" t="s">
        <v>14</v>
      </c>
      <c r="E3946" s="38">
        <v>2.0</v>
      </c>
      <c r="F3946" s="38">
        <v>17.0</v>
      </c>
      <c r="G3946" s="11">
        <v>71645.0</v>
      </c>
      <c r="H3946" s="34" t="str">
        <f>IFERROR(__xludf.DUMMYFUNCTION("LOWER(REGEXREPLACE(B3946&amp;"" ""&amp;C3946,""[^а-яa-z0-9 ]"","" ""))"),"типа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7">
      <c r="A3947" s="35" t="s">
        <v>9614</v>
      </c>
      <c r="B3947" s="31" t="s">
        <v>9615</v>
      </c>
      <c r="C3947" s="31" t="s">
        <v>9609</v>
      </c>
      <c r="D3947" s="37" t="s">
        <v>14</v>
      </c>
      <c r="E3947" s="38">
        <v>2.0</v>
      </c>
      <c r="F3947" s="38">
        <v>18.0</v>
      </c>
      <c r="G3947" s="11">
        <v>68786.0</v>
      </c>
      <c r="H3947" s="34" t="str">
        <f>IFERROR(__xludf.DUMMYFUNCTION("LOWER(REGEXREPLACE(B3947&amp;"" ""&amp;C3947,""[^а-яa-z0-9 ]"","" ""))"),"типа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8">
      <c r="A3948" s="35" t="s">
        <v>9616</v>
      </c>
      <c r="B3948" s="31" t="s">
        <v>9617</v>
      </c>
      <c r="C3948" s="31" t="s">
        <v>9609</v>
      </c>
      <c r="D3948" s="37" t="s">
        <v>14</v>
      </c>
      <c r="E3948" s="38">
        <v>2.0</v>
      </c>
      <c r="F3948" s="38">
        <v>20.0</v>
      </c>
      <c r="G3948" s="11">
        <v>76429.0</v>
      </c>
      <c r="H3948" s="34" t="str">
        <f>IFERROR(__xludf.DUMMYFUNCTION("LOWER(REGEXREPLACE(B3948&amp;"" ""&amp;C3948,""[^а-яa-z0-9 ]"","" ""))"),"типа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9">
      <c r="A3949" s="35" t="s">
        <v>9618</v>
      </c>
      <c r="B3949" s="31" t="s">
        <v>9619</v>
      </c>
      <c r="C3949" s="31" t="s">
        <v>9609</v>
      </c>
      <c r="D3949" s="37" t="s">
        <v>14</v>
      </c>
      <c r="E3949" s="38">
        <v>2.0</v>
      </c>
      <c r="F3949" s="38">
        <v>22.0</v>
      </c>
      <c r="G3949" s="11">
        <v>76437.0</v>
      </c>
      <c r="H3949" s="34" t="str">
        <f>IFERROR(__xludf.DUMMYFUNCTION("LOWER(REGEXREPLACE(B3949&amp;"" ""&amp;C3949,""[^а-яa-z0-9 ]"","" ""))"),"типа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0">
      <c r="A3950" s="35" t="s">
        <v>9620</v>
      </c>
      <c r="B3950" s="31" t="s">
        <v>9621</v>
      </c>
      <c r="C3950" s="31" t="s">
        <v>9609</v>
      </c>
      <c r="D3950" s="37" t="s">
        <v>14</v>
      </c>
      <c r="E3950" s="38">
        <v>2.0</v>
      </c>
      <c r="F3950" s="38">
        <v>17.0</v>
      </c>
      <c r="G3950" s="11">
        <v>76417.0</v>
      </c>
      <c r="H3950" s="34" t="str">
        <f>IFERROR(__xludf.DUMMYFUNCTION("LOWER(REGEXREPLACE(B3950&amp;"" ""&amp;C3950,""[^а-яa-z0-9 ]"","" ""))"),"типа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1">
      <c r="A3951" s="35" t="s">
        <v>9622</v>
      </c>
      <c r="B3951" s="31" t="s">
        <v>9623</v>
      </c>
      <c r="C3951" s="31" t="s">
        <v>9609</v>
      </c>
      <c r="D3951" s="37" t="s">
        <v>14</v>
      </c>
      <c r="E3951" s="38">
        <v>2.0</v>
      </c>
      <c r="F3951" s="38">
        <v>25.0</v>
      </c>
      <c r="G3951" s="11">
        <v>84084.0</v>
      </c>
      <c r="H3951" s="34" t="str">
        <f>IFERROR(__xludf.DUMMYFUNCTION("LOWER(REGEXREPLACE(B3951&amp;"" ""&amp;C3951,""[^а-яa-z0-9 ]"","" ""))"),"типа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2">
      <c r="A3952" s="35" t="s">
        <v>9624</v>
      </c>
      <c r="B3952" s="31" t="s">
        <v>9625</v>
      </c>
      <c r="C3952" s="31" t="s">
        <v>9626</v>
      </c>
      <c r="D3952" s="37" t="s">
        <v>14</v>
      </c>
      <c r="E3952" s="38">
        <v>2.0</v>
      </c>
      <c r="F3952" s="38">
        <v>17.0</v>
      </c>
      <c r="G3952" s="11">
        <v>83097.0</v>
      </c>
      <c r="H3952" s="34" t="str">
        <f>IFERROR(__xludf.DUMMYFUNCTION("LOWER(REGEXREPLACE(B3952&amp;"" ""&amp;C3952,""[^а-яa-z0-9 ]"","" ""))"),"типа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3">
      <c r="A3953" s="35" t="s">
        <v>9627</v>
      </c>
      <c r="B3953" s="31" t="s">
        <v>9628</v>
      </c>
      <c r="C3953" s="31" t="s">
        <v>9626</v>
      </c>
      <c r="D3953" s="37" t="s">
        <v>14</v>
      </c>
      <c r="E3953" s="38">
        <v>2.0</v>
      </c>
      <c r="F3953" s="38">
        <v>15.0</v>
      </c>
      <c r="G3953" s="11">
        <v>77363.0</v>
      </c>
      <c r="H3953" s="34" t="str">
        <f>IFERROR(__xludf.DUMMYFUNCTION("LOWER(REGEXREPLACE(B3953&amp;"" ""&amp;C3953,""[^а-яa-z0-9 ]"","" ""))"),"типа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4">
      <c r="A3954" s="35" t="s">
        <v>9629</v>
      </c>
      <c r="B3954" s="31" t="s">
        <v>9630</v>
      </c>
      <c r="C3954" s="31" t="s">
        <v>9626</v>
      </c>
      <c r="D3954" s="37" t="s">
        <v>14</v>
      </c>
      <c r="E3954" s="38">
        <v>2.0</v>
      </c>
      <c r="F3954" s="38">
        <v>17.0</v>
      </c>
      <c r="G3954" s="11">
        <v>83097.0</v>
      </c>
      <c r="H3954" s="34" t="str">
        <f>IFERROR(__xludf.DUMMYFUNCTION("LOWER(REGEXREPLACE(B3954&amp;"" ""&amp;C3954,""[^а-яa-z0-9 ]"","" ""))"),"типа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5">
      <c r="A3955" s="35" t="s">
        <v>9631</v>
      </c>
      <c r="B3955" s="31" t="s">
        <v>9632</v>
      </c>
      <c r="C3955" s="31" t="s">
        <v>9626</v>
      </c>
      <c r="D3955" s="37" t="s">
        <v>14</v>
      </c>
      <c r="E3955" s="38">
        <v>2.0</v>
      </c>
      <c r="F3955" s="38">
        <v>18.0</v>
      </c>
      <c r="G3955" s="11">
        <v>83101.0</v>
      </c>
      <c r="H3955" s="34" t="str">
        <f>IFERROR(__xludf.DUMMYFUNCTION("LOWER(REGEXREPLACE(B3955&amp;"" ""&amp;C3955,""[^а-яa-z0-9 ]"","" ""))"),"типа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6">
      <c r="A3956" s="35" t="s">
        <v>9633</v>
      </c>
      <c r="B3956" s="31" t="s">
        <v>9634</v>
      </c>
      <c r="C3956" s="31" t="s">
        <v>9626</v>
      </c>
      <c r="D3956" s="37" t="s">
        <v>14</v>
      </c>
      <c r="E3956" s="38">
        <v>2.0</v>
      </c>
      <c r="F3956" s="38">
        <v>20.0</v>
      </c>
      <c r="G3956" s="11">
        <v>90744.0</v>
      </c>
      <c r="H3956" s="34" t="str">
        <f>IFERROR(__xludf.DUMMYFUNCTION("LOWER(REGEXREPLACE(B3956&amp;"" ""&amp;C3956,""[^а-яa-z0-9 ]"","" ""))"),"типа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7">
      <c r="A3957" s="35" t="s">
        <v>9635</v>
      </c>
      <c r="B3957" s="31" t="s">
        <v>9636</v>
      </c>
      <c r="C3957" s="31" t="s">
        <v>9626</v>
      </c>
      <c r="D3957" s="37" t="s">
        <v>14</v>
      </c>
      <c r="E3957" s="38">
        <v>2.0</v>
      </c>
      <c r="F3957" s="38">
        <v>22.0</v>
      </c>
      <c r="G3957" s="11">
        <v>90752.0</v>
      </c>
      <c r="H3957" s="34" t="str">
        <f>IFERROR(__xludf.DUMMYFUNCTION("LOWER(REGEXREPLACE(B3957&amp;"" ""&amp;C3957,""[^а-яa-z0-9 ]"","" ""))"),"типа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8">
      <c r="A3958" s="35" t="s">
        <v>9637</v>
      </c>
      <c r="B3958" s="31" t="s">
        <v>9638</v>
      </c>
      <c r="C3958" s="31" t="s">
        <v>9626</v>
      </c>
      <c r="D3958" s="37" t="s">
        <v>14</v>
      </c>
      <c r="E3958" s="38">
        <v>2.0</v>
      </c>
      <c r="F3958" s="38">
        <v>17.0</v>
      </c>
      <c r="G3958" s="11">
        <v>90732.0</v>
      </c>
      <c r="H3958" s="34" t="str">
        <f>IFERROR(__xludf.DUMMYFUNCTION("LOWER(REGEXREPLACE(B3958&amp;"" ""&amp;C3958,""[^а-яa-z0-9 ]"","" ""))"),"типа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9">
      <c r="A3959" s="35" t="s">
        <v>9639</v>
      </c>
      <c r="B3959" s="31" t="s">
        <v>9640</v>
      </c>
      <c r="C3959" s="31" t="s">
        <v>9626</v>
      </c>
      <c r="D3959" s="37" t="s">
        <v>14</v>
      </c>
      <c r="E3959" s="38">
        <v>2.0</v>
      </c>
      <c r="F3959" s="38">
        <v>25.0</v>
      </c>
      <c r="G3959" s="11">
        <v>98399.0</v>
      </c>
      <c r="H3959" s="34" t="str">
        <f>IFERROR(__xludf.DUMMYFUNCTION("LOWER(REGEXREPLACE(B3959&amp;"" ""&amp;C3959,""[^а-яa-z0-9 ]"","" ""))"),"типа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60">
      <c r="A3960" s="35" t="s">
        <v>9641</v>
      </c>
      <c r="B3960" s="31" t="s">
        <v>9642</v>
      </c>
      <c r="C3960" s="31" t="s">
        <v>9643</v>
      </c>
      <c r="D3960" s="37" t="s">
        <v>14</v>
      </c>
      <c r="E3960" s="38">
        <v>2.0</v>
      </c>
      <c r="F3960" s="38">
        <v>17.0</v>
      </c>
      <c r="G3960" s="11">
        <v>78936.0</v>
      </c>
      <c r="H3960" s="34" t="str">
        <f>IFERROR(__xludf.DUMMYFUNCTION("LOWER(REGEXREPLACE(B3960&amp;"" ""&amp;C3960,""[^а-яa-z0-9 ]"","" ""))"),"типа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1">
      <c r="A3961" s="35" t="s">
        <v>9644</v>
      </c>
      <c r="B3961" s="31" t="s">
        <v>9645</v>
      </c>
      <c r="C3961" s="31" t="s">
        <v>9643</v>
      </c>
      <c r="D3961" s="37" t="s">
        <v>14</v>
      </c>
      <c r="E3961" s="38">
        <v>2.0</v>
      </c>
      <c r="F3961" s="38">
        <v>17.0</v>
      </c>
      <c r="G3961" s="11">
        <v>102184.0</v>
      </c>
      <c r="H3961" s="34" t="str">
        <f>IFERROR(__xludf.DUMMYFUNCTION("LOWER(REGEXREPLACE(B3961&amp;"" ""&amp;C3961,""[^а-яa-z0-9 ]"","" ""))"),"типа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2">
      <c r="A3962" s="35" t="s">
        <v>9646</v>
      </c>
      <c r="B3962" s="31" t="s">
        <v>9647</v>
      </c>
      <c r="C3962" s="31" t="s">
        <v>9643</v>
      </c>
      <c r="D3962" s="37" t="s">
        <v>14</v>
      </c>
      <c r="E3962" s="38">
        <v>2.0</v>
      </c>
      <c r="F3962" s="38">
        <v>23.0</v>
      </c>
      <c r="G3962" s="11">
        <v>129884.0</v>
      </c>
      <c r="H3962" s="34" t="str">
        <f>IFERROR(__xludf.DUMMYFUNCTION("LOWER(REGEXREPLACE(B3962&amp;"" ""&amp;C3962,""[^а-яa-z0-9 ]"","" ""))"),"типа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3">
      <c r="A3963" s="35" t="s">
        <v>9648</v>
      </c>
      <c r="B3963" s="31" t="s">
        <v>9649</v>
      </c>
      <c r="C3963" s="31" t="s">
        <v>9650</v>
      </c>
      <c r="D3963" s="37" t="s">
        <v>14</v>
      </c>
      <c r="E3963" s="38">
        <v>2.0</v>
      </c>
      <c r="F3963" s="38">
        <v>17.0</v>
      </c>
      <c r="G3963" s="11">
        <v>77027.0</v>
      </c>
      <c r="H3963" s="34" t="str">
        <f>IFERROR(__xludf.DUMMYFUNCTION("LOWER(REGEXREPLACE(B3963&amp;"" ""&amp;C3963,""[^а-яa-z0-9 ]"","" ""))"),"типа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4">
      <c r="A3964" s="35" t="s">
        <v>9651</v>
      </c>
      <c r="B3964" s="31" t="s">
        <v>9652</v>
      </c>
      <c r="C3964" s="31" t="s">
        <v>9653</v>
      </c>
      <c r="D3964" s="37" t="s">
        <v>14</v>
      </c>
      <c r="E3964" s="38">
        <v>2.0</v>
      </c>
      <c r="F3964" s="38">
        <v>23.0</v>
      </c>
      <c r="G3964" s="11">
        <v>100300.0</v>
      </c>
      <c r="H3964" s="34" t="str">
        <f>IFERROR(__xludf.DUMMYFUNCTION("LOWER(REGEXREPLACE(B3964&amp;"" ""&amp;C3964,""[^а-яa-z0-9 ]"","" ""))"),"типа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5">
      <c r="A3965" s="35" t="s">
        <v>9654</v>
      </c>
      <c r="B3965" s="31" t="s">
        <v>9655</v>
      </c>
      <c r="C3965" s="31" t="s">
        <v>9653</v>
      </c>
      <c r="D3965" s="37" t="s">
        <v>14</v>
      </c>
      <c r="E3965" s="38">
        <v>2.0</v>
      </c>
      <c r="F3965" s="38">
        <v>23.0</v>
      </c>
      <c r="G3965" s="11">
        <v>127943.0</v>
      </c>
      <c r="H3965" s="34" t="str">
        <f>IFERROR(__xludf.DUMMYFUNCTION("LOWER(REGEXREPLACE(B3965&amp;"" ""&amp;C3965,""[^а-яa-z0-9 ]"","" ""))"),"типа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6">
      <c r="A3966" s="35" t="s">
        <v>9656</v>
      </c>
      <c r="B3966" s="31" t="s">
        <v>9657</v>
      </c>
      <c r="C3966" s="31" t="s">
        <v>9658</v>
      </c>
      <c r="D3966" s="37" t="s">
        <v>14</v>
      </c>
      <c r="E3966" s="38">
        <v>2.0</v>
      </c>
      <c r="F3966" s="38">
        <v>17.0</v>
      </c>
      <c r="G3966" s="11">
        <v>105658.0</v>
      </c>
      <c r="H3966" s="34" t="str">
        <f>IFERROR(__xludf.DUMMYFUNCTION("LOWER(REGEXREPLACE(B3966&amp;"" ""&amp;C3966,""[^а-яa-z0-9 ]"","" ""))"),"типа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7">
      <c r="A3967" s="35" t="s">
        <v>9659</v>
      </c>
      <c r="B3967" s="31" t="s">
        <v>9660</v>
      </c>
      <c r="C3967" s="31" t="s">
        <v>9658</v>
      </c>
      <c r="D3967" s="37" t="s">
        <v>14</v>
      </c>
      <c r="E3967" s="38">
        <v>2.0</v>
      </c>
      <c r="F3967" s="38">
        <v>17.0</v>
      </c>
      <c r="G3967" s="11">
        <v>128906.0</v>
      </c>
      <c r="H3967" s="34" t="str">
        <f>IFERROR(__xludf.DUMMYFUNCTION("LOWER(REGEXREPLACE(B3967&amp;"" ""&amp;C3967,""[^а-яa-z0-9 ]"","" ""))"),"типа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8">
      <c r="A3968" s="35" t="s">
        <v>9661</v>
      </c>
      <c r="B3968" s="31" t="s">
        <v>9662</v>
      </c>
      <c r="C3968" s="31" t="s">
        <v>9658</v>
      </c>
      <c r="D3968" s="37" t="s">
        <v>14</v>
      </c>
      <c r="E3968" s="38">
        <v>2.0</v>
      </c>
      <c r="F3968" s="38">
        <v>23.0</v>
      </c>
      <c r="G3968" s="11">
        <v>156606.0</v>
      </c>
      <c r="H3968" s="34" t="str">
        <f>IFERROR(__xludf.DUMMYFUNCTION("LOWER(REGEXREPLACE(B3968&amp;"" ""&amp;C3968,""[^а-яa-z0-9 ]"","" ""))"),"типа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9">
      <c r="A3969" s="35" t="s">
        <v>9663</v>
      </c>
      <c r="B3969" s="31" t="s">
        <v>9664</v>
      </c>
      <c r="C3969" s="31" t="s">
        <v>9665</v>
      </c>
      <c r="D3969" s="37" t="s">
        <v>14</v>
      </c>
      <c r="E3969" s="38">
        <v>2.0</v>
      </c>
      <c r="F3969" s="38">
        <v>18.0</v>
      </c>
      <c r="G3969" s="11">
        <v>105051.0</v>
      </c>
      <c r="H3969" s="34" t="str">
        <f>IFERROR(__xludf.DUMMYFUNCTION("LOWER(REGEXREPLACE(B3969&amp;"" ""&amp;C3969,""[^а-яa-z0-9 ]"","" ""))"),"типа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0">
      <c r="A3970" s="35" t="s">
        <v>9666</v>
      </c>
      <c r="B3970" s="31" t="s">
        <v>9667</v>
      </c>
      <c r="C3970" s="31" t="s">
        <v>9665</v>
      </c>
      <c r="D3970" s="37" t="s">
        <v>14</v>
      </c>
      <c r="E3970" s="38">
        <v>2.0</v>
      </c>
      <c r="F3970" s="38">
        <v>11.0</v>
      </c>
      <c r="G3970" s="11">
        <v>69712.0</v>
      </c>
      <c r="H3970" s="34" t="str">
        <f>IFERROR(__xludf.DUMMYFUNCTION("LOWER(REGEXREPLACE(B3970&amp;"" ""&amp;C3970,""[^а-яa-z0-9 ]"","" ""))"),"типа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1">
      <c r="A3971" s="35" t="s">
        <v>9668</v>
      </c>
      <c r="B3971" s="31" t="s">
        <v>9669</v>
      </c>
      <c r="C3971" s="31" t="s">
        <v>9665</v>
      </c>
      <c r="D3971" s="37" t="s">
        <v>14</v>
      </c>
      <c r="E3971" s="38">
        <v>2.0</v>
      </c>
      <c r="F3971" s="38">
        <v>11.0</v>
      </c>
      <c r="G3971" s="11">
        <v>76392.0</v>
      </c>
      <c r="H3971" s="34" t="str">
        <f>IFERROR(__xludf.DUMMYFUNCTION("LOWER(REGEXREPLACE(B3971&amp;"" ""&amp;C3971,""[^а-яa-z0-9 ]"","" ""))"),"типа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2">
      <c r="A3972" s="35" t="s">
        <v>9670</v>
      </c>
      <c r="B3972" s="31" t="s">
        <v>9671</v>
      </c>
      <c r="C3972" s="31" t="s">
        <v>9672</v>
      </c>
      <c r="D3972" s="37" t="s">
        <v>14</v>
      </c>
      <c r="E3972" s="38">
        <v>2.0</v>
      </c>
      <c r="F3972" s="38">
        <v>18.0</v>
      </c>
      <c r="G3972" s="11">
        <v>83101.0</v>
      </c>
      <c r="H3972" s="34" t="str">
        <f>IFERROR(__xludf.DUMMYFUNCTION("LOWER(REGEXREPLACE(B3972&amp;"" ""&amp;C3972,""[^а-яa-z0-9 ]"","" ""))"),"типа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3">
      <c r="A3973" s="35" t="s">
        <v>9673</v>
      </c>
      <c r="B3973" s="31" t="s">
        <v>9674</v>
      </c>
      <c r="C3973" s="31" t="s">
        <v>9675</v>
      </c>
      <c r="D3973" s="37" t="s">
        <v>14</v>
      </c>
      <c r="E3973" s="38">
        <v>2.0</v>
      </c>
      <c r="F3973" s="38">
        <v>18.0</v>
      </c>
      <c r="G3973" s="11">
        <v>101234.0</v>
      </c>
      <c r="H3973" s="34" t="str">
        <f>IFERROR(__xludf.DUMMYFUNCTION("LOWER(REGEXREPLACE(B3973&amp;"" ""&amp;C3973,""[^а-яa-z0-9 ]"","" ""))"),"типа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4">
      <c r="A3974" s="35" t="s">
        <v>9676</v>
      </c>
      <c r="B3974" s="31" t="s">
        <v>9677</v>
      </c>
      <c r="C3974" s="31" t="s">
        <v>9675</v>
      </c>
      <c r="D3974" s="37" t="s">
        <v>14</v>
      </c>
      <c r="E3974" s="38">
        <v>2.0</v>
      </c>
      <c r="F3974" s="38">
        <v>11.0</v>
      </c>
      <c r="G3974" s="11">
        <v>65895.0</v>
      </c>
      <c r="H3974" s="34" t="str">
        <f>IFERROR(__xludf.DUMMYFUNCTION("LOWER(REGEXREPLACE(B3974&amp;"" ""&amp;C3974,""[^а-яa-z0-9 ]"","" ""))"),"типа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5">
      <c r="A3975" s="35" t="s">
        <v>9678</v>
      </c>
      <c r="B3975" s="31" t="s">
        <v>9679</v>
      </c>
      <c r="C3975" s="31" t="s">
        <v>9675</v>
      </c>
      <c r="D3975" s="37" t="s">
        <v>14</v>
      </c>
      <c r="E3975" s="38">
        <v>2.0</v>
      </c>
      <c r="F3975" s="38">
        <v>11.0</v>
      </c>
      <c r="G3975" s="11">
        <v>72575.0</v>
      </c>
      <c r="H3975" s="34" t="str">
        <f>IFERROR(__xludf.DUMMYFUNCTION("LOWER(REGEXREPLACE(B3975&amp;"" ""&amp;C3975,""[^а-яa-z0-9 ]"","" ""))"),"типа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6">
      <c r="A3976" s="35" t="s">
        <v>9680</v>
      </c>
      <c r="B3976" s="31" t="s">
        <v>9681</v>
      </c>
      <c r="C3976" s="31" t="s">
        <v>9682</v>
      </c>
      <c r="D3976" s="37" t="s">
        <v>14</v>
      </c>
      <c r="E3976" s="38">
        <v>2.0</v>
      </c>
      <c r="F3976" s="38">
        <v>18.0</v>
      </c>
      <c r="G3976" s="11">
        <v>158495.0</v>
      </c>
      <c r="H3976" s="34" t="str">
        <f>IFERROR(__xludf.DUMMYFUNCTION("LOWER(REGEXREPLACE(B3976&amp;"" ""&amp;C3976,""[^а-яa-z0-9 ]"","" ""))"),"типа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7">
      <c r="A3977" s="35" t="s">
        <v>9683</v>
      </c>
      <c r="B3977" s="31" t="s">
        <v>9684</v>
      </c>
      <c r="C3977" s="31" t="s">
        <v>9682</v>
      </c>
      <c r="D3977" s="37" t="s">
        <v>14</v>
      </c>
      <c r="E3977" s="38">
        <v>2.0</v>
      </c>
      <c r="F3977" s="38">
        <v>11.0</v>
      </c>
      <c r="G3977" s="11">
        <v>123155.0</v>
      </c>
      <c r="H3977" s="34" t="str">
        <f>IFERROR(__xludf.DUMMYFUNCTION("LOWER(REGEXREPLACE(B3977&amp;"" ""&amp;C3977,""[^а-яa-z0-9 ]"","" ""))"),"типа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8">
      <c r="A3978" s="35" t="s">
        <v>9685</v>
      </c>
      <c r="B3978" s="31" t="s">
        <v>9686</v>
      </c>
      <c r="C3978" s="31" t="s">
        <v>9682</v>
      </c>
      <c r="D3978" s="37" t="s">
        <v>14</v>
      </c>
      <c r="E3978" s="38">
        <v>2.0</v>
      </c>
      <c r="F3978" s="38">
        <v>11.0</v>
      </c>
      <c r="G3978" s="11">
        <v>129836.0</v>
      </c>
      <c r="H3978" s="34" t="str">
        <f>IFERROR(__xludf.DUMMYFUNCTION("LOWER(REGEXREPLACE(B3978&amp;"" ""&amp;C3978,""[^а-яa-z0-9 ]"","" ""))"),"типа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9">
      <c r="A3979" s="35" t="s">
        <v>9687</v>
      </c>
      <c r="B3979" s="31" t="s">
        <v>9688</v>
      </c>
      <c r="C3979" s="31"/>
      <c r="D3979" s="37" t="s">
        <v>14</v>
      </c>
      <c r="E3979" s="10"/>
      <c r="F3979" s="36"/>
      <c r="G3979" s="11"/>
      <c r="H3979" s="34" t="str">
        <f>IFERROR(__xludf.DUMMYFUNCTION("LOWER(REGEXREPLACE(B3979&amp;"" ""&amp;C3979,""[^а-яa-z0-9 ]"","" ""))")," каф металлический двухсекционный ")</f>
        <v> каф металлический двухсекционный </v>
      </c>
    </row>
    <row r="3980">
      <c r="A3980" s="35" t="s">
        <v>9689</v>
      </c>
      <c r="B3980" s="31" t="s">
        <v>9690</v>
      </c>
      <c r="C3980" s="31" t="s">
        <v>9691</v>
      </c>
      <c r="D3980" s="37" t="s">
        <v>14</v>
      </c>
      <c r="E3980" s="38">
        <v>2.0</v>
      </c>
      <c r="F3980" s="38">
        <v>29.0</v>
      </c>
      <c r="G3980" s="11">
        <v>95552.0</v>
      </c>
      <c r="H3980" s="34" t="str">
        <f>IFERROR(__xludf.DUMMYFUNCTION("LOWER(REGEXREPLACE(B3980&amp;"" ""&amp;C3980,""[^а-яa-z0-9 ]"","" ""))"),"типа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1">
      <c r="A3981" s="35" t="s">
        <v>9692</v>
      </c>
      <c r="B3981" s="31" t="s">
        <v>9693</v>
      </c>
      <c r="C3981" s="31" t="s">
        <v>9691</v>
      </c>
      <c r="D3981" s="37" t="s">
        <v>14</v>
      </c>
      <c r="E3981" s="38">
        <v>2.0</v>
      </c>
      <c r="F3981" s="38">
        <v>24.0</v>
      </c>
      <c r="G3981" s="11">
        <v>78354.0</v>
      </c>
      <c r="H3981" s="34" t="str">
        <f>IFERROR(__xludf.DUMMYFUNCTION("LOWER(REGEXREPLACE(B3981&amp;"" ""&amp;C3981,""[^а-яa-z0-9 ]"","" ""))"),"типа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2">
      <c r="A3982" s="35" t="s">
        <v>9694</v>
      </c>
      <c r="B3982" s="31" t="s">
        <v>9695</v>
      </c>
      <c r="C3982" s="31" t="s">
        <v>9691</v>
      </c>
      <c r="D3982" s="37" t="s">
        <v>14</v>
      </c>
      <c r="E3982" s="38">
        <v>2.0</v>
      </c>
      <c r="F3982" s="38">
        <v>25.0</v>
      </c>
      <c r="G3982" s="11">
        <v>86947.0</v>
      </c>
      <c r="H3982" s="34" t="str">
        <f>IFERROR(__xludf.DUMMYFUNCTION("LOWER(REGEXREPLACE(B3982&amp;"" ""&amp;C3982,""[^а-яa-z0-9 ]"","" ""))"),"типа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3">
      <c r="A3983" s="35" t="s">
        <v>9696</v>
      </c>
      <c r="B3983" s="31" t="s">
        <v>9697</v>
      </c>
      <c r="C3983" s="31" t="s">
        <v>9691</v>
      </c>
      <c r="D3983" s="37" t="s">
        <v>14</v>
      </c>
      <c r="E3983" s="38">
        <v>2.0</v>
      </c>
      <c r="F3983" s="38">
        <v>25.0</v>
      </c>
      <c r="G3983" s="11">
        <v>82175.0</v>
      </c>
      <c r="H3983" s="34" t="str">
        <f>IFERROR(__xludf.DUMMYFUNCTION("LOWER(REGEXREPLACE(B3983&amp;"" ""&amp;C3983,""[^а-яa-z0-9 ]"","" ""))"),"типа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4">
      <c r="A3984" s="35" t="s">
        <v>9698</v>
      </c>
      <c r="B3984" s="31" t="s">
        <v>9699</v>
      </c>
      <c r="C3984" s="31" t="s">
        <v>9691</v>
      </c>
      <c r="D3984" s="37" t="s">
        <v>14</v>
      </c>
      <c r="E3984" s="38">
        <v>2.0</v>
      </c>
      <c r="F3984" s="38">
        <v>28.0</v>
      </c>
      <c r="G3984" s="11">
        <v>92685.0</v>
      </c>
      <c r="H3984" s="34" t="str">
        <f>IFERROR(__xludf.DUMMYFUNCTION("LOWER(REGEXREPLACE(B3984&amp;"" ""&amp;C3984,""[^а-яa-z0-9 ]"","" ""))"),"типа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5">
      <c r="A3985" s="35" t="s">
        <v>9700</v>
      </c>
      <c r="B3985" s="31" t="s">
        <v>9701</v>
      </c>
      <c r="C3985" s="31" t="s">
        <v>9691</v>
      </c>
      <c r="D3985" s="37" t="s">
        <v>14</v>
      </c>
      <c r="E3985" s="38">
        <v>2.0</v>
      </c>
      <c r="F3985" s="38">
        <v>30.0</v>
      </c>
      <c r="G3985" s="11">
        <v>98420.0</v>
      </c>
      <c r="H3985" s="34" t="str">
        <f>IFERROR(__xludf.DUMMYFUNCTION("LOWER(REGEXREPLACE(B3985&amp;"" ""&amp;C3985,""[^а-яa-z0-9 ]"","" ""))"),"типа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6">
      <c r="A3986" s="35" t="s">
        <v>9702</v>
      </c>
      <c r="B3986" s="31" t="s">
        <v>9703</v>
      </c>
      <c r="C3986" s="31" t="s">
        <v>9691</v>
      </c>
      <c r="D3986" s="37" t="s">
        <v>14</v>
      </c>
      <c r="E3986" s="38">
        <v>2.0</v>
      </c>
      <c r="F3986" s="38">
        <v>35.0</v>
      </c>
      <c r="G3986" s="11">
        <v>114664.0</v>
      </c>
      <c r="H3986" s="34" t="str">
        <f>IFERROR(__xludf.DUMMYFUNCTION("LOWER(REGEXREPLACE(B3986&amp;"" ""&amp;C3986,""[^а-яa-z0-9 ]"","" ""))"),"типа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7">
      <c r="A3987" s="35" t="s">
        <v>9704</v>
      </c>
      <c r="B3987" s="31" t="s">
        <v>9705</v>
      </c>
      <c r="C3987" s="31" t="s">
        <v>9691</v>
      </c>
      <c r="D3987" s="37" t="s">
        <v>14</v>
      </c>
      <c r="E3987" s="38">
        <v>2.0</v>
      </c>
      <c r="F3987" s="38">
        <v>35.0</v>
      </c>
      <c r="G3987" s="11">
        <v>114664.0</v>
      </c>
      <c r="H3987" s="34" t="str">
        <f>IFERROR(__xludf.DUMMYFUNCTION("LOWER(REGEXREPLACE(B3987&amp;"" ""&amp;C3987,""[^а-яa-z0-9 ]"","" ""))"),"типа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8">
      <c r="A3988" s="35" t="s">
        <v>9706</v>
      </c>
      <c r="B3988" s="31" t="s">
        <v>9707</v>
      </c>
      <c r="C3988" s="31" t="s">
        <v>9708</v>
      </c>
      <c r="D3988" s="37" t="s">
        <v>14</v>
      </c>
      <c r="E3988" s="38">
        <v>2.0</v>
      </c>
      <c r="F3988" s="38">
        <v>29.0</v>
      </c>
      <c r="G3988" s="11">
        <v>93644.0</v>
      </c>
      <c r="H3988" s="34" t="str">
        <f>IFERROR(__xludf.DUMMYFUNCTION("LOWER(REGEXREPLACE(B3988&amp;"" ""&amp;C3988,""[^а-яa-z0-9 ]"","" ""))"),"типа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9">
      <c r="A3989" s="35" t="s">
        <v>9709</v>
      </c>
      <c r="B3989" s="31" t="s">
        <v>9710</v>
      </c>
      <c r="C3989" s="31" t="s">
        <v>9708</v>
      </c>
      <c r="D3989" s="37" t="s">
        <v>14</v>
      </c>
      <c r="E3989" s="38">
        <v>2.0</v>
      </c>
      <c r="F3989" s="38">
        <v>24.0</v>
      </c>
      <c r="G3989" s="11">
        <v>76445.0</v>
      </c>
      <c r="H3989" s="34" t="str">
        <f>IFERROR(__xludf.DUMMYFUNCTION("LOWER(REGEXREPLACE(B3989&amp;"" ""&amp;C3989,""[^а-яa-z0-9 ]"","" ""))"),"типа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0">
      <c r="A3990" s="35" t="s">
        <v>9711</v>
      </c>
      <c r="B3990" s="31" t="s">
        <v>9712</v>
      </c>
      <c r="C3990" s="31" t="s">
        <v>9708</v>
      </c>
      <c r="D3990" s="37" t="s">
        <v>14</v>
      </c>
      <c r="E3990" s="38">
        <v>2.0</v>
      </c>
      <c r="F3990" s="38">
        <v>25.0</v>
      </c>
      <c r="G3990" s="11">
        <v>85038.0</v>
      </c>
      <c r="H3990" s="34" t="str">
        <f>IFERROR(__xludf.DUMMYFUNCTION("LOWER(REGEXREPLACE(B3990&amp;"" ""&amp;C3990,""[^а-яa-z0-9 ]"","" ""))"),"типа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1">
      <c r="A3991" s="35" t="s">
        <v>9713</v>
      </c>
      <c r="B3991" s="31" t="s">
        <v>9714</v>
      </c>
      <c r="C3991" s="31" t="s">
        <v>9708</v>
      </c>
      <c r="D3991" s="37" t="s">
        <v>14</v>
      </c>
      <c r="E3991" s="38">
        <v>2.0</v>
      </c>
      <c r="F3991" s="38">
        <v>25.0</v>
      </c>
      <c r="G3991" s="11">
        <v>80267.0</v>
      </c>
      <c r="H3991" s="34" t="str">
        <f>IFERROR(__xludf.DUMMYFUNCTION("LOWER(REGEXREPLACE(B3991&amp;"" ""&amp;C3991,""[^а-яa-z0-9 ]"","" ""))"),"типа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2">
      <c r="A3992" s="35" t="s">
        <v>9715</v>
      </c>
      <c r="B3992" s="31" t="s">
        <v>9716</v>
      </c>
      <c r="C3992" s="31" t="s">
        <v>9708</v>
      </c>
      <c r="D3992" s="37" t="s">
        <v>14</v>
      </c>
      <c r="E3992" s="38">
        <v>2.0</v>
      </c>
      <c r="F3992" s="38">
        <v>28.0</v>
      </c>
      <c r="G3992" s="11">
        <v>90777.0</v>
      </c>
      <c r="H3992" s="34" t="str">
        <f>IFERROR(__xludf.DUMMYFUNCTION("LOWER(REGEXREPLACE(B3992&amp;"" ""&amp;C3992,""[^а-яa-z0-9 ]"","" ""))"),"типа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3">
      <c r="A3993" s="35" t="s">
        <v>9717</v>
      </c>
      <c r="B3993" s="31" t="s">
        <v>9718</v>
      </c>
      <c r="C3993" s="31" t="s">
        <v>9708</v>
      </c>
      <c r="D3993" s="37" t="s">
        <v>14</v>
      </c>
      <c r="E3993" s="38">
        <v>2.0</v>
      </c>
      <c r="F3993" s="38">
        <v>30.0</v>
      </c>
      <c r="G3993" s="11">
        <v>96511.0</v>
      </c>
      <c r="H3993" s="34" t="str">
        <f>IFERROR(__xludf.DUMMYFUNCTION("LOWER(REGEXREPLACE(B3993&amp;"" ""&amp;C3993,""[^а-яa-z0-9 ]"","" ""))"),"типа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4">
      <c r="A3994" s="35" t="s">
        <v>9719</v>
      </c>
      <c r="B3994" s="31" t="s">
        <v>9720</v>
      </c>
      <c r="C3994" s="31" t="s">
        <v>9708</v>
      </c>
      <c r="D3994" s="37" t="s">
        <v>14</v>
      </c>
      <c r="E3994" s="38">
        <v>2.0</v>
      </c>
      <c r="F3994" s="38">
        <v>32.0</v>
      </c>
      <c r="G3994" s="11">
        <v>112743.0</v>
      </c>
      <c r="H3994" s="34" t="str">
        <f>IFERROR(__xludf.DUMMYFUNCTION("LOWER(REGEXREPLACE(B3994&amp;"" ""&amp;C3994,""[^а-яa-z0-9 ]"","" ""))"),"типа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5">
      <c r="A3995" s="35" t="s">
        <v>9721</v>
      </c>
      <c r="B3995" s="31" t="s">
        <v>9722</v>
      </c>
      <c r="C3995" s="31" t="s">
        <v>9723</v>
      </c>
      <c r="D3995" s="37" t="s">
        <v>14</v>
      </c>
      <c r="E3995" s="38">
        <v>2.0</v>
      </c>
      <c r="F3995" s="38">
        <v>29.0</v>
      </c>
      <c r="G3995" s="11">
        <v>122274.0</v>
      </c>
      <c r="H3995" s="34" t="str">
        <f>IFERROR(__xludf.DUMMYFUNCTION("LOWER(REGEXREPLACE(B3995&amp;"" ""&amp;C3995,""[^а-яa-z0-9 ]"","" ""))"),"типа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6">
      <c r="A3996" s="35" t="s">
        <v>9724</v>
      </c>
      <c r="B3996" s="31" t="s">
        <v>9725</v>
      </c>
      <c r="C3996" s="31" t="s">
        <v>9726</v>
      </c>
      <c r="D3996" s="37" t="s">
        <v>14</v>
      </c>
      <c r="E3996" s="38">
        <v>2.0</v>
      </c>
      <c r="F3996" s="38">
        <v>24.0</v>
      </c>
      <c r="G3996" s="11">
        <v>105076.0</v>
      </c>
      <c r="H3996" s="34" t="str">
        <f>IFERROR(__xludf.DUMMYFUNCTION("LOWER(REGEXREPLACE(B3996&amp;"" ""&amp;C3996,""[^а-яa-z0-9 ]"","" ""))"),"типа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7">
      <c r="A3997" s="35" t="s">
        <v>9727</v>
      </c>
      <c r="B3997" s="31" t="s">
        <v>9728</v>
      </c>
      <c r="C3997" s="31" t="s">
        <v>9729</v>
      </c>
      <c r="D3997" s="37" t="s">
        <v>14</v>
      </c>
      <c r="E3997" s="38">
        <v>2.0</v>
      </c>
      <c r="F3997" s="38">
        <v>25.0</v>
      </c>
      <c r="G3997" s="11">
        <v>113669.0</v>
      </c>
      <c r="H3997" s="34" t="str">
        <f>IFERROR(__xludf.DUMMYFUNCTION("LOWER(REGEXREPLACE(B3997&amp;"" ""&amp;C3997,""[^а-яa-z0-9 ]"","" ""))"),"типа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8">
      <c r="A3998" s="35" t="s">
        <v>9730</v>
      </c>
      <c r="B3998" s="31" t="s">
        <v>9731</v>
      </c>
      <c r="C3998" s="31" t="s">
        <v>9723</v>
      </c>
      <c r="D3998" s="37" t="s">
        <v>14</v>
      </c>
      <c r="E3998" s="38">
        <v>2.0</v>
      </c>
      <c r="F3998" s="38">
        <v>25.0</v>
      </c>
      <c r="G3998" s="11">
        <v>108897.0</v>
      </c>
      <c r="H3998" s="34" t="str">
        <f>IFERROR(__xludf.DUMMYFUNCTION("LOWER(REGEXREPLACE(B3998&amp;"" ""&amp;C3998,""[^а-яa-z0-9 ]"","" ""))"),"типа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9">
      <c r="A3999" s="35" t="s">
        <v>9732</v>
      </c>
      <c r="B3999" s="31" t="s">
        <v>9733</v>
      </c>
      <c r="C3999" s="31" t="s">
        <v>9723</v>
      </c>
      <c r="D3999" s="37" t="s">
        <v>14</v>
      </c>
      <c r="E3999" s="38">
        <v>2.0</v>
      </c>
      <c r="F3999" s="38">
        <v>28.0</v>
      </c>
      <c r="G3999" s="11">
        <v>119407.0</v>
      </c>
      <c r="H3999" s="34" t="str">
        <f>IFERROR(__xludf.DUMMYFUNCTION("LOWER(REGEXREPLACE(B3999&amp;"" ""&amp;C3999,""[^а-яa-z0-9 ]"","" ""))"),"типа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0">
      <c r="A4000" s="35" t="s">
        <v>9734</v>
      </c>
      <c r="B4000" s="31" t="s">
        <v>9735</v>
      </c>
      <c r="C4000" s="31" t="s">
        <v>9729</v>
      </c>
      <c r="D4000" s="37" t="s">
        <v>14</v>
      </c>
      <c r="E4000" s="38">
        <v>2.0</v>
      </c>
      <c r="F4000" s="38">
        <v>30.0</v>
      </c>
      <c r="G4000" s="11">
        <v>125141.0</v>
      </c>
      <c r="H4000" s="34" t="str">
        <f>IFERROR(__xludf.DUMMYFUNCTION("LOWER(REGEXREPLACE(B4000&amp;"" ""&amp;C4000,""[^а-яa-z0-9 ]"","" ""))"),"типа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1">
      <c r="A4001" s="35" t="s">
        <v>9736</v>
      </c>
      <c r="B4001" s="31" t="s">
        <v>9737</v>
      </c>
      <c r="C4001" s="31" t="s">
        <v>9723</v>
      </c>
      <c r="D4001" s="37" t="s">
        <v>14</v>
      </c>
      <c r="E4001" s="38">
        <v>2.0</v>
      </c>
      <c r="F4001" s="38">
        <v>35.0</v>
      </c>
      <c r="G4001" s="11">
        <v>141385.0</v>
      </c>
      <c r="H4001" s="34" t="str">
        <f>IFERROR(__xludf.DUMMYFUNCTION("LOWER(REGEXREPLACE(B4001&amp;"" ""&amp;C4001,""[^а-яa-z0-9 ]"","" ""))"),"типа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2">
      <c r="A4002" s="35" t="s">
        <v>9738</v>
      </c>
      <c r="B4002" s="31" t="s">
        <v>9739</v>
      </c>
      <c r="C4002" s="31" t="s">
        <v>9723</v>
      </c>
      <c r="D4002" s="37" t="s">
        <v>14</v>
      </c>
      <c r="E4002" s="38">
        <v>2.0</v>
      </c>
      <c r="F4002" s="38">
        <v>35.0</v>
      </c>
      <c r="G4002" s="11">
        <v>141385.0</v>
      </c>
      <c r="H4002" s="34" t="str">
        <f>IFERROR(__xludf.DUMMYFUNCTION("LOWER(REGEXREPLACE(B4002&amp;"" ""&amp;C4002,""[^а-яa-z0-9 ]"","" ""))"),"типа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3">
      <c r="A4003" s="35" t="s">
        <v>9740</v>
      </c>
      <c r="B4003" s="31" t="s">
        <v>9741</v>
      </c>
      <c r="C4003" s="31" t="s">
        <v>9742</v>
      </c>
      <c r="D4003" s="37" t="s">
        <v>14</v>
      </c>
      <c r="E4003" s="38">
        <v>2.0</v>
      </c>
      <c r="F4003" s="38">
        <v>28.0</v>
      </c>
      <c r="G4003" s="11">
        <v>121316.0</v>
      </c>
      <c r="H4003" s="34" t="str">
        <f>IFERROR(__xludf.DUMMYFUNCTION("LOWER(REGEXREPLACE(B4003&amp;"" ""&amp;C4003,""[^а-яa-z0-9 ]"","" ""))"),"типа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4">
      <c r="A4004" s="35" t="s">
        <v>9743</v>
      </c>
      <c r="B4004" s="31" t="s">
        <v>9744</v>
      </c>
      <c r="C4004" s="31" t="s">
        <v>9742</v>
      </c>
      <c r="D4004" s="37" t="s">
        <v>14</v>
      </c>
      <c r="E4004" s="38">
        <v>2.0</v>
      </c>
      <c r="F4004" s="38">
        <v>26.0</v>
      </c>
      <c r="G4004" s="11">
        <v>144212.0</v>
      </c>
      <c r="H4004" s="34" t="str">
        <f>IFERROR(__xludf.DUMMYFUNCTION("LOWER(REGEXREPLACE(B4004&amp;"" ""&amp;C4004,""[^а-яa-z0-9 ]"","" ""))"),"типа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5">
      <c r="A4005" s="35" t="s">
        <v>9745</v>
      </c>
      <c r="B4005" s="31" t="s">
        <v>9746</v>
      </c>
      <c r="C4005" s="31" t="s">
        <v>9747</v>
      </c>
      <c r="D4005" s="37" t="s">
        <v>14</v>
      </c>
      <c r="E4005" s="38">
        <v>2.0</v>
      </c>
      <c r="F4005" s="38">
        <v>29.0</v>
      </c>
      <c r="G4005" s="11">
        <v>126091.0</v>
      </c>
      <c r="H4005" s="34" t="str">
        <f>IFERROR(__xludf.DUMMYFUNCTION("LOWER(REGEXREPLACE(B4005&amp;"" ""&amp;C4005,""[^а-яa-z0-9 ]"","" ""))"),"типа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6">
      <c r="A4006" s="35" t="s">
        <v>9748</v>
      </c>
      <c r="B4006" s="31" t="s">
        <v>9749</v>
      </c>
      <c r="C4006" s="31" t="s">
        <v>9742</v>
      </c>
      <c r="D4006" s="37" t="s">
        <v>14</v>
      </c>
      <c r="E4006" s="38">
        <v>2.0</v>
      </c>
      <c r="F4006" s="38">
        <v>29.0</v>
      </c>
      <c r="G4006" s="11">
        <v>126091.0</v>
      </c>
      <c r="H4006" s="34" t="str">
        <f>IFERROR(__xludf.DUMMYFUNCTION("LOWER(REGEXREPLACE(B4006&amp;"" ""&amp;C4006,""[^а-яa-z0-9 ]"","" ""))"),"типа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7">
      <c r="A4007" s="35" t="s">
        <v>9750</v>
      </c>
      <c r="B4007" s="31" t="s">
        <v>9751</v>
      </c>
      <c r="C4007" s="31" t="s">
        <v>9742</v>
      </c>
      <c r="D4007" s="37" t="s">
        <v>14</v>
      </c>
      <c r="E4007" s="38">
        <v>2.0</v>
      </c>
      <c r="F4007" s="38">
        <v>29.0</v>
      </c>
      <c r="G4007" s="11">
        <v>126091.0</v>
      </c>
      <c r="H4007" s="34" t="str">
        <f>IFERROR(__xludf.DUMMYFUNCTION("LOWER(REGEXREPLACE(B4007&amp;"" ""&amp;C4007,""[^а-яa-z0-9 ]"","" ""))"),"типа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8">
      <c r="A4008" s="35" t="s">
        <v>9752</v>
      </c>
      <c r="B4008" s="31" t="s">
        <v>9753</v>
      </c>
      <c r="C4008" s="31" t="s">
        <v>9747</v>
      </c>
      <c r="D4008" s="37" t="s">
        <v>14</v>
      </c>
      <c r="E4008" s="38">
        <v>2.0</v>
      </c>
      <c r="F4008" s="38">
        <v>33.0</v>
      </c>
      <c r="G4008" s="11">
        <v>131834.0</v>
      </c>
      <c r="H4008" s="34" t="str">
        <f>IFERROR(__xludf.DUMMYFUNCTION("LOWER(REGEXREPLACE(B4008&amp;"" ""&amp;C4008,""[^а-яa-z0-9 ]"","" ""))"),"типа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9">
      <c r="A4009" s="35" t="s">
        <v>9754</v>
      </c>
      <c r="B4009" s="31" t="s">
        <v>9755</v>
      </c>
      <c r="C4009" s="31" t="s">
        <v>9742</v>
      </c>
      <c r="D4009" s="37" t="s">
        <v>14</v>
      </c>
      <c r="E4009" s="38">
        <v>2.0</v>
      </c>
      <c r="F4009" s="38">
        <v>34.0</v>
      </c>
      <c r="G4009" s="11">
        <v>137564.0</v>
      </c>
      <c r="H4009" s="34" t="str">
        <f>IFERROR(__xludf.DUMMYFUNCTION("LOWER(REGEXREPLACE(B4009&amp;"" ""&amp;C4009,""[^а-яa-z0-9 ]"","" ""))"),"типа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0">
      <c r="A4010" s="35" t="s">
        <v>9756</v>
      </c>
      <c r="B4010" s="31" t="s">
        <v>9757</v>
      </c>
      <c r="C4010" s="31" t="s">
        <v>9758</v>
      </c>
      <c r="D4010" s="37" t="s">
        <v>14</v>
      </c>
      <c r="E4010" s="38">
        <v>2.0</v>
      </c>
      <c r="F4010" s="38">
        <v>28.0</v>
      </c>
      <c r="G4010" s="11">
        <v>117498.0</v>
      </c>
      <c r="H4010" s="34" t="str">
        <f>IFERROR(__xludf.DUMMYFUNCTION("LOWER(REGEXREPLACE(B4010&amp;"" ""&amp;C4010,""[^а-яa-z0-9 ]"","" ""))"),"типа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1">
      <c r="A4011" s="35" t="s">
        <v>9759</v>
      </c>
      <c r="B4011" s="31" t="s">
        <v>9760</v>
      </c>
      <c r="C4011" s="31" t="s">
        <v>9761</v>
      </c>
      <c r="D4011" s="37" t="s">
        <v>14</v>
      </c>
      <c r="E4011" s="38">
        <v>2.0</v>
      </c>
      <c r="F4011" s="38">
        <v>26.0</v>
      </c>
      <c r="G4011" s="11">
        <v>140394.0</v>
      </c>
      <c r="H4011" s="34" t="str">
        <f>IFERROR(__xludf.DUMMYFUNCTION("LOWER(REGEXREPLACE(B4011&amp;"" ""&amp;C4011,""[^а-яa-z0-9 ]"","" ""))"),"типа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2">
      <c r="A4012" s="35" t="s">
        <v>9762</v>
      </c>
      <c r="B4012" s="31" t="s">
        <v>9763</v>
      </c>
      <c r="C4012" s="31" t="s">
        <v>9758</v>
      </c>
      <c r="D4012" s="37" t="s">
        <v>14</v>
      </c>
      <c r="E4012" s="38">
        <v>2.0</v>
      </c>
      <c r="F4012" s="38">
        <v>29.0</v>
      </c>
      <c r="G4012" s="11">
        <v>122274.0</v>
      </c>
      <c r="H4012" s="34" t="str">
        <f>IFERROR(__xludf.DUMMYFUNCTION("LOWER(REGEXREPLACE(B4012&amp;"" ""&amp;C4012,""[^а-яa-z0-9 ]"","" ""))"),"типа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3">
      <c r="A4013" s="35" t="s">
        <v>9764</v>
      </c>
      <c r="B4013" s="31" t="s">
        <v>9765</v>
      </c>
      <c r="C4013" s="31" t="s">
        <v>9758</v>
      </c>
      <c r="D4013" s="37" t="s">
        <v>14</v>
      </c>
      <c r="E4013" s="38">
        <v>2.0</v>
      </c>
      <c r="F4013" s="38">
        <v>29.0</v>
      </c>
      <c r="G4013" s="11">
        <v>122274.0</v>
      </c>
      <c r="H4013" s="34" t="str">
        <f>IFERROR(__xludf.DUMMYFUNCTION("LOWER(REGEXREPLACE(B4013&amp;"" ""&amp;C4013,""[^а-яa-z0-9 ]"","" ""))"),"типа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4">
      <c r="A4014" s="35" t="s">
        <v>9766</v>
      </c>
      <c r="B4014" s="31" t="s">
        <v>9767</v>
      </c>
      <c r="C4014" s="31" t="s">
        <v>9761</v>
      </c>
      <c r="D4014" s="37" t="s">
        <v>14</v>
      </c>
      <c r="E4014" s="38">
        <v>2.0</v>
      </c>
      <c r="F4014" s="38">
        <v>29.0</v>
      </c>
      <c r="G4014" s="11">
        <v>122274.0</v>
      </c>
      <c r="H4014" s="34" t="str">
        <f>IFERROR(__xludf.DUMMYFUNCTION("LOWER(REGEXREPLACE(B4014&amp;"" ""&amp;C4014,""[^а-яa-z0-9 ]"","" ""))"),"типа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5">
      <c r="A4015" s="35" t="s">
        <v>9768</v>
      </c>
      <c r="B4015" s="31" t="s">
        <v>9769</v>
      </c>
      <c r="C4015" s="31" t="s">
        <v>9758</v>
      </c>
      <c r="D4015" s="37" t="s">
        <v>14</v>
      </c>
      <c r="E4015" s="38">
        <v>2.0</v>
      </c>
      <c r="F4015" s="38">
        <v>33.0</v>
      </c>
      <c r="G4015" s="11">
        <v>128016.0</v>
      </c>
      <c r="H4015" s="34" t="str">
        <f>IFERROR(__xludf.DUMMYFUNCTION("LOWER(REGEXREPLACE(B4015&amp;"" ""&amp;C4015,""[^а-яa-z0-9 ]"","" ""))"),"типа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6">
      <c r="A4016" s="35" t="s">
        <v>9770</v>
      </c>
      <c r="B4016" s="31" t="s">
        <v>9771</v>
      </c>
      <c r="C4016" s="31" t="s">
        <v>9758</v>
      </c>
      <c r="D4016" s="37" t="s">
        <v>14</v>
      </c>
      <c r="E4016" s="38">
        <v>2.0</v>
      </c>
      <c r="F4016" s="38">
        <v>34.0</v>
      </c>
      <c r="G4016" s="11">
        <v>133747.0</v>
      </c>
      <c r="H4016" s="34" t="str">
        <f>IFERROR(__xludf.DUMMYFUNCTION("LOWER(REGEXREPLACE(B4016&amp;"" ""&amp;C4016,""[^а-яa-z0-9 ]"","" ""))"),"типа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7">
      <c r="A4017" s="35" t="s">
        <v>9772</v>
      </c>
      <c r="B4017" s="31" t="s">
        <v>9773</v>
      </c>
      <c r="C4017" s="31" t="s">
        <v>9774</v>
      </c>
      <c r="D4017" s="37" t="s">
        <v>14</v>
      </c>
      <c r="E4017" s="38">
        <v>2.0</v>
      </c>
      <c r="F4017" s="38">
        <v>29.0</v>
      </c>
      <c r="G4017" s="11">
        <v>174763.0</v>
      </c>
      <c r="H4017" s="34" t="str">
        <f>IFERROR(__xludf.DUMMYFUNCTION("LOWER(REGEXREPLACE(B4017&amp;"" ""&amp;C4017,""[^а-яa-z0-9 ]"","" ""))"),"типа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8">
      <c r="A4018" s="35" t="s">
        <v>9775</v>
      </c>
      <c r="B4018" s="31" t="s">
        <v>9776</v>
      </c>
      <c r="C4018" s="31" t="s">
        <v>9777</v>
      </c>
      <c r="D4018" s="37" t="s">
        <v>14</v>
      </c>
      <c r="E4018" s="38">
        <v>2.0</v>
      </c>
      <c r="F4018" s="38">
        <v>26.0</v>
      </c>
      <c r="G4018" s="11">
        <v>197655.0</v>
      </c>
      <c r="H4018" s="34" t="str">
        <f>IFERROR(__xludf.DUMMYFUNCTION("LOWER(REGEXREPLACE(B4018&amp;"" ""&amp;C4018,""[^а-яa-z0-9 ]"","" ""))"),"типа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9">
      <c r="A4019" s="35" t="s">
        <v>9778</v>
      </c>
      <c r="B4019" s="31" t="s">
        <v>9779</v>
      </c>
      <c r="C4019" s="31" t="s">
        <v>9774</v>
      </c>
      <c r="D4019" s="37" t="s">
        <v>14</v>
      </c>
      <c r="E4019" s="38">
        <v>2.0</v>
      </c>
      <c r="F4019" s="38">
        <v>29.0</v>
      </c>
      <c r="G4019" s="11">
        <v>179535.0</v>
      </c>
      <c r="H4019" s="34" t="str">
        <f>IFERROR(__xludf.DUMMYFUNCTION("LOWER(REGEXREPLACE(B4019&amp;"" ""&amp;C4019,""[^а-яa-z0-9 ]"","" ""))"),"типа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0">
      <c r="A4020" s="35" t="s">
        <v>9780</v>
      </c>
      <c r="B4020" s="31" t="s">
        <v>9781</v>
      </c>
      <c r="C4020" s="31" t="s">
        <v>9774</v>
      </c>
      <c r="D4020" s="37" t="s">
        <v>14</v>
      </c>
      <c r="E4020" s="38">
        <v>2.0</v>
      </c>
      <c r="F4020" s="38">
        <v>29.0</v>
      </c>
      <c r="G4020" s="11">
        <v>179535.0</v>
      </c>
      <c r="H4020" s="34" t="str">
        <f>IFERROR(__xludf.DUMMYFUNCTION("LOWER(REGEXREPLACE(B4020&amp;"" ""&amp;C4020,""[^а-яa-z0-9 ]"","" ""))"),"типа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1">
      <c r="A4021" s="35" t="s">
        <v>9782</v>
      </c>
      <c r="B4021" s="31" t="s">
        <v>9783</v>
      </c>
      <c r="C4021" s="31" t="s">
        <v>9777</v>
      </c>
      <c r="D4021" s="37" t="s">
        <v>14</v>
      </c>
      <c r="E4021" s="38">
        <v>2.0</v>
      </c>
      <c r="F4021" s="38">
        <v>29.0</v>
      </c>
      <c r="G4021" s="11">
        <v>179535.0</v>
      </c>
      <c r="H4021" s="34" t="str">
        <f>IFERROR(__xludf.DUMMYFUNCTION("LOWER(REGEXREPLACE(B4021&amp;"" ""&amp;C4021,""[^а-яa-z0-9 ]"","" ""))"),"типа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2">
      <c r="A4022" s="35" t="s">
        <v>9784</v>
      </c>
      <c r="B4022" s="31" t="s">
        <v>9785</v>
      </c>
      <c r="C4022" s="31" t="s">
        <v>9774</v>
      </c>
      <c r="D4022" s="37" t="s">
        <v>14</v>
      </c>
      <c r="E4022" s="38">
        <v>2.0</v>
      </c>
      <c r="F4022" s="38">
        <v>33.0</v>
      </c>
      <c r="G4022" s="11">
        <v>185277.0</v>
      </c>
      <c r="H4022" s="34" t="str">
        <f>IFERROR(__xludf.DUMMYFUNCTION("LOWER(REGEXREPLACE(B4022&amp;"" ""&amp;C4022,""[^а-яa-z0-9 ]"","" ""))"),"типа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3">
      <c r="A4023" s="35" t="s">
        <v>9786</v>
      </c>
      <c r="B4023" s="31" t="s">
        <v>9787</v>
      </c>
      <c r="C4023" s="31" t="s">
        <v>9774</v>
      </c>
      <c r="D4023" s="37" t="s">
        <v>14</v>
      </c>
      <c r="E4023" s="38">
        <v>2.0</v>
      </c>
      <c r="F4023" s="38">
        <v>34.0</v>
      </c>
      <c r="G4023" s="11">
        <v>191007.0</v>
      </c>
      <c r="H4023" s="34" t="str">
        <f>IFERROR(__xludf.DUMMYFUNCTION("LOWER(REGEXREPLACE(B4023&amp;"" ""&amp;C4023,""[^а-яa-z0-9 ]"","" ""))"),"типа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4">
      <c r="A4024" s="35" t="s">
        <v>9788</v>
      </c>
      <c r="B4024" s="31" t="s">
        <v>9789</v>
      </c>
      <c r="C4024" s="31" t="s">
        <v>9790</v>
      </c>
      <c r="D4024" s="37" t="s">
        <v>14</v>
      </c>
      <c r="E4024" s="38">
        <v>2.0</v>
      </c>
      <c r="F4024" s="38">
        <v>30.0</v>
      </c>
      <c r="G4024" s="11">
        <v>129913.0</v>
      </c>
      <c r="H4024" s="34" t="str">
        <f>IFERROR(__xludf.DUMMYFUNCTION("LOWER(REGEXREPLACE(B4024&amp;"" ""&amp;C4024,""[^а-яa-z0-9 ]"","" ""))"),"типа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5">
      <c r="A4025" s="35" t="s">
        <v>9791</v>
      </c>
      <c r="B4025" s="31" t="s">
        <v>9792</v>
      </c>
      <c r="C4025" s="31" t="s">
        <v>9790</v>
      </c>
      <c r="D4025" s="37" t="s">
        <v>14</v>
      </c>
      <c r="E4025" s="38">
        <v>2.0</v>
      </c>
      <c r="F4025" s="38">
        <v>27.0</v>
      </c>
      <c r="G4025" s="11">
        <v>106042.0</v>
      </c>
      <c r="H4025" s="34" t="str">
        <f>IFERROR(__xludf.DUMMYFUNCTION("LOWER(REGEXREPLACE(B4025&amp;"" ""&amp;C4025,""[^а-яa-z0-9 ]"","" ""))"),"типа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6">
      <c r="A4026" s="35" t="s">
        <v>9793</v>
      </c>
      <c r="B4026" s="31" t="s">
        <v>9794</v>
      </c>
      <c r="C4026" s="31" t="s">
        <v>9795</v>
      </c>
      <c r="D4026" s="37" t="s">
        <v>14</v>
      </c>
      <c r="E4026" s="38">
        <v>2.0</v>
      </c>
      <c r="F4026" s="38">
        <v>30.0</v>
      </c>
      <c r="G4026" s="11">
        <v>129913.0</v>
      </c>
      <c r="H4026" s="34" t="str">
        <f>IFERROR(__xludf.DUMMYFUNCTION("LOWER(REGEXREPLACE(B4026&amp;"" ""&amp;C4026,""[^а-яa-z0-9 ]"","" ""))"),"типа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7">
      <c r="A4027" s="35" t="s">
        <v>9796</v>
      </c>
      <c r="B4027" s="31" t="s">
        <v>9797</v>
      </c>
      <c r="C4027" s="31" t="s">
        <v>9798</v>
      </c>
      <c r="D4027" s="37" t="s">
        <v>14</v>
      </c>
      <c r="E4027" s="38">
        <v>2.0</v>
      </c>
      <c r="F4027" s="38">
        <v>30.0</v>
      </c>
      <c r="G4027" s="11">
        <v>126096.0</v>
      </c>
      <c r="H4027" s="34" t="str">
        <f>IFERROR(__xludf.DUMMYFUNCTION("LOWER(REGEXREPLACE(B4027&amp;"" ""&amp;C4027,""[^а-яa-z0-9 ]"","" ""))"),"типа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8">
      <c r="A4028" s="35" t="s">
        <v>9799</v>
      </c>
      <c r="B4028" s="31" t="s">
        <v>9800</v>
      </c>
      <c r="C4028" s="31" t="s">
        <v>9798</v>
      </c>
      <c r="D4028" s="37" t="s">
        <v>14</v>
      </c>
      <c r="E4028" s="38">
        <v>2.0</v>
      </c>
      <c r="F4028" s="38">
        <v>27.0</v>
      </c>
      <c r="G4028" s="11">
        <v>102225.0</v>
      </c>
      <c r="H4028" s="34" t="str">
        <f>IFERROR(__xludf.DUMMYFUNCTION("LOWER(REGEXREPLACE(B4028&amp;"" ""&amp;C4028,""[^а-яa-z0-9 ]"","" ""))"),"типа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9">
      <c r="A4029" s="35" t="s">
        <v>9801</v>
      </c>
      <c r="B4029" s="31" t="s">
        <v>9802</v>
      </c>
      <c r="C4029" s="31" t="s">
        <v>9803</v>
      </c>
      <c r="D4029" s="37" t="s">
        <v>14</v>
      </c>
      <c r="E4029" s="38">
        <v>2.0</v>
      </c>
      <c r="F4029" s="38">
        <v>30.0</v>
      </c>
      <c r="G4029" s="11">
        <v>126096.0</v>
      </c>
      <c r="H4029" s="34" t="str">
        <f>IFERROR(__xludf.DUMMYFUNCTION("LOWER(REGEXREPLACE(B4029&amp;"" ""&amp;C4029,""[^а-яa-z0-9 ]"","" ""))"),"типа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0">
      <c r="A4030" s="35" t="s">
        <v>9804</v>
      </c>
      <c r="B4030" s="31" t="s">
        <v>9805</v>
      </c>
      <c r="C4030" s="31" t="s">
        <v>9806</v>
      </c>
      <c r="D4030" s="37" t="s">
        <v>14</v>
      </c>
      <c r="E4030" s="38">
        <v>2.0</v>
      </c>
      <c r="F4030" s="38">
        <v>30.0</v>
      </c>
      <c r="G4030" s="11">
        <v>183356.0</v>
      </c>
      <c r="H4030" s="34" t="str">
        <f>IFERROR(__xludf.DUMMYFUNCTION("LOWER(REGEXREPLACE(B4030&amp;"" ""&amp;C4030,""[^а-яa-z0-9 ]"","" ""))"),"типа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1">
      <c r="A4031" s="35" t="s">
        <v>9807</v>
      </c>
      <c r="B4031" s="31" t="s">
        <v>9808</v>
      </c>
      <c r="C4031" s="31" t="s">
        <v>9806</v>
      </c>
      <c r="D4031" s="37" t="s">
        <v>14</v>
      </c>
      <c r="E4031" s="38">
        <v>2.0</v>
      </c>
      <c r="F4031" s="38">
        <v>27.0</v>
      </c>
      <c r="G4031" s="11">
        <v>159485.0</v>
      </c>
      <c r="H4031" s="34" t="str">
        <f>IFERROR(__xludf.DUMMYFUNCTION("LOWER(REGEXREPLACE(B4031&amp;"" ""&amp;C4031,""[^а-яa-z0-9 ]"","" ""))"),"типа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2">
      <c r="A4032" s="35" t="s">
        <v>9809</v>
      </c>
      <c r="B4032" s="31" t="s">
        <v>9810</v>
      </c>
      <c r="C4032" s="31" t="s">
        <v>9806</v>
      </c>
      <c r="D4032" s="37" t="s">
        <v>14</v>
      </c>
      <c r="E4032" s="38">
        <v>2.0</v>
      </c>
      <c r="F4032" s="38">
        <v>30.0</v>
      </c>
      <c r="G4032" s="11">
        <v>183356.0</v>
      </c>
      <c r="H4032" s="34" t="str">
        <f>IFERROR(__xludf.DUMMYFUNCTION("LOWER(REGEXREPLACE(B4032&amp;"" ""&amp;C4032,""[^а-яa-z0-9 ]"","" ""))"),"типа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3">
      <c r="A4033" s="35" t="s">
        <v>9811</v>
      </c>
      <c r="B4033" s="31" t="s">
        <v>9812</v>
      </c>
      <c r="C4033" s="31" t="s">
        <v>9813</v>
      </c>
      <c r="D4033" s="37" t="s">
        <v>14</v>
      </c>
      <c r="E4033" s="38">
        <v>2.0</v>
      </c>
      <c r="F4033" s="38">
        <v>31.0</v>
      </c>
      <c r="G4033" s="11">
        <v>134689.0</v>
      </c>
      <c r="H4033" s="34" t="str">
        <f>IFERROR(__xludf.DUMMYFUNCTION("LOWER(REGEXREPLACE(B4033&amp;"" ""&amp;C4033,""[^а-яa-z0-9 ]"","" ""))"),"типа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4">
      <c r="A4034" s="35" t="s">
        <v>9814</v>
      </c>
      <c r="B4034" s="31" t="s">
        <v>9815</v>
      </c>
      <c r="C4034" s="31" t="s">
        <v>9813</v>
      </c>
      <c r="D4034" s="37" t="s">
        <v>14</v>
      </c>
      <c r="E4034" s="38">
        <v>2.0</v>
      </c>
      <c r="F4034" s="38">
        <v>31.0</v>
      </c>
      <c r="G4034" s="11">
        <v>134689.0</v>
      </c>
      <c r="H4034" s="34" t="str">
        <f>IFERROR(__xludf.DUMMYFUNCTION("LOWER(REGEXREPLACE(B4034&amp;"" ""&amp;C4034,""[^а-яa-z0-9 ]"","" ""))"),"типа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5">
      <c r="A4035" s="35" t="s">
        <v>9816</v>
      </c>
      <c r="B4035" s="31" t="s">
        <v>9817</v>
      </c>
      <c r="C4035" s="31" t="s">
        <v>9818</v>
      </c>
      <c r="D4035" s="37" t="s">
        <v>14</v>
      </c>
      <c r="E4035" s="38">
        <v>2.0</v>
      </c>
      <c r="F4035" s="38">
        <v>30.0</v>
      </c>
      <c r="G4035" s="11">
        <v>139456.0</v>
      </c>
      <c r="H4035" s="34" t="str">
        <f>IFERROR(__xludf.DUMMYFUNCTION("LOWER(REGEXREPLACE(B4035&amp;"" ""&amp;C4035,""[^а-яa-z0-9 ]"","" ""))"),"типа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вентиляци"&amp;"онными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6">
      <c r="A4036" s="35" t="s">
        <v>9819</v>
      </c>
      <c r="B4036" s="31" t="s">
        <v>9820</v>
      </c>
      <c r="C4036" s="31" t="s">
        <v>9821</v>
      </c>
      <c r="D4036" s="37" t="s">
        <v>14</v>
      </c>
      <c r="E4036" s="38">
        <v>2.0</v>
      </c>
      <c r="F4036" s="38">
        <v>30.0</v>
      </c>
      <c r="G4036" s="11">
        <v>131822.0</v>
      </c>
      <c r="H4036" s="34" t="str">
        <f>IFERROR(__xludf.DUMMYFUNCTION("LOWER(REGEXREPLACE(B4036&amp;"" ""&amp;C4036,""[^а-яa-z0-9 ]"","" ""))"),"типа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7">
      <c r="A4037" s="35" t="s">
        <v>9822</v>
      </c>
      <c r="B4037" s="31" t="s">
        <v>9823</v>
      </c>
      <c r="C4037" s="31"/>
      <c r="D4037" s="37" t="s">
        <v>14</v>
      </c>
      <c r="E4037" s="10"/>
      <c r="F4037" s="36"/>
      <c r="G4037" s="11"/>
      <c r="H4037" s="34" t="str">
        <f>IFERROR(__xludf.DUMMYFUNCTION("LOWER(REGEXREPLACE(B4037&amp;"" ""&amp;C4037,""[^а-яa-z0-9 ]"","" ""))")," каф металлический трехсекционный ")</f>
        <v> каф металлический трехсекционный </v>
      </c>
    </row>
    <row r="4038">
      <c r="A4038" s="35" t="s">
        <v>9824</v>
      </c>
      <c r="B4038" s="31" t="s">
        <v>9825</v>
      </c>
      <c r="C4038" s="31" t="s">
        <v>9826</v>
      </c>
      <c r="D4038" s="37" t="s">
        <v>14</v>
      </c>
      <c r="E4038" s="38">
        <v>2.0</v>
      </c>
      <c r="F4038" s="38">
        <v>40.0</v>
      </c>
      <c r="G4038" s="11">
        <v>162401.0</v>
      </c>
      <c r="H4038" s="34" t="str">
        <f>IFERROR(__xludf.DUMMYFUNCTION("LOWER(REGEXREPLACE(B4038&amp;"" ""&amp;C4038,""[^а-яa-z0-9 ]"","" ""))"),"типа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9">
      <c r="A4039" s="35" t="s">
        <v>9827</v>
      </c>
      <c r="B4039" s="31" t="s">
        <v>9828</v>
      </c>
      <c r="C4039" s="31" t="s">
        <v>9826</v>
      </c>
      <c r="D4039" s="37" t="s">
        <v>14</v>
      </c>
      <c r="E4039" s="38">
        <v>2.0</v>
      </c>
      <c r="F4039" s="38">
        <v>37.0</v>
      </c>
      <c r="G4039" s="11">
        <v>132804.0</v>
      </c>
      <c r="H4039" s="34" t="str">
        <f>IFERROR(__xludf.DUMMYFUNCTION("LOWER(REGEXREPLACE(B4039&amp;"" ""&amp;C4039,""[^а-яa-z0-9 ]"","" ""))"),"типа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0">
      <c r="A4040" s="35" t="s">
        <v>9829</v>
      </c>
      <c r="B4040" s="31" t="s">
        <v>9830</v>
      </c>
      <c r="C4040" s="31" t="s">
        <v>9826</v>
      </c>
      <c r="D4040" s="37" t="s">
        <v>14</v>
      </c>
      <c r="E4040" s="38">
        <v>2.0</v>
      </c>
      <c r="F4040" s="38">
        <v>42.0</v>
      </c>
      <c r="G4040" s="11">
        <v>142368.0</v>
      </c>
      <c r="H4040" s="34" t="str">
        <f>IFERROR(__xludf.DUMMYFUNCTION("LOWER(REGEXREPLACE(B4040&amp;"" ""&amp;C4040,""[^а-яa-z0-9 ]"","" ""))"),"типа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1">
      <c r="A4041" s="35" t="s">
        <v>9831</v>
      </c>
      <c r="B4041" s="31" t="s">
        <v>9832</v>
      </c>
      <c r="C4041" s="31" t="s">
        <v>9833</v>
      </c>
      <c r="D4041" s="37" t="s">
        <v>14</v>
      </c>
      <c r="E4041" s="38">
        <v>2.0</v>
      </c>
      <c r="F4041" s="38">
        <v>40.0</v>
      </c>
      <c r="G4041" s="11">
        <v>160493.0</v>
      </c>
      <c r="H4041" s="34" t="str">
        <f>IFERROR(__xludf.DUMMYFUNCTION("LOWER(REGEXREPLACE(B4041&amp;"" ""&amp;C4041,""[^а-яa-z0-9 ]"","" ""))"),"типа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2">
      <c r="A4042" s="35" t="s">
        <v>9834</v>
      </c>
      <c r="B4042" s="31" t="s">
        <v>9835</v>
      </c>
      <c r="C4042" s="31" t="s">
        <v>9833</v>
      </c>
      <c r="D4042" s="37" t="s">
        <v>14</v>
      </c>
      <c r="E4042" s="38">
        <v>2.0</v>
      </c>
      <c r="F4042" s="38">
        <v>37.0</v>
      </c>
      <c r="G4042" s="11">
        <v>130896.0</v>
      </c>
      <c r="H4042" s="34" t="str">
        <f>IFERROR(__xludf.DUMMYFUNCTION("LOWER(REGEXREPLACE(B4042&amp;"" ""&amp;C4042,""[^а-яa-z0-9 ]"","" ""))"),"типа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3">
      <c r="A4043" s="35" t="s">
        <v>9836</v>
      </c>
      <c r="B4043" s="31" t="s">
        <v>9837</v>
      </c>
      <c r="C4043" s="31" t="s">
        <v>9833</v>
      </c>
      <c r="D4043" s="37" t="s">
        <v>14</v>
      </c>
      <c r="E4043" s="38">
        <v>2.0</v>
      </c>
      <c r="F4043" s="38">
        <v>42.0</v>
      </c>
      <c r="G4043" s="11">
        <v>140459.0</v>
      </c>
      <c r="H4043" s="34" t="str">
        <f>IFERROR(__xludf.DUMMYFUNCTION("LOWER(REGEXREPLACE(B4043&amp;"" ""&amp;C4043,""[^а-яa-z0-9 ]"","" ""))"),"типа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4">
      <c r="A4044" s="35" t="s">
        <v>9838</v>
      </c>
      <c r="B4044" s="31" t="s">
        <v>9839</v>
      </c>
      <c r="C4044" s="31" t="s">
        <v>9840</v>
      </c>
      <c r="D4044" s="37" t="s">
        <v>14</v>
      </c>
      <c r="E4044" s="38">
        <v>2.0</v>
      </c>
      <c r="F4044" s="38">
        <v>40.0</v>
      </c>
      <c r="G4044" s="11">
        <v>203438.0</v>
      </c>
      <c r="H4044" s="34" t="str">
        <f>IFERROR(__xludf.DUMMYFUNCTION("LOWER(REGEXREPLACE(B4044&amp;"" ""&amp;C4044,""[^а-яa-z0-9 ]"","" ""))"),"типа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5">
      <c r="A4045" s="35" t="s">
        <v>9841</v>
      </c>
      <c r="B4045" s="31" t="s">
        <v>9842</v>
      </c>
      <c r="C4045" s="31" t="s">
        <v>9840</v>
      </c>
      <c r="D4045" s="37" t="s">
        <v>14</v>
      </c>
      <c r="E4045" s="38">
        <v>2.0</v>
      </c>
      <c r="F4045" s="38">
        <v>37.0</v>
      </c>
      <c r="G4045" s="11">
        <v>173841.0</v>
      </c>
      <c r="H4045" s="34" t="str">
        <f>IFERROR(__xludf.DUMMYFUNCTION("LOWER(REGEXREPLACE(B4045&amp;"" ""&amp;C4045,""[^а-яa-z0-9 ]"","" ""))"),"типа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6">
      <c r="A4046" s="35" t="s">
        <v>9843</v>
      </c>
      <c r="B4046" s="31" t="s">
        <v>9844</v>
      </c>
      <c r="C4046" s="31" t="s">
        <v>9840</v>
      </c>
      <c r="D4046" s="37" t="s">
        <v>14</v>
      </c>
      <c r="E4046" s="38">
        <v>2.0</v>
      </c>
      <c r="F4046" s="38">
        <v>42.0</v>
      </c>
      <c r="G4046" s="11">
        <v>183405.0</v>
      </c>
      <c r="H4046" s="34" t="str">
        <f>IFERROR(__xludf.DUMMYFUNCTION("LOWER(REGEXREPLACE(B4046&amp;"" ""&amp;C4046,""[^а-яa-z0-9 ]"","" ""))"),"типа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7">
      <c r="A4047" s="35" t="s">
        <v>9845</v>
      </c>
      <c r="B4047" s="31" t="s">
        <v>9846</v>
      </c>
      <c r="C4047" s="31" t="s">
        <v>9847</v>
      </c>
      <c r="D4047" s="37" t="s">
        <v>14</v>
      </c>
      <c r="E4047" s="38">
        <v>2.0</v>
      </c>
      <c r="F4047" s="38">
        <v>38.0</v>
      </c>
      <c r="G4047" s="11">
        <v>173845.0</v>
      </c>
      <c r="H4047" s="34" t="str">
        <f>IFERROR(__xludf.DUMMYFUNCTION("LOWER(REGEXREPLACE(B4047&amp;"" ""&amp;C4047,""[^а-яa-z0-9 ]"","" ""))"),"типа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снащен"&amp;"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полимерн"&amp;"ое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8">
      <c r="A4048" s="35" t="s">
        <v>9848</v>
      </c>
      <c r="B4048" s="31" t="s">
        <v>9849</v>
      </c>
      <c r="C4048" s="31" t="s">
        <v>9850</v>
      </c>
      <c r="D4048" s="37" t="s">
        <v>14</v>
      </c>
      <c r="E4048" s="38">
        <v>2.0</v>
      </c>
      <c r="F4048" s="38">
        <v>38.0</v>
      </c>
      <c r="G4048" s="11">
        <v>179571.0</v>
      </c>
      <c r="H4048" s="34" t="str">
        <f>IFERROR(__xludf.DUMMYFUNCTION("LOWER(REGEXREPLACE(B4048&amp;"" ""&amp;C4048,""[^а-яa-z0-9 ]"","" ""))"),"типа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снаще"&amp;"н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полимер"&amp;"ное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9">
      <c r="A4049" s="35" t="s">
        <v>9851</v>
      </c>
      <c r="B4049" s="31" t="s">
        <v>9852</v>
      </c>
      <c r="C4049" s="31" t="s">
        <v>9853</v>
      </c>
      <c r="D4049" s="37" t="s">
        <v>14</v>
      </c>
      <c r="E4049" s="38">
        <v>2.0</v>
      </c>
      <c r="F4049" s="38">
        <v>42.0</v>
      </c>
      <c r="G4049" s="11">
        <v>195812.0</v>
      </c>
      <c r="H4049" s="34" t="str">
        <f>IFERROR(__xludf.DUMMYFUNCTION("LOWER(REGEXREPLACE(B4049&amp;"" ""&amp;C4049,""[^а-яa-z0-9 ]"","" ""))"),"типа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f>
        <v>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v>
      </c>
    </row>
    <row r="4050">
      <c r="A4050" s="35" t="s">
        <v>9854</v>
      </c>
      <c r="B4050" s="31" t="s">
        <v>9855</v>
      </c>
      <c r="C4050" s="31" t="s">
        <v>9856</v>
      </c>
      <c r="D4050" s="37" t="s">
        <v>14</v>
      </c>
      <c r="E4050" s="38">
        <v>2.0</v>
      </c>
      <c r="F4050" s="38">
        <v>42.0</v>
      </c>
      <c r="G4050" s="11">
        <v>187222.0</v>
      </c>
      <c r="H4050" s="34" t="str">
        <f>IFERROR(__xludf.DUMMYFUNCTION("LOWER(REGEXREPLACE(B4050&amp;"" ""&amp;C4050,""[^а-яa-z0-9 ]"","" ""))"),"типа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1">
      <c r="A4051" s="35" t="s">
        <v>9857</v>
      </c>
      <c r="B4051" s="31" t="s">
        <v>9858</v>
      </c>
      <c r="C4051" s="31" t="s">
        <v>9859</v>
      </c>
      <c r="D4051" s="37" t="s">
        <v>14</v>
      </c>
      <c r="E4051" s="38">
        <v>2.0</v>
      </c>
      <c r="F4051" s="38">
        <v>43.0</v>
      </c>
      <c r="G4051" s="11">
        <v>209176.0</v>
      </c>
      <c r="H4051" s="34" t="str">
        <f>IFERROR(__xludf.DUMMYFUNCTION("LOWER(REGEXREPLACE(B4051&amp;"" ""&amp;C4051,""[^а-яa-z0-9 ]"","" ""))"),"типа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венти"&amp;"ляционными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2">
      <c r="A4052" s="35" t="s">
        <v>9860</v>
      </c>
      <c r="B4052" s="31" t="s">
        <v>9861</v>
      </c>
      <c r="C4052" s="31" t="s">
        <v>9862</v>
      </c>
      <c r="D4052" s="37" t="s">
        <v>14</v>
      </c>
      <c r="E4052" s="38">
        <v>2.0</v>
      </c>
      <c r="F4052" s="38">
        <v>43.0</v>
      </c>
      <c r="G4052" s="11">
        <v>197724.0</v>
      </c>
      <c r="H4052" s="34" t="str">
        <f>IFERROR(__xludf.DUMMYFUNCTION("LOWER(REGEXREPLACE(B4052&amp;"" ""&amp;C4052,""[^а-яa-z0-9 ]"","" ""))"),"типа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3">
      <c r="A4053" s="35" t="s">
        <v>9863</v>
      </c>
      <c r="B4053" s="31" t="s">
        <v>9864</v>
      </c>
      <c r="C4053" s="31"/>
      <c r="D4053" s="37" t="s">
        <v>14</v>
      </c>
      <c r="E4053" s="10"/>
      <c r="F4053" s="36"/>
      <c r="G4053" s="11"/>
      <c r="H4053" s="34" t="str">
        <f>IFERROR(__xludf.DUMMYFUNCTION("LOWER(REGEXREPLACE(B4053&amp;"" ""&amp;C4053,""[^а-яa-z0-9 ]"","" ""))")," каф металлический четырехсекционный ")</f>
        <v> каф металлический четырехсекционный </v>
      </c>
    </row>
    <row r="4054">
      <c r="A4054" s="35" t="s">
        <v>9865</v>
      </c>
      <c r="B4054" s="31" t="s">
        <v>9866</v>
      </c>
      <c r="C4054" s="31" t="s">
        <v>9867</v>
      </c>
      <c r="D4054" s="37" t="s">
        <v>14</v>
      </c>
      <c r="E4054" s="38">
        <v>2.0</v>
      </c>
      <c r="F4054" s="38">
        <v>40.0</v>
      </c>
      <c r="G4054" s="11">
        <v>201529.0</v>
      </c>
      <c r="H4054" s="34" t="str">
        <f>IFERROR(__xludf.DUMMYFUNCTION("LOWER(REGEXREPLACE(B4054&amp;"" ""&amp;C4054,""[^а-яa-z0-9 ]"","" ""))"),"типа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5">
      <c r="A4055" s="35" t="s">
        <v>9868</v>
      </c>
      <c r="B4055" s="31" t="s">
        <v>9869</v>
      </c>
      <c r="C4055" s="31" t="s">
        <v>9867</v>
      </c>
      <c r="D4055" s="37" t="s">
        <v>14</v>
      </c>
      <c r="E4055" s="38">
        <v>2.0</v>
      </c>
      <c r="F4055" s="38">
        <v>47.0</v>
      </c>
      <c r="G4055" s="11">
        <v>179608.0</v>
      </c>
      <c r="H4055" s="34" t="str">
        <f>IFERROR(__xludf.DUMMYFUNCTION("LOWER(REGEXREPLACE(B4055&amp;"" ""&amp;C4055,""[^а-яa-z0-9 ]"","" ""))"),"типа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6">
      <c r="A4056" s="35" t="s">
        <v>9870</v>
      </c>
      <c r="B4056" s="31" t="s">
        <v>9871</v>
      </c>
      <c r="C4056" s="31" t="s">
        <v>9867</v>
      </c>
      <c r="D4056" s="37" t="s">
        <v>14</v>
      </c>
      <c r="E4056" s="38">
        <v>2.0</v>
      </c>
      <c r="F4056" s="38">
        <v>50.0</v>
      </c>
      <c r="G4056" s="11">
        <v>191072.0</v>
      </c>
      <c r="H4056" s="34" t="str">
        <f>IFERROR(__xludf.DUMMYFUNCTION("LOWER(REGEXREPLACE(B4056&amp;"" ""&amp;C4056,""[^а-яa-z0-9 ]"","" ""))"),"типа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7">
      <c r="A4057" s="35" t="s">
        <v>9872</v>
      </c>
      <c r="B4057" s="31" t="s">
        <v>9873</v>
      </c>
      <c r="C4057" s="31" t="s">
        <v>9867</v>
      </c>
      <c r="D4057" s="37" t="s">
        <v>14</v>
      </c>
      <c r="E4057" s="38">
        <v>2.0</v>
      </c>
      <c r="F4057" s="38">
        <v>42.0</v>
      </c>
      <c r="G4057" s="11">
        <v>142368.0</v>
      </c>
      <c r="H4057" s="34" t="str">
        <f>IFERROR(__xludf.DUMMYFUNCTION("LOWER(REGEXREPLACE(B4057&amp;"" ""&amp;C4057,""[^а-яa-z0-9 ]"","" ""))"),"типа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8">
      <c r="A4058" s="35" t="s">
        <v>9874</v>
      </c>
      <c r="B4058" s="31" t="s">
        <v>9875</v>
      </c>
      <c r="C4058" s="31" t="s">
        <v>9876</v>
      </c>
      <c r="D4058" s="37" t="s">
        <v>14</v>
      </c>
      <c r="E4058" s="38">
        <v>2.0</v>
      </c>
      <c r="F4058" s="38">
        <v>40.0</v>
      </c>
      <c r="G4058" s="11">
        <v>197712.0</v>
      </c>
      <c r="H4058" s="34" t="str">
        <f>IFERROR(__xludf.DUMMYFUNCTION("LOWER(REGEXREPLACE(B4058&amp;"" ""&amp;C4058,""[^а-яa-z0-9 ]"","" ""))"),"типа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9">
      <c r="A4059" s="35" t="s">
        <v>9877</v>
      </c>
      <c r="B4059" s="31" t="s">
        <v>9878</v>
      </c>
      <c r="C4059" s="31" t="s">
        <v>9876</v>
      </c>
      <c r="D4059" s="37" t="s">
        <v>14</v>
      </c>
      <c r="E4059" s="38">
        <v>2.0</v>
      </c>
      <c r="F4059" s="38">
        <v>47.0</v>
      </c>
      <c r="G4059" s="11">
        <v>175791.0</v>
      </c>
      <c r="H4059" s="34" t="str">
        <f>IFERROR(__xludf.DUMMYFUNCTION("LOWER(REGEXREPLACE(B4059&amp;"" ""&amp;C4059,""[^а-яa-z0-9 ]"","" ""))"),"типа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0">
      <c r="A4060" s="35" t="s">
        <v>9879</v>
      </c>
      <c r="B4060" s="31" t="s">
        <v>9880</v>
      </c>
      <c r="C4060" s="31" t="s">
        <v>9876</v>
      </c>
      <c r="D4060" s="37" t="s">
        <v>14</v>
      </c>
      <c r="E4060" s="38">
        <v>2.0</v>
      </c>
      <c r="F4060" s="38">
        <v>50.0</v>
      </c>
      <c r="G4060" s="11">
        <v>187255.0</v>
      </c>
      <c r="H4060" s="34" t="str">
        <f>IFERROR(__xludf.DUMMYFUNCTION("LOWER(REGEXREPLACE(B4060&amp;"" ""&amp;C4060,""[^а-яa-z0-9 ]"","" ""))"),"типа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1">
      <c r="A4061" s="35" t="s">
        <v>9881</v>
      </c>
      <c r="B4061" s="31" t="s">
        <v>9882</v>
      </c>
      <c r="C4061" s="31" t="s">
        <v>9876</v>
      </c>
      <c r="D4061" s="37" t="s">
        <v>14</v>
      </c>
      <c r="E4061" s="38">
        <v>2.0</v>
      </c>
      <c r="F4061" s="38">
        <v>42.0</v>
      </c>
      <c r="G4061" s="11">
        <v>138551.0</v>
      </c>
      <c r="H4061" s="34" t="str">
        <f>IFERROR(__xludf.DUMMYFUNCTION("LOWER(REGEXREPLACE(B4061&amp;"" ""&amp;C4061,""[^а-яa-z0-9 ]"","" ""))"),"типа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2">
      <c r="A4062" s="35" t="s">
        <v>9883</v>
      </c>
      <c r="B4062" s="31" t="s">
        <v>9884</v>
      </c>
      <c r="C4062" s="31" t="s">
        <v>9885</v>
      </c>
      <c r="D4062" s="37" t="s">
        <v>14</v>
      </c>
      <c r="E4062" s="38">
        <v>2.0</v>
      </c>
      <c r="F4062" s="38">
        <v>40.0</v>
      </c>
      <c r="G4062" s="11">
        <v>254973.0</v>
      </c>
      <c r="H4062" s="34" t="str">
        <f>IFERROR(__xludf.DUMMYFUNCTION("LOWER(REGEXREPLACE(B4062&amp;"" ""&amp;C4062,""[^а-яa-z0-9 ]"","" ""))"),"типа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3">
      <c r="A4063" s="35" t="s">
        <v>9886</v>
      </c>
      <c r="B4063" s="31" t="s">
        <v>9887</v>
      </c>
      <c r="C4063" s="31" t="s">
        <v>9888</v>
      </c>
      <c r="D4063" s="37" t="s">
        <v>14</v>
      </c>
      <c r="E4063" s="38">
        <v>2.0</v>
      </c>
      <c r="F4063" s="38">
        <v>47.0</v>
      </c>
      <c r="G4063" s="11">
        <v>233051.0</v>
      </c>
      <c r="H4063" s="34" t="str">
        <f>IFERROR(__xludf.DUMMYFUNCTION("LOWER(REGEXREPLACE(B4063&amp;"" ""&amp;C4063,""[^а-яa-z0-9 ]"","" ""))"),"типа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4">
      <c r="A4064" s="35" t="s">
        <v>9889</v>
      </c>
      <c r="B4064" s="31" t="s">
        <v>9890</v>
      </c>
      <c r="C4064" s="31" t="s">
        <v>9888</v>
      </c>
      <c r="D4064" s="37" t="s">
        <v>14</v>
      </c>
      <c r="E4064" s="38">
        <v>2.0</v>
      </c>
      <c r="F4064" s="38">
        <v>50.0</v>
      </c>
      <c r="G4064" s="11">
        <v>244516.0</v>
      </c>
      <c r="H4064" s="34" t="str">
        <f>IFERROR(__xludf.DUMMYFUNCTION("LOWER(REGEXREPLACE(B4064&amp;"" ""&amp;C4064,""[^а-яa-z0-9 ]"","" ""))"),"типа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5">
      <c r="A4065" s="35" t="s">
        <v>9891</v>
      </c>
      <c r="B4065" s="31" t="s">
        <v>9892</v>
      </c>
      <c r="C4065" s="31" t="s">
        <v>9885</v>
      </c>
      <c r="D4065" s="37" t="s">
        <v>14</v>
      </c>
      <c r="E4065" s="38">
        <v>2.0</v>
      </c>
      <c r="F4065" s="38">
        <v>42.0</v>
      </c>
      <c r="G4065" s="11">
        <v>195812.0</v>
      </c>
      <c r="H4065" s="34" t="str">
        <f>IFERROR(__xludf.DUMMYFUNCTION("LOWER(REGEXREPLACE(B4065&amp;"" ""&amp;C4065,""[^а-яa-z0-9 ]"","" ""))"),"типа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6">
      <c r="A4066" s="35" t="s">
        <v>9893</v>
      </c>
      <c r="B4066" s="31" t="s">
        <v>9894</v>
      </c>
      <c r="C4066" s="31"/>
      <c r="D4066" s="37" t="s">
        <v>14</v>
      </c>
      <c r="E4066" s="10"/>
      <c r="F4066" s="36"/>
      <c r="G4066" s="11"/>
      <c r="H4066" s="34" t="str">
        <f>IFERROR(__xludf.DUMMYFUNCTION("LOWER(REGEXREPLACE(B4066&amp;"" ""&amp;C4066,""[^а-яa-z0-9 ]"","" ""))")," каф металлический пятисекционный ")</f>
        <v> каф металлический пятисекционный </v>
      </c>
    </row>
    <row r="4067">
      <c r="A4067" s="35" t="s">
        <v>9895</v>
      </c>
      <c r="B4067" s="31" t="s">
        <v>9896</v>
      </c>
      <c r="C4067" s="31" t="s">
        <v>9675</v>
      </c>
      <c r="D4067" s="37" t="s">
        <v>14</v>
      </c>
      <c r="E4067" s="38">
        <v>2.0</v>
      </c>
      <c r="F4067" s="38">
        <v>47.0</v>
      </c>
      <c r="G4067" s="11">
        <v>175791.0</v>
      </c>
      <c r="H4067" s="34" t="str">
        <f>IFERROR(__xludf.DUMMYFUNCTION("LOWER(REGEXREPLACE(B4067&amp;"" ""&amp;C4067,""[^а-яa-z0-9 ]"","" ""))"),"типа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ве"&amp;"нтиляционными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8">
      <c r="A4068" s="35" t="s">
        <v>9897</v>
      </c>
      <c r="B4068" s="31" t="s">
        <v>9898</v>
      </c>
      <c r="C4068" s="31" t="s">
        <v>9899</v>
      </c>
      <c r="D4068" s="37" t="s">
        <v>14</v>
      </c>
      <c r="E4068" s="38">
        <v>2.0</v>
      </c>
      <c r="F4068" s="38">
        <v>114.0</v>
      </c>
      <c r="G4068" s="11">
        <v>594066.0</v>
      </c>
      <c r="H4068" s="34" t="str">
        <f>IFERROR(__xludf.DUMMYFUNCTION("LOWER(REGEXREPLACE(B4068&amp;"" ""&amp;C4068,""[^а-яa-z0-9 ]"","" ""))"),"типа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9">
      <c r="A4069" s="35" t="s">
        <v>9900</v>
      </c>
      <c r="B4069" s="9" t="s">
        <v>9901</v>
      </c>
      <c r="C4069" s="31" t="s">
        <v>9902</v>
      </c>
      <c r="D4069" s="37" t="s">
        <v>14</v>
      </c>
      <c r="E4069" s="38">
        <v>2.0</v>
      </c>
      <c r="F4069" s="38">
        <v>68.0</v>
      </c>
      <c r="G4069" s="11">
        <v>309484.0</v>
      </c>
      <c r="H4069" s="34" t="str">
        <f>IFERROR(__xludf.DUMMYFUNCTION("LOWER(REGEXREPLACE(B4069&amp;"" ""&amp;C4069,""[^а-яa-z0-9 ]"","" ""))"),"типа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п"&amp;"окрытие    крепление конструкции за счет зацепов и крепежа   меется возможность наращивания секций ")</f>
        <v>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70">
      <c r="A4070" s="35" t="s">
        <v>9903</v>
      </c>
      <c r="B4070" s="31" t="s">
        <v>9904</v>
      </c>
      <c r="C4070" s="31"/>
      <c r="D4070" s="36"/>
      <c r="E4070" s="10"/>
      <c r="F4070" s="36"/>
      <c r="G4070" s="11"/>
      <c r="H4070" s="34" t="str">
        <f>IFERROR(__xludf.DUMMYFUNCTION("LOWER(REGEXREPLACE(B4070&amp;"" ""&amp;C4070,""[^а-яa-z0-9 ]"","" ""))")," рочее оборудование ")</f>
        <v> рочее оборудование </v>
      </c>
    </row>
    <row r="4071">
      <c r="A4071" s="35" t="s">
        <v>9905</v>
      </c>
      <c r="B4071" s="31" t="s">
        <v>9906</v>
      </c>
      <c r="C4071" s="31"/>
      <c r="D4071" s="37" t="s">
        <v>14</v>
      </c>
      <c r="E4071" s="10"/>
      <c r="F4071" s="36"/>
      <c r="G4071" s="11"/>
      <c r="H4071" s="34" t="str">
        <f>IFERROR(__xludf.DUMMYFUNCTION("LOWER(REGEXREPLACE(B4071&amp;"" ""&amp;C4071,""[^а-яa-z0-9 ]"","" ""))")," ейф несгораемый ")</f>
        <v> ейф несгораемый </v>
      </c>
    </row>
    <row r="4072">
      <c r="A4072" s="35" t="s">
        <v>9907</v>
      </c>
      <c r="B4072" s="31" t="s">
        <v>9908</v>
      </c>
      <c r="C4072" s="31"/>
      <c r="D4072" s="37" t="s">
        <v>14</v>
      </c>
      <c r="E4072" s="10"/>
      <c r="F4072" s="36"/>
      <c r="G4072" s="11">
        <v>562491.0</v>
      </c>
      <c r="H4072" s="34" t="str">
        <f>IFERROR(__xludf.DUMMYFUNCTION("LOWER(REGEXREPLACE(B4072&amp;"" ""&amp;C4072,""[^а-яa-z0-9 ]"","" ""))")," каф металлический    1260   ")</f>
        <v> каф металлический    1260   </v>
      </c>
    </row>
    <row r="4073">
      <c r="A4073" s="35" t="s">
        <v>9909</v>
      </c>
      <c r="B4073" s="31" t="s">
        <v>9910</v>
      </c>
      <c r="C4073" s="31" t="s">
        <v>9911</v>
      </c>
      <c r="D4073" s="37" t="s">
        <v>14</v>
      </c>
      <c r="E4073" s="38">
        <v>2.0</v>
      </c>
      <c r="F4073" s="39">
        <v>1.5</v>
      </c>
      <c r="G4073" s="11">
        <v>18594.0</v>
      </c>
      <c r="H4073" s="34" t="str">
        <f>IFERROR(__xludf.DUMMYFUNCTION("LOWER(REGEXREPLACE(B4073&amp;"" ""&amp;C4073,""[^а-яa-z0-9 ]"","" ""))"),"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f>
        <v>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v>
      </c>
    </row>
    <row r="4074">
      <c r="A4074" s="35" t="s">
        <v>9912</v>
      </c>
      <c r="B4074" s="31" t="s">
        <v>9913</v>
      </c>
      <c r="C4074" s="31"/>
      <c r="D4074" s="37" t="s">
        <v>14</v>
      </c>
      <c r="E4074" s="10"/>
      <c r="F4074" s="36"/>
      <c r="G4074" s="11"/>
      <c r="H4074" s="34" t="str">
        <f>IFERROR(__xludf.DUMMYFUNCTION("LOWER(REGEXREPLACE(B4074&amp;"" ""&amp;C4074,""[^а-яa-z0-9 ]"","" ""))")," ележка для перевозки грузов ")</f>
        <v> ележка для перевозки грузов </v>
      </c>
    </row>
    <row r="4075">
      <c r="A4075" s="35" t="s">
        <v>9914</v>
      </c>
      <c r="B4075" s="31" t="s">
        <v>9915</v>
      </c>
      <c r="C4075" s="31"/>
      <c r="D4075" s="37" t="s">
        <v>14</v>
      </c>
      <c r="E4075" s="10"/>
      <c r="F4075" s="36"/>
      <c r="G4075" s="11">
        <v>3393.0</v>
      </c>
      <c r="H4075" s="34" t="str">
        <f>IFERROR(__xludf.DUMMYFUNCTION("LOWER(REGEXREPLACE(B4075&amp;"" ""&amp;C4075,""[^а-яa-z0-9 ]"","" ""))")," ележка бытовая без дополнительных планок ")</f>
        <v> ележка бытовая без дополнительных планок </v>
      </c>
    </row>
    <row r="4076">
      <c r="A4076" s="35" t="s">
        <v>9916</v>
      </c>
      <c r="B4076" s="31" t="s">
        <v>9917</v>
      </c>
      <c r="C4076" s="31"/>
      <c r="D4076" s="37" t="s">
        <v>14</v>
      </c>
      <c r="E4076" s="10"/>
      <c r="F4076" s="36"/>
      <c r="G4076" s="11">
        <v>3571.0</v>
      </c>
      <c r="H4076" s="34" t="str">
        <f>IFERROR(__xludf.DUMMYFUNCTION("LOWER(REGEXREPLACE(B4076&amp;"" ""&amp;C4076,""[^а-яa-z0-9 ]"","" ""))")," ележка бытовая с дополнительными планками ")</f>
        <v> ележка бытовая с дополнительными планками </v>
      </c>
    </row>
    <row r="4077">
      <c r="A4077" s="35" t="s">
        <v>9918</v>
      </c>
      <c r="B4077" s="31" t="s">
        <v>9919</v>
      </c>
      <c r="C4077" s="31"/>
      <c r="D4077" s="37" t="s">
        <v>14</v>
      </c>
      <c r="E4077" s="10"/>
      <c r="F4077" s="36"/>
      <c r="G4077" s="11">
        <v>5357.0</v>
      </c>
      <c r="H4077" s="34" t="str">
        <f>IFERROR(__xludf.DUMMYFUNCTION("LOWER(REGEXREPLACE(B4077&amp;"" ""&amp;C4077,""[^а-яa-z0-9 ]"","" ""))")," ележка грузовая ")</f>
        <v> ележка грузовая </v>
      </c>
    </row>
    <row r="4078">
      <c r="A4078" s="35" t="s">
        <v>9920</v>
      </c>
      <c r="B4078" s="31" t="s">
        <v>9921</v>
      </c>
      <c r="C4078" s="31"/>
      <c r="D4078" s="37" t="s">
        <v>14</v>
      </c>
      <c r="E4078" s="10"/>
      <c r="F4078" s="36"/>
      <c r="G4078" s="11">
        <v>6250.0</v>
      </c>
      <c r="H4078" s="34" t="str">
        <f>IFERROR(__xludf.DUMMYFUNCTION("LOWER(REGEXREPLACE(B4078&amp;"" ""&amp;C4078,""[^а-яa-z0-9 ]"","" ""))")," ележка грузовая   без сумки ")</f>
        <v> ележка грузовая   без сумки </v>
      </c>
    </row>
    <row r="4079">
      <c r="A4079" s="35" t="s">
        <v>9922</v>
      </c>
      <c r="B4079" s="31" t="s">
        <v>9923</v>
      </c>
      <c r="C4079" s="31"/>
      <c r="D4079" s="37" t="s">
        <v>14</v>
      </c>
      <c r="E4079" s="10"/>
      <c r="F4079" s="36"/>
      <c r="G4079" s="11">
        <v>7589.0</v>
      </c>
      <c r="H4079" s="34" t="str">
        <f>IFERROR(__xludf.DUMMYFUNCTION("LOWER(REGEXREPLACE(B4079&amp;"" ""&amp;C4079,""[^а-яa-z0-9 ]"","" ""))")," ележка грузовая   с сумкой ")</f>
        <v> ележка грузовая   с сумкой </v>
      </c>
    </row>
    <row r="4080">
      <c r="A4080" s="35" t="s">
        <v>9924</v>
      </c>
      <c r="B4080" s="31" t="s">
        <v>9925</v>
      </c>
      <c r="C4080" s="31"/>
      <c r="D4080" s="37" t="s">
        <v>14</v>
      </c>
      <c r="E4080" s="10"/>
      <c r="F4080" s="36"/>
      <c r="G4080" s="11">
        <v>11161.0</v>
      </c>
      <c r="H4080" s="34" t="str">
        <f>IFERROR(__xludf.DUMMYFUNCTION("LOWER(REGEXREPLACE(B4080&amp;"" ""&amp;C4080,""[^а-яa-z0-9 ]"","" ""))")," ележка багажная грузоподъемностью до 200 кг ")</f>
        <v> ележка багажная грузоподъемностью до 200 кг </v>
      </c>
    </row>
    <row r="4081">
      <c r="A4081" s="35" t="s">
        <v>9926</v>
      </c>
      <c r="B4081" s="31" t="s">
        <v>9927</v>
      </c>
      <c r="C4081" s="31"/>
      <c r="D4081" s="37" t="s">
        <v>14</v>
      </c>
      <c r="E4081" s="10"/>
      <c r="F4081" s="36"/>
      <c r="G4081" s="11">
        <v>11161.0</v>
      </c>
      <c r="H4081" s="34" t="str">
        <f>IFERROR(__xludf.DUMMYFUNCTION("LOWER(REGEXREPLACE(B4081&amp;"" ""&amp;C4081,""[^а-яa-z0-9 ]"","" ""))")," ележка багажная грузоподъемностью до 200 кг с удлин нной пластиной ")</f>
        <v> ележка багажная грузоподъемностью до 200 кг с удлин нной пластиной </v>
      </c>
    </row>
    <row r="4082">
      <c r="A4082" s="35" t="s">
        <v>9928</v>
      </c>
      <c r="B4082" s="31" t="s">
        <v>9929</v>
      </c>
      <c r="C4082" s="31"/>
      <c r="D4082" s="37" t="s">
        <v>14</v>
      </c>
      <c r="E4082" s="10"/>
      <c r="F4082" s="36"/>
      <c r="G4082" s="11">
        <v>11161.0</v>
      </c>
      <c r="H4082" s="34" t="str">
        <f>IFERROR(__xludf.DUMMYFUNCTION("LOWER(REGEXREPLACE(B4082&amp;"" ""&amp;C4082,""[^а-яa-z0-9 ]"","" ""))")," ележка почтовая грузоподъемностью до 200 кг ")</f>
        <v> ележка почтовая грузоподъемностью до 200 кг </v>
      </c>
    </row>
    <row r="4083">
      <c r="A4083" s="35" t="s">
        <v>9930</v>
      </c>
      <c r="B4083" s="31" t="s">
        <v>9931</v>
      </c>
      <c r="C4083" s="31"/>
      <c r="D4083" s="37" t="s">
        <v>14</v>
      </c>
      <c r="E4083" s="10"/>
      <c r="F4083" s="36"/>
      <c r="G4083" s="11">
        <v>13393.0</v>
      </c>
      <c r="H4083" s="34" t="str">
        <f>IFERROR(__xludf.DUMMYFUNCTION("LOWER(REGEXREPLACE(B4083&amp;"" ""&amp;C4083,""[^а-яa-z0-9 ]"","" ""))")," ележка почтовая грузоподъемностью до 200 кг с удлин нной пластиной и лопатой ")</f>
        <v> ележка почтовая грузоподъемностью до 200 кг с удлин нной пластиной и лопатой </v>
      </c>
    </row>
    <row r="4084">
      <c r="A4084" s="35" t="s">
        <v>9932</v>
      </c>
      <c r="B4084" s="31" t="s">
        <v>9933</v>
      </c>
      <c r="C4084" s="31"/>
      <c r="D4084" s="37" t="s">
        <v>14</v>
      </c>
      <c r="E4084" s="10"/>
      <c r="F4084" s="36"/>
      <c r="G4084" s="11">
        <v>20536.0</v>
      </c>
      <c r="H4084" s="34" t="str">
        <f>IFERROR(__xludf.DUMMYFUNCTION("LOWER(REGEXREPLACE(B4084&amp;"" ""&amp;C4084,""[^а-яa-z0-9 ]"","" ""))")," ележка садовая с пластиковым корытом ")</f>
        <v> ележка садовая с пластиковым корытом </v>
      </c>
    </row>
    <row r="4085">
      <c r="A4085" s="35" t="s">
        <v>9934</v>
      </c>
      <c r="B4085" s="31" t="s">
        <v>9935</v>
      </c>
      <c r="C4085" s="31"/>
      <c r="D4085" s="37" t="s">
        <v>14</v>
      </c>
      <c r="E4085" s="10"/>
      <c r="F4085" s="36"/>
      <c r="G4085" s="11">
        <v>20536.0</v>
      </c>
      <c r="H4085" s="34" t="str">
        <f>IFERROR(__xludf.DUMMYFUNCTION("LOWER(REGEXREPLACE(B4085&amp;"" ""&amp;C4085,""[^а-яa-z0-9 ]"","" ""))")," ележка садовая с металлическим корытом ")</f>
        <v> ележка садовая с металлическим корытом </v>
      </c>
    </row>
    <row r="4086">
      <c r="A4086" s="35" t="s">
        <v>9936</v>
      </c>
      <c r="B4086" s="31" t="s">
        <v>9937</v>
      </c>
      <c r="C4086" s="31" t="s">
        <v>9938</v>
      </c>
      <c r="D4086" s="37" t="s">
        <v>14</v>
      </c>
      <c r="E4086" s="38">
        <v>2.0</v>
      </c>
      <c r="F4086" s="39">
        <v>0.5</v>
      </c>
      <c r="G4086" s="11">
        <v>15045.0</v>
      </c>
      <c r="H4086" s="34" t="str">
        <f>IFERROR(__xludf.DUMMYFUNCTION("LOWER(REGEXREPLACE(B4086&amp;"" ""&amp;C4086,""[^а-яa-z0-9 ]"","" ""))")," озатор жидкого мыла  ластиковый с глазком  объем не менее 1000 мл  размеры длина 115мм  глубина 110мм  высота 245мм")</f>
        <v> озатор жидкого мыла  ластиковый с глазком  объем не менее 1000 мл  размеры длина 115мм  глубина 110мм  высота 245мм</v>
      </c>
    </row>
    <row r="4087">
      <c r="A4087" s="35" t="s">
        <v>9939</v>
      </c>
      <c r="B4087" s="31" t="s">
        <v>9940</v>
      </c>
      <c r="C4087" s="31"/>
      <c r="D4087" s="37" t="s">
        <v>14</v>
      </c>
      <c r="E4087" s="10"/>
      <c r="F4087" s="36"/>
      <c r="G4087" s="11"/>
      <c r="H4087" s="34" t="str">
        <f>IFERROR(__xludf.DUMMYFUNCTION("LOWER(REGEXREPLACE(B4087&amp;"" ""&amp;C4087,""[^а-яa-z0-9 ]"","" ""))")," лектросушитель для рук ")</f>
        <v> лектросушитель для рук </v>
      </c>
    </row>
    <row r="4088">
      <c r="A4088" s="35" t="s">
        <v>9941</v>
      </c>
      <c r="B4088" s="31" t="s">
        <v>9942</v>
      </c>
      <c r="C4088" s="31"/>
      <c r="D4088" s="37" t="s">
        <v>14</v>
      </c>
      <c r="E4088" s="38">
        <v>2.0</v>
      </c>
      <c r="F4088" s="39">
        <v>2.8</v>
      </c>
      <c r="G4088" s="11">
        <v>36207.0</v>
      </c>
      <c r="H4088" s="34" t="str">
        <f>IFERROR(__xludf.DUMMYFUNCTION("LOWER(REGEXREPLACE(B4088&amp;"" ""&amp;C4088,""[^а-яa-z0-9 ]"","" ""))")," лектросушитель для рук типа            798         атериал       ластик  мощность  2 300 т  скорость вращения двиг   23 000 об мин ")</f>
        <v> лектросушитель для рук типа            798         атериал       ластик  мощность  2 300 т  скорость вращения двиг   23 000 об мин </v>
      </c>
    </row>
    <row r="4089">
      <c r="A4089" s="35" t="s">
        <v>9943</v>
      </c>
      <c r="B4089" s="31" t="s">
        <v>9944</v>
      </c>
      <c r="C4089" s="31"/>
      <c r="D4089" s="37" t="s">
        <v>14</v>
      </c>
      <c r="E4089" s="38">
        <v>2.0</v>
      </c>
      <c r="F4089" s="39">
        <v>2.5</v>
      </c>
      <c r="G4089" s="11">
        <v>15298.0</v>
      </c>
      <c r="H4089" s="34" t="str">
        <f>IFERROR(__xludf.DUMMYFUNCTION("LOWER(REGEXREPLACE(B4089&amp;"" ""&amp;C4089,""[^а-яa-z0-9 ]"","" ""))")," лектросушитель для рук типа    103   атериал  пластик  мощность  2 000 т ")</f>
        <v> лектросушитель для рук типа    103   атериал  пластик  мощность  2 000 т </v>
      </c>
    </row>
    <row r="4090">
      <c r="A4090" s="35" t="s">
        <v>9945</v>
      </c>
      <c r="B4090" s="31" t="s">
        <v>9946</v>
      </c>
      <c r="C4090" s="31"/>
      <c r="D4090" s="37" t="s">
        <v>14</v>
      </c>
      <c r="E4090" s="10"/>
      <c r="F4090" s="36"/>
      <c r="G4090" s="11"/>
      <c r="H4090" s="34" t="str">
        <f>IFERROR(__xludf.DUMMYFUNCTION("LOWER(REGEXREPLACE(B4090&amp;"" ""&amp;C4090,""[^а-яa-z0-9 ]"","" ""))")," ен настенный ")</f>
        <v> ен настенный </v>
      </c>
    </row>
    <row r="4091">
      <c r="A4091" s="35" t="s">
        <v>9947</v>
      </c>
      <c r="B4091" s="9" t="s">
        <v>9948</v>
      </c>
      <c r="C4091" s="31"/>
      <c r="D4091" s="37" t="s">
        <v>14</v>
      </c>
      <c r="E4091" s="38">
        <v>2.0</v>
      </c>
      <c r="F4091" s="38">
        <v>1.0</v>
      </c>
      <c r="G4091" s="11">
        <v>15641.0</v>
      </c>
      <c r="H4091" s="34" t="str">
        <f>IFERROR(__xludf.DUMMYFUNCTION("LOWER(REGEXREPLACE(B4091&amp;"" ""&amp;C4091,""[^а-яa-z0-9 ]"","" ""))")," ен настенный для сушки волос типа             1200    ощность  1200 т  скорость воздух  12м с  скорость вращения двигателя  170 000 об мин ")</f>
        <v> ен настенный для сушки волос типа             1200    ощность  1200 т  скорость воздух  12м с  скорость вращения двигателя  170 000 об мин </v>
      </c>
    </row>
    <row r="4092">
      <c r="A4092" s="35" t="s">
        <v>9949</v>
      </c>
      <c r="B4092" s="31" t="s">
        <v>9950</v>
      </c>
      <c r="C4092" s="31"/>
      <c r="D4092" s="37" t="s">
        <v>14</v>
      </c>
      <c r="E4092" s="38">
        <v>2.0</v>
      </c>
      <c r="F4092" s="40">
        <v>0.83</v>
      </c>
      <c r="G4092" s="11">
        <v>8097.0</v>
      </c>
      <c r="H4092" s="34" t="str">
        <f>IFERROR(__xludf.DUMMYFUNCTION("LOWER(REGEXREPLACE(B4092&amp;"" ""&amp;C4092,""[^а-яa-z0-9 ]"","" ""))")," ен настенный для сушки волос стационарный    01   атериал  пластик  мощность  1100 т  220  50 ц  скорость воздушного потока  13м с ")</f>
        <v> ен настенный для сушки волос стационарный    01   атериал  пластик  мощность  1100 т  220  50 ц  скорость воздушного потока  13м с </v>
      </c>
    </row>
    <row r="4093">
      <c r="A4093" s="35" t="s">
        <v>9951</v>
      </c>
      <c r="B4093" s="31" t="s">
        <v>9952</v>
      </c>
      <c r="C4093" s="31"/>
      <c r="D4093" s="37" t="s">
        <v>14</v>
      </c>
      <c r="E4093" s="10"/>
      <c r="F4093" s="36"/>
      <c r="G4093" s="11"/>
      <c r="H4093" s="34" t="str">
        <f>IFERROR(__xludf.DUMMYFUNCTION("LOWER(REGEXREPLACE(B4093&amp;"" ""&amp;C4093,""[^а-яa-z0-9 ]"","" ""))")," испенсер для туалетной бумаги ")</f>
        <v> испенсер для туалетной бумаги </v>
      </c>
    </row>
    <row r="4094">
      <c r="A4094" s="35" t="s">
        <v>9953</v>
      </c>
      <c r="B4094" s="31" t="s">
        <v>9954</v>
      </c>
      <c r="C4094" s="31"/>
      <c r="D4094" s="37" t="s">
        <v>14</v>
      </c>
      <c r="E4094" s="38">
        <v>2.0</v>
      </c>
      <c r="F4094" s="40">
        <v>0.48</v>
      </c>
      <c r="G4094" s="11">
        <v>8905.0</v>
      </c>
      <c r="H4094" s="34" t="str">
        <f>IFERROR(__xludf.DUMMYFUNCTION("LOWER(REGEXREPLACE(B4094&amp;"" ""&amp;C4094,""[^а-яa-z0-9 ]"","" ""))")," испенсер для туалетной бумаги в рулонах типа  umbo   атериал  пластик  ручная подача  открывается с помощью ключа ")</f>
        <v> испенсер для туалетной бумаги в рулонах типа  umbo   атериал  пластик  ручная подача  открывается с помощью ключа </v>
      </c>
    </row>
    <row r="4095">
      <c r="A4095" s="35" t="s">
        <v>9955</v>
      </c>
      <c r="B4095" s="31" t="s">
        <v>9956</v>
      </c>
      <c r="C4095" s="31"/>
      <c r="D4095" s="37" t="s">
        <v>14</v>
      </c>
      <c r="E4095" s="10"/>
      <c r="F4095" s="36"/>
      <c r="G4095" s="11"/>
      <c r="H4095" s="34" t="str">
        <f>IFERROR(__xludf.DUMMYFUNCTION("LOWER(REGEXREPLACE(B4095&amp;"" ""&amp;C4095,""[^а-яa-z0-9 ]"","" ""))")," испенсер для бумажных полотенец ")</f>
        <v> испенсер для бумажных полотенец </v>
      </c>
    </row>
    <row r="4096">
      <c r="A4096" s="35" t="s">
        <v>9957</v>
      </c>
      <c r="B4096" s="31" t="s">
        <v>9958</v>
      </c>
      <c r="C4096" s="31"/>
      <c r="D4096" s="37" t="s">
        <v>14</v>
      </c>
      <c r="E4096" s="38">
        <v>2.0</v>
      </c>
      <c r="F4096" s="40">
        <v>0.65</v>
      </c>
      <c r="G4096" s="11">
        <v>4949.0</v>
      </c>
      <c r="H4096" s="34" t="str">
        <f>IFERROR(__xludf.DUMMYFUNCTION("LOWER(REGEXREPLACE(B4096&amp;"" ""&amp;C4096,""[^а-яa-z0-9 ]"","" ""))")," испенсер для бумажных полотенец типа  ialli   атериал  пластик    укладка  открывается ключом  небольшое окошко для контроля заполнения ")</f>
        <v> испенсер для бумажных полотенец типа  ialli   атериал  пластик    укладка  открывается ключом  небольшое окошко для контроля заполнения </v>
      </c>
    </row>
    <row r="4097">
      <c r="A4097" s="35" t="s">
        <v>9959</v>
      </c>
      <c r="B4097" s="31" t="s">
        <v>9960</v>
      </c>
      <c r="C4097" s="31"/>
      <c r="D4097" s="37" t="s">
        <v>14</v>
      </c>
      <c r="E4097" s="38">
        <v>2.0</v>
      </c>
      <c r="F4097" s="39">
        <v>0.4</v>
      </c>
      <c r="G4097" s="11">
        <v>2609.0</v>
      </c>
      <c r="H4097" s="34" t="str">
        <f>IFERROR(__xludf.DUMMYFUNCTION("LOWER(REGEXREPLACE(B4097&amp;"" ""&amp;C4097,""[^а-яa-z0-9 ]"","" ""))")," испенсер для бумажных полотенец типа  olly   атериал  пластик  настенный держатель рулонных полотенец с откидной крышкой ")</f>
        <v> испенсер для бумажных полотенец типа  olly   атериал  пластик  настенный держатель рулонных полотенец с откидной крышкой </v>
      </c>
    </row>
    <row r="4098">
      <c r="A4098" s="13" t="s">
        <v>9961</v>
      </c>
      <c r="B4098" s="30"/>
      <c r="C4098" s="31"/>
      <c r="D4098" s="30"/>
      <c r="E4098" s="32"/>
      <c r="F4098" s="30"/>
      <c r="G4098" s="33"/>
      <c r="H4098" s="34" t="str">
        <f>IFERROR(__xludf.DUMMYFUNCTION("LOWER(REGEXREPLACE(B4098&amp;"" ""&amp;C4098,""[^а-яa-z0-9 ]"","" ""))")," ")</f>
        <v> </v>
      </c>
    </row>
    <row r="4099">
      <c r="A4099" s="35" t="s">
        <v>9962</v>
      </c>
      <c r="B4099" s="31" t="s">
        <v>9963</v>
      </c>
      <c r="C4099" s="31"/>
      <c r="D4099" s="36"/>
      <c r="E4099" s="10"/>
      <c r="F4099" s="36"/>
      <c r="G4099" s="11"/>
      <c r="H4099" s="34" t="str">
        <f>IFERROR(__xludf.DUMMYFUNCTION("LOWER(REGEXREPLACE(B4099&amp;"" ""&amp;C4099,""[^а-яa-z0-9 ]"","" ""))")," ебель для столовой ")</f>
        <v> ебель для столовой </v>
      </c>
    </row>
    <row r="4100">
      <c r="A4100" s="35" t="s">
        <v>9964</v>
      </c>
      <c r="B4100" s="31" t="s">
        <v>9965</v>
      </c>
      <c r="C4100" s="31"/>
      <c r="D4100" s="37" t="s">
        <v>68</v>
      </c>
      <c r="E4100" s="10"/>
      <c r="F4100" s="36"/>
      <c r="G4100" s="11"/>
      <c r="H4100" s="34" t="str">
        <f>IFERROR(__xludf.DUMMYFUNCTION("LOWER(REGEXREPLACE(B4100&amp;"" ""&amp;C4100,""[^а-яa-z0-9 ]"","" ""))")," омплект обеденной мебели ")</f>
        <v> омплект обеденной мебели </v>
      </c>
    </row>
    <row r="4101">
      <c r="A4101" s="35" t="s">
        <v>9966</v>
      </c>
      <c r="B4101" s="31" t="s">
        <v>9967</v>
      </c>
      <c r="C4101" s="31" t="s">
        <v>9968</v>
      </c>
      <c r="D4101" s="37" t="s">
        <v>68</v>
      </c>
      <c r="E4101" s="38">
        <v>2.0</v>
      </c>
      <c r="F4101" s="38">
        <v>32.0</v>
      </c>
      <c r="G4101" s="11">
        <v>332950.0</v>
      </c>
      <c r="H4101" s="34" t="str">
        <f>IFERROR(__xludf.DUMMYFUNCTION("LOWER(REGEXREPLACE(B4101&amp;"" ""&amp;C4101,""[^а-яa-z0-9 ]"","" ""))"),"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полипропи"&amp;"ленового пластика   тол мобильный  имеет колесные прорезиненовые опоры со стопором и газлифты ")</f>
        <v>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2">
      <c r="A4102" s="35" t="s">
        <v>9969</v>
      </c>
      <c r="B4102" s="31" t="s">
        <v>9970</v>
      </c>
      <c r="C4102" s="31" t="s">
        <v>9971</v>
      </c>
      <c r="D4102" s="37" t="s">
        <v>68</v>
      </c>
      <c r="E4102" s="38">
        <v>2.0</v>
      </c>
      <c r="F4102" s="38">
        <v>40.0</v>
      </c>
      <c r="G4102" s="11">
        <v>149906.0</v>
      </c>
      <c r="H4102" s="34" t="str">
        <f>IFERROR(__xludf.DUMMYFUNCTION("LOWER(REGEXREPLACE(B4102&amp;"" ""&amp;C4102,""[^а-яa-z0-9 ]"","" ""))")," тол обеденный с 4 мя стульями  размер не менее 1500х600х700мм  тол обеденный с 4 мя стульями  размер не менее 1500х600х700мм   снование металлокаркас ")</f>
        <v> тол обеденный с 4 мя стульями  размер не менее 1500х600х700мм  тол обеденный с 4 мя стульями  размер не менее 1500х600х700мм   снование металлокаркас </v>
      </c>
    </row>
    <row r="4103">
      <c r="A4103" s="35" t="s">
        <v>9972</v>
      </c>
      <c r="B4103" s="31" t="s">
        <v>9973</v>
      </c>
      <c r="C4103" s="31" t="s">
        <v>9974</v>
      </c>
      <c r="D4103" s="37" t="s">
        <v>68</v>
      </c>
      <c r="E4103" s="38">
        <v>2.0</v>
      </c>
      <c r="F4103" s="38">
        <v>25.0</v>
      </c>
      <c r="G4103" s="11">
        <v>187646.0</v>
      </c>
      <c r="H4103" s="34" t="str">
        <f>IFERROR(__xludf.DUMMYFUNCTION("LOWER(REGEXREPLACE(B4103&amp;"" ""&amp;C4103,""[^а-яa-z0-9 ]"","" ""))"),"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"&amp;"пластика   тол мобильный  имеет колесные прорезиненовые опоры со стопором и газлифты ")</f>
        <v>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4">
      <c r="A4104" s="35" t="s">
        <v>9975</v>
      </c>
      <c r="B4104" s="31" t="s">
        <v>9976</v>
      </c>
      <c r="C4104" s="31" t="s">
        <v>9977</v>
      </c>
      <c r="D4104" s="37" t="s">
        <v>14</v>
      </c>
      <c r="E4104" s="10"/>
      <c r="F4104" s="38">
        <v>4.0</v>
      </c>
      <c r="G4104" s="11">
        <v>42316.0</v>
      </c>
      <c r="H4104" s="34" t="str">
        <f>IFERROR(__xludf.DUMMYFUNCTION("LOWER(REGEXREPLACE(B4104&amp;"" ""&amp;C4104,""[^а-яa-z0-9 ]"","" ""))"),"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"&amp;"долговечность  поверхность   под кожу с прострочкой  цвета на выбор")</f>
        <v>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долговечность  поверхность   под кожу с прострочкой  цвета на выбор</v>
      </c>
    </row>
    <row r="4105">
      <c r="A4105" s="35" t="s">
        <v>9978</v>
      </c>
      <c r="B4105" s="31" t="s">
        <v>9979</v>
      </c>
      <c r="C4105" s="31" t="s">
        <v>9980</v>
      </c>
      <c r="D4105" s="37" t="s">
        <v>68</v>
      </c>
      <c r="E4105" s="38">
        <v>2.0</v>
      </c>
      <c r="F4105" s="38">
        <v>40.0</v>
      </c>
      <c r="G4105" s="11">
        <v>590087.0</v>
      </c>
      <c r="H4105" s="34" t="str">
        <f>IFERROR(__xludf.DUMMYFUNCTION("LOWER(REGEXREPLACE(B4105&amp;"" ""&amp;C4105,""[^а-яa-z0-9 ]"","" ""))"),"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полиуретан"&amp;"овой кромки   иденье из полипропиленового пластика   тол мобильный  имеет колесные прорезиненовые опоры со стопором и газлифты ")</f>
        <v>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6">
      <c r="A4106" s="35" t="s">
        <v>9981</v>
      </c>
      <c r="B4106" s="31" t="s">
        <v>9982</v>
      </c>
      <c r="C4106" s="31" t="s">
        <v>9983</v>
      </c>
      <c r="D4106" s="37" t="s">
        <v>68</v>
      </c>
      <c r="E4106" s="38">
        <v>2.0</v>
      </c>
      <c r="F4106" s="38">
        <v>98.0</v>
      </c>
      <c r="G4106" s="11">
        <v>459556.0</v>
      </c>
      <c r="H4106" s="34" t="str">
        <f>IFERROR(__xludf.DUMMYFUNCTION("LOWER(REGEXREPLACE(B4106&amp;"" ""&amp;C4106,""[^а-яa-z0-9 ]"","" ""))"),"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т"&amp;"олщиной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"&amp;"кожей   иденье круглое ")</f>
        <v>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7">
      <c r="A4107" s="35" t="s">
        <v>9984</v>
      </c>
      <c r="B4107" s="31" t="s">
        <v>9985</v>
      </c>
      <c r="C4107" s="31" t="s">
        <v>9986</v>
      </c>
      <c r="D4107" s="37" t="s">
        <v>68</v>
      </c>
      <c r="E4107" s="38">
        <v>2.0</v>
      </c>
      <c r="F4107" s="38">
        <v>49.0</v>
      </c>
      <c r="G4107" s="11">
        <v>311074.0</v>
      </c>
      <c r="H4107" s="34" t="str">
        <f>IFERROR(__xludf.DUMMYFUNCTION("LOWER(REGEXREPLACE(B4107&amp;"" ""&amp;C4107,""[^а-яa-z0-9 ]"","" ""))"),"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"&amp;"труб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f>
        <v>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8">
      <c r="A4108" s="35" t="s">
        <v>9987</v>
      </c>
      <c r="B4108" s="31" t="s">
        <v>9988</v>
      </c>
      <c r="C4108" s="31" t="s">
        <v>9989</v>
      </c>
      <c r="D4108" s="37" t="s">
        <v>14</v>
      </c>
      <c r="E4108" s="38">
        <v>2.0</v>
      </c>
      <c r="F4108" s="39">
        <v>18.9</v>
      </c>
      <c r="G4108" s="11">
        <v>98995.0</v>
      </c>
      <c r="H4108" s="34" t="str">
        <f>IFERROR(__xludf.DUMMYFUNCTION("LOWER(REGEXREPLACE(B4108&amp;"" ""&amp;C4108,""[^а-яa-z0-9 ]"","" ""))"),"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цел"&amp;"ьногнутая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заги"&amp;"ба 27 мм   вета пленки столешницы по согласованию")</f>
        <v>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загиба 27 мм   вета пленки столешницы по согласованию</v>
      </c>
    </row>
    <row r="4109">
      <c r="A4109" s="35" t="s">
        <v>9990</v>
      </c>
      <c r="B4109" s="31" t="s">
        <v>9991</v>
      </c>
      <c r="C4109" s="31" t="s">
        <v>9992</v>
      </c>
      <c r="D4109" s="37" t="s">
        <v>14</v>
      </c>
      <c r="E4109" s="38">
        <v>2.0</v>
      </c>
      <c r="F4109" s="39">
        <v>15.6</v>
      </c>
      <c r="G4109" s="11">
        <v>80097.0</v>
      </c>
      <c r="H4109" s="34" t="str">
        <f>IFERROR(__xludf.DUMMYFUNCTION("LOWER(REGEXREPLACE(B4109&amp;"" ""&amp;C4109,""[^а-яa-z0-9 ]"","" ""))"),"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цель"&amp;"ногнутая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заг"&amp;"иба 27 мм   вета пленки столешницы по согласованию")</f>
        <v>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загиба 27 мм   вета пленки столешницы по согласованию</v>
      </c>
    </row>
    <row r="4110">
      <c r="A4110" s="35" t="s">
        <v>9993</v>
      </c>
      <c r="B4110" s="31" t="s">
        <v>9994</v>
      </c>
      <c r="C4110" s="31" t="s">
        <v>9995</v>
      </c>
      <c r="D4110" s="37" t="s">
        <v>14</v>
      </c>
      <c r="E4110" s="38">
        <v>2.0</v>
      </c>
      <c r="F4110" s="39">
        <v>32.9</v>
      </c>
      <c r="G4110" s="11">
        <v>99049.0</v>
      </c>
      <c r="H4110" s="34" t="str">
        <f>IFERROR(__xludf.DUMMYFUNCTION("LOWER(REGEXREPLACE(B4110&amp;"" ""&amp;C4110,""[^а-яa-z0-9 ]"","" ""))"),"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т"&amp;"рапециевидная   олщина стали ножки  1 мм   атериал столешницы  высокопрочный      пластик   олщина столешницы  11 5 мм   вета  столешницы по согласованию")</f>
        <v>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высокопрочный      пластик   олщина столешницы  11 5 мм   вета  столешницы по согласованию</v>
      </c>
    </row>
    <row r="4111">
      <c r="A4111" s="35" t="s">
        <v>9996</v>
      </c>
      <c r="B4111" s="31" t="s">
        <v>9997</v>
      </c>
      <c r="C4111" s="31" t="s">
        <v>9998</v>
      </c>
      <c r="D4111" s="37" t="s">
        <v>14</v>
      </c>
      <c r="E4111" s="38">
        <v>2.0</v>
      </c>
      <c r="F4111" s="39">
        <v>23.5</v>
      </c>
      <c r="G4111" s="11">
        <v>43257.0</v>
      </c>
      <c r="H4111" s="34" t="str">
        <f>IFERROR(__xludf.DUMMYFUNCTION("LOWER(REGEXREPLACE(B4111&amp;"" ""&amp;C4111,""[^а-яa-z0-9 ]"","" ""))"),"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механическ"&amp;"им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f>
        <v>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v>
      </c>
    </row>
    <row r="4112">
      <c r="A4112" s="35" t="s">
        <v>9999</v>
      </c>
      <c r="B4112" s="31" t="s">
        <v>10000</v>
      </c>
      <c r="C4112" s="31" t="s">
        <v>10001</v>
      </c>
      <c r="D4112" s="37" t="s">
        <v>14</v>
      </c>
      <c r="E4112" s="38">
        <v>2.0</v>
      </c>
      <c r="F4112" s="38">
        <v>15.0</v>
      </c>
      <c r="G4112" s="11">
        <v>50733.0</v>
      </c>
      <c r="H4112" s="34" t="str">
        <f>IFERROR(__xludf.DUMMYFUNCTION("LOWER(REGEXREPLACE(B4112&amp;"" ""&amp;C4112,""[^а-яa-z0-9 ]"","" ""))"),"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на"&amp;"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f>
        <v>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v>
      </c>
    </row>
    <row r="4113">
      <c r="A4113" s="35" t="s">
        <v>10002</v>
      </c>
      <c r="B4113" s="31" t="s">
        <v>10003</v>
      </c>
      <c r="C4113" s="31" t="s">
        <v>10004</v>
      </c>
      <c r="D4113" s="37" t="s">
        <v>14</v>
      </c>
      <c r="E4113" s="38">
        <v>2.0</v>
      </c>
      <c r="F4113" s="38">
        <v>12.0</v>
      </c>
      <c r="G4113" s="11">
        <v>27025.0</v>
      </c>
      <c r="H4113" s="34" t="str">
        <f>IFERROR(__xludf.DUMMYFUNCTION("LOWER(REGEXREPLACE(B4113&amp;"" ""&amp;C4113,""[^а-яa-z0-9 ]"","" ""))")," камья обеденная 3 х местная 1500х250х400 мм   аркас металлический  сиденье      16 мм  камья обеденная 3 х местная 1500х250х400 мм   аркас металлический  сиденье      16 мм  кромка    ")</f>
        <v> камья обеденная 3 х местная 1500х250х400 мм   аркас металлический  сиденье      16 мм  камья обеденная 3 х местная 1500х250х400 мм   аркас металлический  сиденье      16 мм  кромка    </v>
      </c>
    </row>
    <row r="4114">
      <c r="A4114" s="35" t="s">
        <v>10005</v>
      </c>
      <c r="B4114" s="31" t="s">
        <v>10006</v>
      </c>
      <c r="C4114" s="31" t="s">
        <v>10006</v>
      </c>
      <c r="D4114" s="37" t="s">
        <v>14</v>
      </c>
      <c r="E4114" s="38">
        <v>2.0</v>
      </c>
      <c r="F4114" s="38">
        <v>16.0</v>
      </c>
      <c r="G4114" s="11">
        <v>22875.0</v>
      </c>
      <c r="H4114" s="34" t="str">
        <f>IFERROR(__xludf.DUMMYFUNCTION("LOWER(REGEXREPLACE(B4114&amp;"" ""&amp;C4114,""[^а-яa-z0-9 ]"","" ""))"),"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f>
        <v>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v>
      </c>
    </row>
    <row r="4115">
      <c r="A4115" s="35" t="s">
        <v>10007</v>
      </c>
      <c r="B4115" s="9" t="s">
        <v>10008</v>
      </c>
      <c r="C4115" s="31" t="s">
        <v>10009</v>
      </c>
      <c r="D4115" s="37" t="s">
        <v>14</v>
      </c>
      <c r="E4115" s="38">
        <v>2.0</v>
      </c>
      <c r="F4115" s="38">
        <v>16.0</v>
      </c>
      <c r="G4115" s="11">
        <v>20508.0</v>
      </c>
      <c r="H4115" s="34" t="str">
        <f>IFERROR(__xludf.DUMMYFUNCTION("LOWER(REGEXREPLACE(B4115&amp;"" ""&amp;C4115,""[^а-яa-z0-9 ]"","" ""))"),"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f>
        <v>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v>
      </c>
    </row>
    <row r="4116">
      <c r="A4116" s="35" t="s">
        <v>10010</v>
      </c>
      <c r="B4116" s="31" t="s">
        <v>10011</v>
      </c>
      <c r="C4116" s="31" t="s">
        <v>10011</v>
      </c>
      <c r="D4116" s="37" t="s">
        <v>14</v>
      </c>
      <c r="E4116" s="38">
        <v>2.0</v>
      </c>
      <c r="F4116" s="38">
        <v>16.0</v>
      </c>
      <c r="G4116" s="11">
        <v>20685.0</v>
      </c>
      <c r="H4116" s="34" t="str">
        <f>IFERROR(__xludf.DUMMYFUNCTION("LOWER(REGEXREPLACE(B4116&amp;"" ""&amp;C4116,""[^а-яa-z0-9 ]"","" ""))")," тол обеденный 1200х800х770мм  каркас металлический цветной  столешница из      16мм  тол обеденный 1200х800х770мм  каркас металлический цветной  столешница из      16мм")</f>
        <v> тол обеденный 1200х800х770мм  каркас металлический цветной  столешница из      16мм  тол обеденный 1200х800х770мм  каркас металлический цветной  столешница из      16мм</v>
      </c>
    </row>
    <row r="4117">
      <c r="A4117" s="35" t="s">
        <v>10012</v>
      </c>
      <c r="B4117" s="31" t="s">
        <v>10013</v>
      </c>
      <c r="C4117" s="31" t="s">
        <v>10014</v>
      </c>
      <c r="D4117" s="37" t="s">
        <v>14</v>
      </c>
      <c r="E4117" s="38">
        <v>2.0</v>
      </c>
      <c r="F4117" s="38">
        <v>53.0</v>
      </c>
      <c r="G4117" s="11">
        <v>584425.0</v>
      </c>
      <c r="H4117" s="34" t="str">
        <f>IFERROR(__xludf.DUMMYFUNCTION("LOWER(REGEXREPLACE(B4117&amp;"" ""&amp;C4117,""[^а-яa-z0-9 ]"","" ""))"),"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"&amp;"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и"&amp;"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т"&amp;"ол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f>
        <v>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v>
      </c>
    </row>
    <row r="4118">
      <c r="A4118" s="35" t="s">
        <v>10015</v>
      </c>
      <c r="B4118" s="31" t="s">
        <v>10016</v>
      </c>
      <c r="C4118" s="31" t="s">
        <v>10017</v>
      </c>
      <c r="D4118" s="37" t="s">
        <v>14</v>
      </c>
      <c r="E4118" s="38">
        <v>2.0</v>
      </c>
      <c r="F4118" s="38">
        <v>43.0</v>
      </c>
      <c r="G4118" s="11">
        <v>247208.0</v>
      </c>
      <c r="H4118" s="34" t="str">
        <f>IFERROR(__xludf.DUMMYFUNCTION("LOWER(REGEXREPLACE(B4118&amp;"" ""&amp;C4118,""[^а-яa-z0-9 ]"","" ""))"),"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использованием"&amp;"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повре"&amp;"ждения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f>
        <v>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v>
      </c>
    </row>
    <row r="4119">
      <c r="A4119" s="35" t="s">
        <v>10018</v>
      </c>
      <c r="B4119" s="31" t="s">
        <v>10019</v>
      </c>
      <c r="C4119" s="31" t="s">
        <v>10020</v>
      </c>
      <c r="D4119" s="37" t="s">
        <v>14</v>
      </c>
      <c r="E4119" s="38">
        <v>2.0</v>
      </c>
      <c r="F4119" s="38">
        <v>19.0</v>
      </c>
      <c r="G4119" s="11">
        <v>228704.0</v>
      </c>
      <c r="H4119" s="34" t="str">
        <f>IFERROR(__xludf.DUMMYFUNCTION("LOWER(REGEXREPLACE(B4119&amp;"" ""&amp;C4119,""[^а-яa-z0-9 ]"","" ""))"),"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менее"&amp;"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кр"&amp;"аской ")</f>
        <v>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краской </v>
      </c>
    </row>
    <row r="4120">
      <c r="A4120" s="35" t="s">
        <v>10021</v>
      </c>
      <c r="B4120" s="31" t="s">
        <v>10022</v>
      </c>
      <c r="C4120" s="31" t="s">
        <v>10023</v>
      </c>
      <c r="D4120" s="37" t="s">
        <v>14</v>
      </c>
      <c r="E4120" s="38">
        <v>2.0</v>
      </c>
      <c r="F4120" s="38">
        <v>22.0</v>
      </c>
      <c r="G4120" s="11">
        <v>135187.0</v>
      </c>
      <c r="H4120" s="34" t="str">
        <f>IFERROR(__xludf.DUMMYFUNCTION("LOWER(REGEXREPLACE(B4120&amp;"" ""&amp;C4120,""[^а-яa-z0-9 ]"","" ""))"),"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70"&amp;"16")</f>
        <v>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7016</v>
      </c>
    </row>
    <row r="4121">
      <c r="A4121" s="35" t="s">
        <v>10024</v>
      </c>
      <c r="B4121" s="31" t="s">
        <v>10025</v>
      </c>
      <c r="C4121" s="31" t="s">
        <v>10026</v>
      </c>
      <c r="D4121" s="37" t="s">
        <v>14</v>
      </c>
      <c r="E4121" s="38">
        <v>2.0</v>
      </c>
      <c r="F4121" s="38">
        <v>25.0</v>
      </c>
      <c r="G4121" s="11">
        <v>191490.0</v>
      </c>
      <c r="H4121" s="34" t="str">
        <f>IFERROR(__xludf.DUMMYFUNCTION("LOWER(REGEXREPLACE(B4121&amp;"" ""&amp;C4121,""[^а-яa-z0-9 ]"","" ""))"),"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70"&amp;"16")</f>
        <v>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7016</v>
      </c>
    </row>
    <row r="4122">
      <c r="A4122" s="35" t="s">
        <v>10027</v>
      </c>
      <c r="B4122" s="31" t="s">
        <v>10028</v>
      </c>
      <c r="C4122" s="31" t="s">
        <v>10029</v>
      </c>
      <c r="D4122" s="37" t="s">
        <v>14</v>
      </c>
      <c r="E4122" s="38">
        <v>2.0</v>
      </c>
      <c r="F4122" s="38">
        <v>22.0</v>
      </c>
      <c r="G4122" s="11">
        <v>141942.0</v>
      </c>
      <c r="H4122" s="34" t="str">
        <f>IFERROR(__xludf.DUMMYFUNCTION("LOWER(REGEXREPLACE(B4122&amp;"" ""&amp;C4122,""[^а-яa-z0-9 ]"","" ""))"),"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f>
        <v>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v>
      </c>
    </row>
    <row r="4123">
      <c r="A4123" s="35" t="s">
        <v>10030</v>
      </c>
      <c r="B4123" s="31" t="s">
        <v>10031</v>
      </c>
      <c r="C4123" s="31" t="s">
        <v>10029</v>
      </c>
      <c r="D4123" s="37" t="s">
        <v>14</v>
      </c>
      <c r="E4123" s="38">
        <v>2.0</v>
      </c>
      <c r="F4123" s="38">
        <v>25.0</v>
      </c>
      <c r="G4123" s="11">
        <v>208378.0</v>
      </c>
      <c r="H4123" s="34" t="str">
        <f>IFERROR(__xludf.DUMMYFUNCTION("LOWER(REGEXREPLACE(B4123&amp;"" ""&amp;C4123,""[^а-яa-z0-9 ]"","" ""))"),"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f>
        <v>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v>
      </c>
    </row>
    <row r="4124">
      <c r="A4124" s="35" t="s">
        <v>10032</v>
      </c>
      <c r="B4124" s="31" t="s">
        <v>10033</v>
      </c>
      <c r="C4124" s="31" t="s">
        <v>10034</v>
      </c>
      <c r="D4124" s="37" t="s">
        <v>14</v>
      </c>
      <c r="E4124" s="38">
        <v>2.0</v>
      </c>
      <c r="F4124" s="38">
        <v>22.0</v>
      </c>
      <c r="G4124" s="11">
        <v>116048.0</v>
      </c>
      <c r="H4124" s="34" t="str">
        <f>IFERROR(__xludf.DUMMYFUNCTION("LOWER(REGEXREPLACE(B4124&amp;"" ""&amp;C4124,""[^а-яa-z0-9 ]"","" ""))"),"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ме"&amp;"ханическим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м"&amp;"енее 50х25х1 5 мм ")</f>
        <v>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менее 50х25х1 5 мм </v>
      </c>
    </row>
    <row r="4125">
      <c r="A4125" s="35" t="s">
        <v>10035</v>
      </c>
      <c r="B4125" s="31" t="s">
        <v>10036</v>
      </c>
      <c r="C4125" s="31" t="s">
        <v>10037</v>
      </c>
      <c r="D4125" s="37" t="s">
        <v>14</v>
      </c>
      <c r="E4125" s="38">
        <v>2.0</v>
      </c>
      <c r="F4125" s="38">
        <v>25.0</v>
      </c>
      <c r="G4125" s="11">
        <v>191490.0</v>
      </c>
      <c r="H4125" s="34" t="str">
        <f>IFERROR(__xludf.DUMMYFUNCTION("LOWER(REGEXREPLACE(B4125&amp;"" ""&amp;C4125,""[^а-яa-z0-9 ]"","" ""))"),"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мех"&amp;"аническим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мен"&amp;"ее 50х25х1 5 мм ")</f>
        <v>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менее 50х25х1 5 мм </v>
      </c>
    </row>
    <row r="4126">
      <c r="A4126" s="35" t="s">
        <v>10038</v>
      </c>
      <c r="B4126" s="31" t="s">
        <v>10039</v>
      </c>
      <c r="C4126" s="31"/>
      <c r="D4126" s="37" t="s">
        <v>14</v>
      </c>
      <c r="E4126" s="10"/>
      <c r="F4126" s="36"/>
      <c r="G4126" s="11"/>
      <c r="H4126" s="34" t="str">
        <f>IFERROR(__xludf.DUMMYFUNCTION("LOWER(REGEXREPLACE(B4126&amp;"" ""&amp;C4126,""[^а-яa-z0-9 ]"","" ""))")," тул для столовой ")</f>
        <v> тул для столовой </v>
      </c>
    </row>
    <row r="4127">
      <c r="A4127" s="35" t="s">
        <v>10040</v>
      </c>
      <c r="B4127" s="31" t="s">
        <v>10041</v>
      </c>
      <c r="C4127" s="31" t="s">
        <v>10042</v>
      </c>
      <c r="D4127" s="37" t="s">
        <v>14</v>
      </c>
      <c r="E4127" s="38">
        <v>2.0</v>
      </c>
      <c r="F4127" s="38">
        <v>7.0</v>
      </c>
      <c r="G4127" s="11">
        <v>44542.0</v>
      </c>
      <c r="H4127" s="34" t="str">
        <f>IFERROR(__xludf.DUMMYFUNCTION("LOWER(REGEXREPLACE(B4127&amp;"" ""&amp;C4127,""[^а-яa-z0-9 ]"","" ""))"),"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"&amp;"конструктивных особенностей   зогнутая спинка сидения   еталлический каркас окрашен порошковой краской  устойчивой к механическому воздействию")</f>
        <v>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конструктивных особенностей   зогнутая спинка сидения   еталлический каркас окрашен порошковой краской  устойчивой к механическому воздействию</v>
      </c>
    </row>
    <row r="4128">
      <c r="A4128" s="35" t="s">
        <v>10043</v>
      </c>
      <c r="B4128" s="31" t="s">
        <v>10044</v>
      </c>
      <c r="C4128" s="31" t="s">
        <v>10045</v>
      </c>
      <c r="D4128" s="37" t="s">
        <v>14</v>
      </c>
      <c r="E4128" s="38">
        <v>2.0</v>
      </c>
      <c r="F4128" s="38">
        <v>7.0</v>
      </c>
      <c r="G4128" s="11">
        <v>8242.0</v>
      </c>
      <c r="H4128" s="34" t="str">
        <f>IFERROR(__xludf.DUMMYFUNCTION("LOWER(REGEXREPLACE(B4128&amp;"" ""&amp;C4128,""[^а-яa-z0-9 ]"","" ""))")," тул типа  аиза   аркас металлический цветной   бивка эко кожа   азмер  380х380х890мм  аркас металлический цветной   бивка эко кожа   азмер  380х380х890мм")</f>
        <v> тул типа  аиза   аркас металлический цветной   бивка эко кожа   азмер  380х380х890мм  аркас металлический цветной   бивка эко кожа   азмер  380х380х890мм</v>
      </c>
    </row>
    <row r="4129">
      <c r="A4129" s="35" t="s">
        <v>10046</v>
      </c>
      <c r="B4129" s="31" t="s">
        <v>10047</v>
      </c>
      <c r="C4129" s="31" t="s">
        <v>10048</v>
      </c>
      <c r="D4129" s="37" t="s">
        <v>14</v>
      </c>
      <c r="E4129" s="38">
        <v>2.0</v>
      </c>
      <c r="F4129" s="38">
        <v>8.0</v>
      </c>
      <c r="G4129" s="11">
        <v>9974.0</v>
      </c>
      <c r="H4129" s="34" t="str">
        <f>IFERROR(__xludf.DUMMYFUNCTION("LOWER(REGEXREPLACE(B4129&amp;"" ""&amp;C4129,""[^а-яa-z0-9 ]"","" ""))")," тул типа  лия  люс   аркас металлический цветной   бивка эко кожа   азмер  380х380х910мм  аркас металлический цветной   бивка эко кожа   азмер  380х380х910мм")</f>
        <v> тул типа  лия  люс   аркас металлический цветной   бивка эко кожа   азмер  380х380х910мм  аркас металлический цветной   бивка эко кожа   азмер  380х380х910мм</v>
      </c>
    </row>
    <row r="4130">
      <c r="A4130" s="35" t="s">
        <v>10049</v>
      </c>
      <c r="B4130" s="9" t="s">
        <v>10050</v>
      </c>
      <c r="C4130" s="31" t="s">
        <v>10051</v>
      </c>
      <c r="D4130" s="37" t="s">
        <v>14</v>
      </c>
      <c r="E4130" s="38">
        <v>2.0</v>
      </c>
      <c r="F4130" s="38">
        <v>8.0</v>
      </c>
      <c r="G4130" s="11">
        <v>14173.0</v>
      </c>
      <c r="H4130" s="34" t="str">
        <f>IFERROR(__xludf.DUMMYFUNCTION("LOWER(REGEXREPLACE(B4130&amp;"" ""&amp;C4130,""[^а-яa-z0-9 ]"","" ""))"),"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f>
        <v>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v>
      </c>
    </row>
    <row r="4131">
      <c r="A4131" s="13" t="s">
        <v>10052</v>
      </c>
      <c r="B4131" s="30"/>
      <c r="C4131" s="31"/>
      <c r="D4131" s="30"/>
      <c r="E4131" s="32"/>
      <c r="F4131" s="30"/>
      <c r="G4131" s="33"/>
      <c r="H4131" s="34" t="str">
        <f>IFERROR(__xludf.DUMMYFUNCTION("LOWER(REGEXREPLACE(B4131&amp;"" ""&amp;C4131,""[^а-яa-z0-9 ]"","" ""))")," ")</f>
        <v> </v>
      </c>
    </row>
    <row r="4132">
      <c r="A4132" s="35" t="s">
        <v>10053</v>
      </c>
      <c r="B4132" s="31" t="s">
        <v>10054</v>
      </c>
      <c r="C4132" s="31"/>
      <c r="D4132" s="36"/>
      <c r="E4132" s="10"/>
      <c r="F4132" s="36"/>
      <c r="G4132" s="11"/>
      <c r="H4132" s="34" t="str">
        <f>IFERROR(__xludf.DUMMYFUNCTION("LOWER(REGEXREPLACE(B4132&amp;"" ""&amp;C4132,""[^а-яa-z0-9 ]"","" ""))")," ейтральное оборудование ")</f>
        <v> ейтральное оборудование </v>
      </c>
    </row>
    <row r="4133">
      <c r="A4133" s="35" t="s">
        <v>10055</v>
      </c>
      <c r="B4133" s="9" t="s">
        <v>10056</v>
      </c>
      <c r="C4133" s="31"/>
      <c r="D4133" s="37" t="s">
        <v>14</v>
      </c>
      <c r="E4133" s="10"/>
      <c r="F4133" s="40">
        <v>31.48</v>
      </c>
      <c r="G4133" s="11">
        <v>166500.0</v>
      </c>
      <c r="H4133" s="34" t="str">
        <f>IFERROR(__xludf.DUMMYFUNCTION("LOWER(REGEXREPLACE(B4133&amp;"" ""&amp;C4133,""[^а-яa-z0-9 ]"","" ""))")," теллаж производственный       16 4  1600х400х1800  ")</f>
        <v> теллаж производственный       16 4  1600х400х1800  </v>
      </c>
    </row>
    <row r="4134">
      <c r="A4134" s="35" t="s">
        <v>10057</v>
      </c>
      <c r="B4134" s="9" t="s">
        <v>10058</v>
      </c>
      <c r="C4134" s="31" t="s">
        <v>10059</v>
      </c>
      <c r="D4134" s="37" t="s">
        <v>14</v>
      </c>
      <c r="E4134" s="10"/>
      <c r="F4134" s="40">
        <v>30.92</v>
      </c>
      <c r="G4134" s="11">
        <v>275824.0</v>
      </c>
      <c r="H4134" s="34" t="str">
        <f>IFERROR(__xludf.DUMMYFUNCTION("LOWER(REGEXREPLACE(B4134&amp;"" ""&amp;C4134,""[^а-яa-z0-9 ]"","" ""))"),"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выполнен"&amp;" из уголка 40x40 мм нержавеющей стали  полки   из нержавеющей стали ")</f>
        <v>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 из уголка 40x40 мм нержавеющей стали  полки   из нержавеющей стали </v>
      </c>
    </row>
    <row r="4135">
      <c r="A4135" s="35" t="s">
        <v>10060</v>
      </c>
      <c r="B4135" s="9" t="s">
        <v>10061</v>
      </c>
      <c r="C4135" s="31"/>
      <c r="D4135" s="37" t="s">
        <v>14</v>
      </c>
      <c r="E4135" s="10"/>
      <c r="F4135" s="39">
        <v>35.1</v>
      </c>
      <c r="G4135" s="11">
        <v>295329.0</v>
      </c>
      <c r="H4135" s="34" t="str">
        <f>IFERROR(__xludf.DUMMYFUNCTION("LOWER(REGEXREPLACE(B4135&amp;"" ""&amp;C4135,""[^а-яa-z0-9 ]"","" ""))")," теллаж производственный       12 6  1200х600х1800  ")</f>
        <v> теллаж производственный       12 6  1200х600х1800  </v>
      </c>
    </row>
    <row r="4136">
      <c r="A4136" s="35" t="s">
        <v>10062</v>
      </c>
      <c r="B4136" s="9" t="s">
        <v>10063</v>
      </c>
      <c r="C4136" s="31"/>
      <c r="D4136" s="37" t="s">
        <v>14</v>
      </c>
      <c r="E4136" s="10"/>
      <c r="F4136" s="40">
        <v>25.43</v>
      </c>
      <c r="G4136" s="11">
        <v>140496.0</v>
      </c>
      <c r="H4136" s="34" t="str">
        <f>IFERROR(__xludf.DUMMYFUNCTION("LOWER(REGEXREPLACE(B4136&amp;"" ""&amp;C4136,""[^а-яa-z0-9 ]"","" ""))")," теллаж производственный       12 4  1200х400х1800  ")</f>
        <v> теллаж производственный       12 4  1200х400х1800  </v>
      </c>
    </row>
    <row r="4137">
      <c r="A4137" s="35" t="s">
        <v>10064</v>
      </c>
      <c r="B4137" s="9" t="s">
        <v>10065</v>
      </c>
      <c r="C4137" s="31"/>
      <c r="D4137" s="37" t="s">
        <v>14</v>
      </c>
      <c r="E4137" s="10"/>
      <c r="F4137" s="36"/>
      <c r="G4137" s="11">
        <v>271429.0</v>
      </c>
      <c r="H4137" s="34" t="str">
        <f>IFERROR(__xludf.DUMMYFUNCTION("LOWER(REGEXREPLACE(B4137&amp;"" ""&amp;C4137,""[^а-яa-z0-9 ]"","" ""))")," теллаж производственный       10 6  1000х600х1800  ")</f>
        <v> теллаж производственный       10 6  1000х600х1800  </v>
      </c>
    </row>
    <row r="4138">
      <c r="A4138" s="35" t="s">
        <v>10066</v>
      </c>
      <c r="B4138" s="31" t="s">
        <v>10067</v>
      </c>
      <c r="C4138" s="31"/>
      <c r="D4138" s="37" t="s">
        <v>14</v>
      </c>
      <c r="E4138" s="10"/>
      <c r="F4138" s="36"/>
      <c r="G4138" s="11"/>
      <c r="H4138" s="34" t="str">
        <f>IFERROR(__xludf.DUMMYFUNCTION("LOWER(REGEXREPLACE(B4138&amp;"" ""&amp;C4138,""[^а-яa-z0-9 ]"","" ""))")," теллаж производственный ")</f>
        <v> теллаж производственный </v>
      </c>
    </row>
    <row r="4139">
      <c r="A4139" s="35" t="s">
        <v>10068</v>
      </c>
      <c r="B4139" s="31" t="s">
        <v>10069</v>
      </c>
      <c r="C4139" s="31"/>
      <c r="D4139" s="37" t="s">
        <v>14</v>
      </c>
      <c r="E4139" s="10"/>
      <c r="F4139" s="40">
        <v>20.59</v>
      </c>
      <c r="G4139" s="11">
        <v>126801.0</v>
      </c>
      <c r="H4139" s="34" t="str">
        <f>IFERROR(__xludf.DUMMYFUNCTION("LOWER(REGEXREPLACE(B4139&amp;"" ""&amp;C4139,""[^а-яa-z0-9 ]"","" ""))")," теллаж производственный       9 5  900х500х1800  ")</f>
        <v> теллаж производственный       9 5  900х500х1800  </v>
      </c>
    </row>
    <row r="4140">
      <c r="A4140" s="35" t="s">
        <v>10070</v>
      </c>
      <c r="B4140" s="31" t="s">
        <v>10071</v>
      </c>
      <c r="C4140" s="31"/>
      <c r="D4140" s="37" t="s">
        <v>14</v>
      </c>
      <c r="E4140" s="10"/>
      <c r="F4140" s="38">
        <v>31.0</v>
      </c>
      <c r="G4140" s="11">
        <v>336031.0</v>
      </c>
      <c r="H4140" s="34" t="str">
        <f>IFERROR(__xludf.DUMMYFUNCTION("LOWER(REGEXREPLACE(B4140&amp;"" ""&amp;C4140,""[^а-яa-z0-9 ]"","" ""))")," теллаж производственный 900х500х1805 мм  из нержавеющей стали  ножки труба 40 40  4 полки       900 500    ")</f>
        <v> теллаж производственный 900х500х1805 мм  из нержавеющей стали  ножки труба 40 40  4 полки       900 500    </v>
      </c>
    </row>
    <row r="4141">
      <c r="A4141" s="35" t="s">
        <v>10072</v>
      </c>
      <c r="B4141" s="31" t="s">
        <v>10073</v>
      </c>
      <c r="C4141" s="31"/>
      <c r="D4141" s="37" t="s">
        <v>14</v>
      </c>
      <c r="E4141" s="10"/>
      <c r="F4141" s="38">
        <v>32.0</v>
      </c>
      <c r="G4141" s="11">
        <v>360030.0</v>
      </c>
      <c r="H4141" s="34" t="str">
        <f>IFERROR(__xludf.DUMMYFUNCTION("LOWER(REGEXREPLACE(B4141&amp;"" ""&amp;C4141,""[^а-яa-z0-9 ]"","" ""))")," теллаж производственный 1000х500х1805 мм  из нержавеющей стали  ножки труба 40 40 4 полки     1000 500    ")</f>
        <v> теллаж производственный 1000х500х1805 мм  из нержавеющей стали  ножки труба 40 40 4 полки     1000 500    </v>
      </c>
    </row>
    <row r="4142">
      <c r="A4142" s="35" t="s">
        <v>10074</v>
      </c>
      <c r="B4142" s="31" t="s">
        <v>10075</v>
      </c>
      <c r="C4142" s="31"/>
      <c r="D4142" s="37" t="s">
        <v>14</v>
      </c>
      <c r="E4142" s="10"/>
      <c r="F4142" s="38">
        <v>41.0</v>
      </c>
      <c r="G4142" s="11">
        <v>405648.0</v>
      </c>
      <c r="H4142" s="34" t="str">
        <f>IFERROR(__xludf.DUMMYFUNCTION("LOWER(REGEXREPLACE(B4142&amp;"" ""&amp;C4142,""[^а-яa-z0-9 ]"","" ""))")," теллаж производственный 1200х500х1805 мм  из нержавеющей стали  ножки труба 40 40  4 полки     1200 500    ")</f>
        <v> теллаж производственный 1200х500х1805 мм  из нержавеющей стали  ножки труба 40 40  4 полки     1200 500    </v>
      </c>
    </row>
    <row r="4143">
      <c r="A4143" s="35" t="s">
        <v>10076</v>
      </c>
      <c r="B4143" s="31" t="s">
        <v>10077</v>
      </c>
      <c r="C4143" s="31"/>
      <c r="D4143" s="37" t="s">
        <v>14</v>
      </c>
      <c r="E4143" s="10"/>
      <c r="F4143" s="38">
        <v>46.0</v>
      </c>
      <c r="G4143" s="11">
        <v>453655.0</v>
      </c>
      <c r="H4143" s="34" t="str">
        <f>IFERROR(__xludf.DUMMYFUNCTION("LOWER(REGEXREPLACE(B4143&amp;"" ""&amp;C4143,""[^а-яa-z0-9 ]"","" ""))")," теллаж производственный 1400х500х1805 мм  из нержавеющей стали  ножки труба 40 40  4 полки      1400 500    ")</f>
        <v> теллаж производственный 1400х500х1805 мм  из нержавеющей стали  ножки труба 40 40  4 полки      1400 500    </v>
      </c>
    </row>
    <row r="4144">
      <c r="A4144" s="35" t="s">
        <v>10078</v>
      </c>
      <c r="B4144" s="31" t="s">
        <v>10079</v>
      </c>
      <c r="C4144" s="31"/>
      <c r="D4144" s="37" t="s">
        <v>14</v>
      </c>
      <c r="E4144" s="38">
        <v>2.0</v>
      </c>
      <c r="F4144" s="38">
        <v>56.0</v>
      </c>
      <c r="G4144" s="11">
        <v>439694.0</v>
      </c>
      <c r="H4144" s="34" t="str">
        <f>IFERROR(__xludf.DUMMYFUNCTION("LOWER(REGEXREPLACE(B4144&amp;"" ""&amp;C4144,""[^а-яa-z0-9 ]"","" ""))"),"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f>
        <v>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v>
      </c>
    </row>
    <row r="4145">
      <c r="A4145" s="35" t="s">
        <v>10080</v>
      </c>
      <c r="B4145" s="31" t="s">
        <v>10081</v>
      </c>
      <c r="C4145" s="31"/>
      <c r="D4145" s="37" t="s">
        <v>14</v>
      </c>
      <c r="E4145" s="38">
        <v>2.0</v>
      </c>
      <c r="F4145" s="38">
        <v>42.0</v>
      </c>
      <c r="G4145" s="11">
        <v>258494.0</v>
      </c>
      <c r="H4145" s="34" t="str">
        <f>IFERROR(__xludf.DUMMYFUNCTION("LOWER(REGEXREPLACE(B4145&amp;"" ""&amp;C4145,""[^а-яa-z0-9 ]"","" ""))"),"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f>
        <v>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v>
      </c>
    </row>
    <row r="4146">
      <c r="A4146" s="35" t="s">
        <v>10082</v>
      </c>
      <c r="B4146" s="31" t="s">
        <v>10083</v>
      </c>
      <c r="C4146" s="31"/>
      <c r="D4146" s="37" t="s">
        <v>14</v>
      </c>
      <c r="E4146" s="38">
        <v>2.0</v>
      </c>
      <c r="F4146" s="38">
        <v>44.0</v>
      </c>
      <c r="G4146" s="11">
        <v>287977.0</v>
      </c>
      <c r="H4146" s="34" t="str">
        <f>IFERROR(__xludf.DUMMYFUNCTION("LOWER(REGEXREPLACE(B4146&amp;"" ""&amp;C4146,""[^а-яa-z0-9 ]"","" ""))"),"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f>
        <v>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v>
      </c>
    </row>
    <row r="4147">
      <c r="A4147" s="35" t="s">
        <v>10084</v>
      </c>
      <c r="B4147" s="31" t="s">
        <v>10085</v>
      </c>
      <c r="C4147" s="31"/>
      <c r="D4147" s="37" t="s">
        <v>14</v>
      </c>
      <c r="E4147" s="38">
        <v>2.0</v>
      </c>
      <c r="F4147" s="38">
        <v>46.0</v>
      </c>
      <c r="G4147" s="11">
        <v>332196.0</v>
      </c>
      <c r="H4147" s="34" t="str">
        <f>IFERROR(__xludf.DUMMYFUNCTION("LOWER(REGEXREPLACE(B4147&amp;"" ""&amp;C4147,""[^а-яa-z0-9 ]"","" ""))"),"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f>
        <v>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v>
      </c>
    </row>
    <row r="4148">
      <c r="A4148" s="35" t="s">
        <v>10086</v>
      </c>
      <c r="B4148" s="31" t="s">
        <v>10087</v>
      </c>
      <c r="C4148" s="31"/>
      <c r="D4148" s="37" t="s">
        <v>14</v>
      </c>
      <c r="E4148" s="38">
        <v>2.0</v>
      </c>
      <c r="F4148" s="40">
        <v>20.48</v>
      </c>
      <c r="G4148" s="11">
        <v>70702.0</v>
      </c>
      <c r="H4148" s="34" t="str">
        <f>IFERROR(__xludf.DUMMYFUNCTION("LOWER(REGEXREPLACE(B4148&amp;"" ""&amp;C4148,""[^а-яa-z0-9 ]"","" ""))")," теллаж производственный      100 40   ержавеющая сталь   азмер  1000x400x1530мм ")</f>
        <v> теллаж производственный      100 40   ержавеющая сталь   азмер  1000x400x1530мм </v>
      </c>
    </row>
    <row r="4149">
      <c r="A4149" s="35" t="s">
        <v>10088</v>
      </c>
      <c r="B4149" s="31" t="s">
        <v>10089</v>
      </c>
      <c r="C4149" s="31"/>
      <c r="D4149" s="37" t="s">
        <v>14</v>
      </c>
      <c r="E4149" s="38">
        <v>2.0</v>
      </c>
      <c r="F4149" s="40">
        <v>23.06</v>
      </c>
      <c r="G4149" s="11">
        <v>78146.0</v>
      </c>
      <c r="H4149" s="34" t="str">
        <f>IFERROR(__xludf.DUMMYFUNCTION("LOWER(REGEXREPLACE(B4149&amp;"" ""&amp;C4149,""[^а-яa-z0-9 ]"","" ""))")," теллаж производственный      120 40   ержавеющая сталь   азмер  1200x400x1530мм ")</f>
        <v> теллаж производственный      120 40   ержавеющая сталь   азмер  1200x400x1530мм </v>
      </c>
    </row>
    <row r="4150">
      <c r="A4150" s="35" t="s">
        <v>10090</v>
      </c>
      <c r="B4150" s="31" t="s">
        <v>10091</v>
      </c>
      <c r="C4150" s="31"/>
      <c r="D4150" s="37" t="s">
        <v>14</v>
      </c>
      <c r="E4150" s="38">
        <v>2.0</v>
      </c>
      <c r="F4150" s="40">
        <v>25.63</v>
      </c>
      <c r="G4150" s="11">
        <v>85252.0</v>
      </c>
      <c r="H4150" s="34" t="str">
        <f>IFERROR(__xludf.DUMMYFUNCTION("LOWER(REGEXREPLACE(B4150&amp;"" ""&amp;C4150,""[^а-яa-z0-9 ]"","" ""))")," теллаж производственный      140 40   ержавеющая сталь   азмер  1400x400x1530мм ")</f>
        <v> теллаж производственный      140 40   ержавеющая сталь   азмер  1400x400x1530мм </v>
      </c>
    </row>
    <row r="4151">
      <c r="A4151" s="35" t="s">
        <v>10092</v>
      </c>
      <c r="B4151" s="31" t="s">
        <v>10093</v>
      </c>
      <c r="C4151" s="31"/>
      <c r="D4151" s="37" t="s">
        <v>14</v>
      </c>
      <c r="E4151" s="38">
        <v>2.0</v>
      </c>
      <c r="F4151" s="40">
        <v>29.82</v>
      </c>
      <c r="G4151" s="11">
        <v>92364.0</v>
      </c>
      <c r="H4151" s="34" t="str">
        <f>IFERROR(__xludf.DUMMYFUNCTION("LOWER(REGEXREPLACE(B4151&amp;"" ""&amp;C4151,""[^а-яa-z0-9 ]"","" ""))")," теллаж производственный      160 40   ержавеющая сталь   азмер  1600x400x1530мм ")</f>
        <v> теллаж производственный      160 40   ержавеющая сталь   азмер  1600x400x1530мм </v>
      </c>
    </row>
    <row r="4152">
      <c r="A4152" s="35" t="s">
        <v>10094</v>
      </c>
      <c r="B4152" s="31" t="s">
        <v>10095</v>
      </c>
      <c r="C4152" s="31"/>
      <c r="D4152" s="37" t="s">
        <v>14</v>
      </c>
      <c r="E4152" s="38">
        <v>2.0</v>
      </c>
      <c r="F4152" s="40">
        <v>23.59</v>
      </c>
      <c r="G4152" s="11">
        <v>78148.0</v>
      </c>
      <c r="H4152" s="34" t="str">
        <f>IFERROR(__xludf.DUMMYFUNCTION("LOWER(REGEXREPLACE(B4152&amp;"" ""&amp;C4152,""[^а-яa-z0-9 ]"","" ""))")," теллаж производственный      100 50   ержавеющая сталь   азмер  1000x500x1530мм ")</f>
        <v> теллаж производственный      100 50   ержавеющая сталь   азмер  1000x500x1530мм </v>
      </c>
    </row>
    <row r="4153">
      <c r="A4153" s="35" t="s">
        <v>10096</v>
      </c>
      <c r="B4153" s="31" t="s">
        <v>10097</v>
      </c>
      <c r="C4153" s="31"/>
      <c r="D4153" s="37" t="s">
        <v>14</v>
      </c>
      <c r="E4153" s="38">
        <v>2.0</v>
      </c>
      <c r="F4153" s="40">
        <v>26.65</v>
      </c>
      <c r="G4153" s="11">
        <v>84580.0</v>
      </c>
      <c r="H4153" s="34" t="str">
        <f>IFERROR(__xludf.DUMMYFUNCTION("LOWER(REGEXREPLACE(B4153&amp;"" ""&amp;C4153,""[^а-яa-z0-9 ]"","" ""))")," теллаж производственный      120 50   ержавеющая сталь   азмер  1200x500x1530мм ")</f>
        <v> теллаж производственный      120 50   ержавеющая сталь   азмер  1200x500x1530мм </v>
      </c>
    </row>
    <row r="4154">
      <c r="A4154" s="35" t="s">
        <v>10098</v>
      </c>
      <c r="B4154" s="31" t="s">
        <v>10099</v>
      </c>
      <c r="C4154" s="31"/>
      <c r="D4154" s="37" t="s">
        <v>14</v>
      </c>
      <c r="E4154" s="38">
        <v>2.0</v>
      </c>
      <c r="F4154" s="40">
        <v>29.71</v>
      </c>
      <c r="G4154" s="11">
        <v>91350.0</v>
      </c>
      <c r="H4154" s="34" t="str">
        <f>IFERROR(__xludf.DUMMYFUNCTION("LOWER(REGEXREPLACE(B4154&amp;"" ""&amp;C4154,""[^а-яa-z0-9 ]"","" ""))")," теллаж производственный      140 50   ержавеющая сталь   азмер  1400x500x1530мм ")</f>
        <v> теллаж производственный      140 50   ержавеющая сталь   азмер  1400x500x1530мм </v>
      </c>
    </row>
    <row r="4155">
      <c r="A4155" s="35" t="s">
        <v>10100</v>
      </c>
      <c r="B4155" s="31" t="s">
        <v>10101</v>
      </c>
      <c r="C4155" s="31"/>
      <c r="D4155" s="37" t="s">
        <v>14</v>
      </c>
      <c r="E4155" s="38">
        <v>2.0</v>
      </c>
      <c r="F4155" s="40">
        <v>34.83</v>
      </c>
      <c r="G4155" s="11">
        <v>97452.0</v>
      </c>
      <c r="H4155" s="34" t="str">
        <f>IFERROR(__xludf.DUMMYFUNCTION("LOWER(REGEXREPLACE(B4155&amp;"" ""&amp;C4155,""[^а-яa-z0-9 ]"","" ""))")," теллаж производственный      160 50   ержавеющая сталь   азмер  1600x500x1530мм ")</f>
        <v> теллаж производственный      160 50   ержавеющая сталь   азмер  1600x500x1530мм </v>
      </c>
    </row>
    <row r="4156">
      <c r="A4156" s="35" t="s">
        <v>10102</v>
      </c>
      <c r="B4156" s="31" t="s">
        <v>10103</v>
      </c>
      <c r="C4156" s="31"/>
      <c r="D4156" s="37" t="s">
        <v>14</v>
      </c>
      <c r="E4156" s="38">
        <v>2.0</v>
      </c>
      <c r="F4156" s="40">
        <v>26.18</v>
      </c>
      <c r="G4156" s="11">
        <v>86944.0</v>
      </c>
      <c r="H4156" s="34" t="str">
        <f>IFERROR(__xludf.DUMMYFUNCTION("LOWER(REGEXREPLACE(B4156&amp;"" ""&amp;C4156,""[^а-яa-z0-9 ]"","" ""))")," теллаж для казана       120 70   ержавеющая сталь   азмер  1200x700x1530мм ")</f>
        <v> теллаж для казана       120 70   ержавеющая сталь   азмер  1200x700x1530мм </v>
      </c>
    </row>
    <row r="4157">
      <c r="A4157" s="35" t="s">
        <v>10104</v>
      </c>
      <c r="B4157" s="31" t="s">
        <v>10105</v>
      </c>
      <c r="C4157" s="31"/>
      <c r="D4157" s="37" t="s">
        <v>14</v>
      </c>
      <c r="E4157" s="38">
        <v>2.0</v>
      </c>
      <c r="F4157" s="40">
        <v>29.06</v>
      </c>
      <c r="G4157" s="11">
        <v>95065.0</v>
      </c>
      <c r="H4157" s="34" t="str">
        <f>IFERROR(__xludf.DUMMYFUNCTION("LOWER(REGEXREPLACE(B4157&amp;"" ""&amp;C4157,""[^а-яa-z0-9 ]"","" ""))")," теллаж для казана       140 70   ержавеющая сталь   азмер  1400x700x1530мм ")</f>
        <v> теллаж для казана       140 70   ержавеющая сталь   азмер  1400x700x1530мм </v>
      </c>
    </row>
    <row r="4158">
      <c r="A4158" s="35" t="s">
        <v>10106</v>
      </c>
      <c r="B4158" s="31" t="s">
        <v>10107</v>
      </c>
      <c r="C4158" s="31"/>
      <c r="D4158" s="37" t="s">
        <v>14</v>
      </c>
      <c r="E4158" s="38">
        <v>2.0</v>
      </c>
      <c r="F4158" s="40">
        <v>34.26</v>
      </c>
      <c r="G4158" s="11">
        <v>103870.0</v>
      </c>
      <c r="H4158" s="34" t="str">
        <f>IFERROR(__xludf.DUMMYFUNCTION("LOWER(REGEXREPLACE(B4158&amp;"" ""&amp;C4158,""[^а-яa-z0-9 ]"","" ""))")," теллаж для казана       160 70   ержавеющая сталь   азмер  1600x700x1530мм ")</f>
        <v> теллаж для казана       160 70   ержавеющая сталь   азмер  1600x700x1530мм </v>
      </c>
    </row>
    <row r="4159">
      <c r="A4159" s="35" t="s">
        <v>10108</v>
      </c>
      <c r="B4159" s="31" t="s">
        <v>10109</v>
      </c>
      <c r="C4159" s="31"/>
      <c r="D4159" s="37" t="s">
        <v>14</v>
      </c>
      <c r="E4159" s="38">
        <v>2.0</v>
      </c>
      <c r="F4159" s="39">
        <v>37.2</v>
      </c>
      <c r="G4159" s="11">
        <v>113005.0</v>
      </c>
      <c r="H4159" s="34" t="str">
        <f>IFERROR(__xludf.DUMMYFUNCTION("LOWER(REGEXREPLACE(B4159&amp;"" ""&amp;C4159,""[^а-яa-z0-9 ]"","" ""))")," теллаж для казана       180 70   ержавеющая сталь   азмер  1800x700x1530мм ")</f>
        <v> теллаж для казана       180 70   ержавеющая сталь   азмер  1800x700x1530мм </v>
      </c>
    </row>
    <row r="4160">
      <c r="A4160" s="35" t="s">
        <v>10110</v>
      </c>
      <c r="B4160" s="31" t="s">
        <v>10111</v>
      </c>
      <c r="C4160" s="31"/>
      <c r="D4160" s="37" t="s">
        <v>14</v>
      </c>
      <c r="E4160" s="38">
        <v>2.0</v>
      </c>
      <c r="F4160" s="38">
        <v>29.0</v>
      </c>
      <c r="G4160" s="11">
        <v>52214.0</v>
      </c>
      <c r="H4160" s="34" t="str">
        <f>IFERROR(__xludf.DUMMYFUNCTION("LOWER(REGEXREPLACE(B4160&amp;"" ""&amp;C4160,""[^а-яa-z0-9 ]"","" ""))")," теллаж производственный       8 4  4 полки из нержавеющей стали  стойки из оцинкованной стали   азмер 800х400х1800мм ")</f>
        <v> теллаж производственный       8 4  4 полки из нержавеющей стали  стойки из оцинкованной стали   азмер 800х400х1800мм </v>
      </c>
    </row>
    <row r="4161">
      <c r="A4161" s="35" t="s">
        <v>10112</v>
      </c>
      <c r="B4161" s="31" t="s">
        <v>10113</v>
      </c>
      <c r="C4161" s="31"/>
      <c r="D4161" s="37" t="s">
        <v>14</v>
      </c>
      <c r="E4161" s="38">
        <v>2.0</v>
      </c>
      <c r="F4161" s="38">
        <v>35.0</v>
      </c>
      <c r="G4161" s="11">
        <v>58419.0</v>
      </c>
      <c r="H4161" s="34" t="str">
        <f>IFERROR(__xludf.DUMMYFUNCTION("LOWER(REGEXREPLACE(B4161&amp;"" ""&amp;C4161,""[^а-яa-z0-9 ]"","" ""))")," теллаж производственный       10 4  4 полки из нержавеющей стали  стойки из оцинкованной стали   азмер 1000х400х1800мм ")</f>
        <v> теллаж производственный       10 4  4 полки из нержавеющей стали  стойки из оцинкованной стали   азмер 1000х400х1800мм </v>
      </c>
    </row>
    <row r="4162">
      <c r="A4162" s="35" t="s">
        <v>10114</v>
      </c>
      <c r="B4162" s="31" t="s">
        <v>10115</v>
      </c>
      <c r="C4162" s="31"/>
      <c r="D4162" s="37" t="s">
        <v>14</v>
      </c>
      <c r="E4162" s="38">
        <v>2.0</v>
      </c>
      <c r="F4162" s="38">
        <v>36.0</v>
      </c>
      <c r="G4162" s="11">
        <v>65488.0</v>
      </c>
      <c r="H4162" s="34" t="str">
        <f>IFERROR(__xludf.DUMMYFUNCTION("LOWER(REGEXREPLACE(B4162&amp;"" ""&amp;C4162,""[^а-яa-z0-9 ]"","" ""))")," теллаж производственный       12 4  4 полки из нержавеющей стали  стойки из оцинкованной стали   азмер 1200х400х1800мм ")</f>
        <v> теллаж производственный       12 4  4 полки из нержавеющей стали  стойки из оцинкованной стали   азмер 1200х400х1800мм </v>
      </c>
    </row>
    <row r="4163">
      <c r="A4163" s="35" t="s">
        <v>10116</v>
      </c>
      <c r="B4163" s="31" t="s">
        <v>10117</v>
      </c>
      <c r="C4163" s="31"/>
      <c r="D4163" s="37" t="s">
        <v>14</v>
      </c>
      <c r="E4163" s="38">
        <v>2.0</v>
      </c>
      <c r="F4163" s="38">
        <v>37.0</v>
      </c>
      <c r="G4163" s="11">
        <v>75206.0</v>
      </c>
      <c r="H4163" s="34" t="str">
        <f>IFERROR(__xludf.DUMMYFUNCTION("LOWER(REGEXREPLACE(B4163&amp;"" ""&amp;C4163,""[^а-яa-z0-9 ]"","" ""))")," теллаж производственный       15 4  4 полки из нержавеющей стали  стойки из оцинкованной стали   азмер 1500х400х1800мм ")</f>
        <v> теллаж производственный       15 4  4 полки из нержавеющей стали  стойки из оцинкованной стали   азмер 1500х400х1800мм </v>
      </c>
    </row>
    <row r="4164">
      <c r="A4164" s="35" t="s">
        <v>10118</v>
      </c>
      <c r="B4164" s="31" t="s">
        <v>10119</v>
      </c>
      <c r="C4164" s="31"/>
      <c r="D4164" s="37" t="s">
        <v>14</v>
      </c>
      <c r="E4164" s="38">
        <v>2.0</v>
      </c>
      <c r="F4164" s="38">
        <v>38.0</v>
      </c>
      <c r="G4164" s="11">
        <v>84041.0</v>
      </c>
      <c r="H4164" s="34" t="str">
        <f>IFERROR(__xludf.DUMMYFUNCTION("LOWER(REGEXREPLACE(B4164&amp;"" ""&amp;C4164,""[^а-яa-z0-9 ]"","" ""))")," теллаж производственный       18 4  4 полки из нержавеющей стали  стойки из оцинкованной стали   азмер 1800х400х1800мм ")</f>
        <v> теллаж производственный       18 4  4 полки из нержавеющей стали  стойки из оцинкованной стали   азмер 1800х400х1800мм </v>
      </c>
    </row>
    <row r="4165">
      <c r="A4165" s="35" t="s">
        <v>10120</v>
      </c>
      <c r="B4165" s="31" t="s">
        <v>10121</v>
      </c>
      <c r="C4165" s="31"/>
      <c r="D4165" s="37" t="s">
        <v>14</v>
      </c>
      <c r="E4165" s="38">
        <v>2.0</v>
      </c>
      <c r="F4165" s="38">
        <v>30.0</v>
      </c>
      <c r="G4165" s="11">
        <v>55751.0</v>
      </c>
      <c r="H4165" s="34" t="str">
        <f>IFERROR(__xludf.DUMMYFUNCTION("LOWER(REGEXREPLACE(B4165&amp;"" ""&amp;C4165,""[^а-яa-z0-9 ]"","" ""))")," теллаж производственный       8 5  4 полки из нержавеющей стали  стойки из оцинкованной стали   азмер 800х500х1800мм ")</f>
        <v> теллаж производственный       8 5  4 полки из нержавеющей стали  стойки из оцинкованной стали   азмер 800х500х1800мм </v>
      </c>
    </row>
    <row r="4166">
      <c r="A4166" s="35" t="s">
        <v>10122</v>
      </c>
      <c r="B4166" s="31" t="s">
        <v>10123</v>
      </c>
      <c r="C4166" s="31"/>
      <c r="D4166" s="37" t="s">
        <v>14</v>
      </c>
      <c r="E4166" s="38">
        <v>2.0</v>
      </c>
      <c r="F4166" s="38">
        <v>35.0</v>
      </c>
      <c r="G4166" s="11">
        <v>63718.0</v>
      </c>
      <c r="H4166" s="34" t="str">
        <f>IFERROR(__xludf.DUMMYFUNCTION("LOWER(REGEXREPLACE(B4166&amp;"" ""&amp;C4166,""[^а-яa-z0-9 ]"","" ""))")," теллаж производственный       10 5  4 полки из нержавеющей стали  стойки из оцинкованной стали   азмер 1000х500х1800мм ")</f>
        <v> теллаж производственный       10 5  4 полки из нержавеющей стали  стойки из оцинкованной стали   азмер 1000х500х1800мм </v>
      </c>
    </row>
    <row r="4167">
      <c r="A4167" s="35" t="s">
        <v>10124</v>
      </c>
      <c r="B4167" s="31" t="s">
        <v>10125</v>
      </c>
      <c r="C4167" s="31"/>
      <c r="D4167" s="37" t="s">
        <v>14</v>
      </c>
      <c r="E4167" s="38">
        <v>2.0</v>
      </c>
      <c r="F4167" s="38">
        <v>36.0</v>
      </c>
      <c r="G4167" s="11">
        <v>71670.0</v>
      </c>
      <c r="H4167" s="34" t="str">
        <f>IFERROR(__xludf.DUMMYFUNCTION("LOWER(REGEXREPLACE(B4167&amp;"" ""&amp;C4167,""[^а-яa-z0-9 ]"","" ""))")," теллаж производственный       12 5  4 полки из нержавеющей стали  стойки из оцинкованной стали   азмер 1200х500х1800мм ")</f>
        <v> теллаж производственный       12 5  4 полки из нержавеющей стали  стойки из оцинкованной стали   азмер 1200х500х1800мм </v>
      </c>
    </row>
    <row r="4168">
      <c r="A4168" s="35" t="s">
        <v>10126</v>
      </c>
      <c r="B4168" s="31" t="s">
        <v>10127</v>
      </c>
      <c r="C4168" s="31"/>
      <c r="D4168" s="37" t="s">
        <v>14</v>
      </c>
      <c r="E4168" s="38">
        <v>2.0</v>
      </c>
      <c r="F4168" s="38">
        <v>37.0</v>
      </c>
      <c r="G4168" s="11">
        <v>82271.0</v>
      </c>
      <c r="H4168" s="34" t="str">
        <f>IFERROR(__xludf.DUMMYFUNCTION("LOWER(REGEXREPLACE(B4168&amp;"" ""&amp;C4168,""[^а-яa-z0-9 ]"","" ""))")," теллаж производственный       15 5  4 полки из нержавеющей стали  стойки из оцинкованной стали   азмер 1500х500х1800мм ")</f>
        <v> теллаж производственный       15 5  4 полки из нержавеющей стали  стойки из оцинкованной стали   азмер 1500х500х1800мм </v>
      </c>
    </row>
    <row r="4169">
      <c r="A4169" s="35" t="s">
        <v>10128</v>
      </c>
      <c r="B4169" s="31" t="s">
        <v>10129</v>
      </c>
      <c r="C4169" s="31"/>
      <c r="D4169" s="37" t="s">
        <v>14</v>
      </c>
      <c r="E4169" s="38">
        <v>2.0</v>
      </c>
      <c r="F4169" s="38">
        <v>38.0</v>
      </c>
      <c r="G4169" s="11">
        <v>92872.0</v>
      </c>
      <c r="H4169" s="34" t="str">
        <f>IFERROR(__xludf.DUMMYFUNCTION("LOWER(REGEXREPLACE(B4169&amp;"" ""&amp;C4169,""[^а-яa-z0-9 ]"","" ""))")," теллаж производственный       18 5  4 полки из нержавеющей стали  стойки из оцинкованной стали   азмер 1800х500х1800мм ")</f>
        <v> теллаж производственный       18 5  4 полки из нержавеющей стали  стойки из оцинкованной стали   азмер 1800х500х1800мм </v>
      </c>
    </row>
    <row r="4170">
      <c r="A4170" s="35" t="s">
        <v>10130</v>
      </c>
      <c r="B4170" s="9" t="s">
        <v>10131</v>
      </c>
      <c r="C4170" s="31" t="s">
        <v>10132</v>
      </c>
      <c r="D4170" s="37" t="s">
        <v>14</v>
      </c>
      <c r="E4170" s="38">
        <v>2.0</v>
      </c>
      <c r="F4170" s="38">
        <v>21.0</v>
      </c>
      <c r="G4170" s="11">
        <v>167741.0</v>
      </c>
      <c r="H4170" s="34" t="str">
        <f>IFERROR(__xludf.DUMMYFUNCTION("LOWER(REGEXREPLACE(B4170&amp;"" ""&amp;C4170,""[^а-яa-z0-9 ]"","" ""))"),"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цельн"&amp;"ые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1">
      <c r="A4171" s="35" t="s">
        <v>10133</v>
      </c>
      <c r="B4171" s="9" t="s">
        <v>10134</v>
      </c>
      <c r="C4171" s="31" t="s">
        <v>10135</v>
      </c>
      <c r="D4171" s="37" t="s">
        <v>14</v>
      </c>
      <c r="E4171" s="38">
        <v>2.0</v>
      </c>
      <c r="F4171" s="38">
        <v>22.0</v>
      </c>
      <c r="G4171" s="11">
        <v>191648.0</v>
      </c>
      <c r="H4171" s="34" t="str">
        <f>IFERROR(__xludf.DUMMYFUNCTION("LOWER(REGEXREPLACE(B4171&amp;"" ""&amp;C4171,""[^а-яa-z0-9 ]"","" ""))"),"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2">
      <c r="A4172" s="35" t="s">
        <v>10136</v>
      </c>
      <c r="B4172" s="9" t="s">
        <v>10137</v>
      </c>
      <c r="C4172" s="31" t="s">
        <v>10138</v>
      </c>
      <c r="D4172" s="37" t="s">
        <v>14</v>
      </c>
      <c r="E4172" s="38">
        <v>2.0</v>
      </c>
      <c r="F4172" s="38">
        <v>25.0</v>
      </c>
      <c r="G4172" s="11">
        <v>211580.0</v>
      </c>
      <c r="H4172" s="34" t="str">
        <f>IFERROR(__xludf.DUMMYFUNCTION("LOWER(REGEXREPLACE(B4172&amp;"" ""&amp;C4172,""[^а-яa-z0-9 ]"","" ""))"),"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полк"&amp;"и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3">
      <c r="A4173" s="35" t="s">
        <v>10139</v>
      </c>
      <c r="B4173" s="9" t="s">
        <v>10140</v>
      </c>
      <c r="C4173" s="31" t="s">
        <v>10141</v>
      </c>
      <c r="D4173" s="37" t="s">
        <v>14</v>
      </c>
      <c r="E4173" s="38">
        <v>2.0</v>
      </c>
      <c r="F4173" s="38">
        <v>31.0</v>
      </c>
      <c r="G4173" s="11">
        <v>235839.0</v>
      </c>
      <c r="H4173" s="34" t="str">
        <f>IFERROR(__xludf.DUMMYFUNCTION("LOWER(REGEXREPLACE(B4173&amp;"" ""&amp;C4173,""[^а-яa-z0-9 ]"","" ""))"),"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п"&amp;"олки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опоры"&amp;" ")</f>
        <v>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4">
      <c r="A4174" s="35" t="s">
        <v>10142</v>
      </c>
      <c r="B4174" s="9" t="s">
        <v>10143</v>
      </c>
      <c r="C4174" s="31" t="s">
        <v>10141</v>
      </c>
      <c r="D4174" s="37" t="s">
        <v>14</v>
      </c>
      <c r="E4174" s="38">
        <v>2.0</v>
      </c>
      <c r="F4174" s="38">
        <v>29.0</v>
      </c>
      <c r="G4174" s="11">
        <v>220892.0</v>
      </c>
      <c r="H4174" s="34" t="str">
        <f>IFERROR(__xludf.DUMMYFUNCTION("LOWER(REGEXREPLACE(B4174&amp;"" ""&amp;C4174,""[^а-яa-z0-9 ]"","" ""))"),"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5">
      <c r="A4175" s="35" t="s">
        <v>10144</v>
      </c>
      <c r="B4175" s="9" t="s">
        <v>10145</v>
      </c>
      <c r="C4175" s="31" t="s">
        <v>10141</v>
      </c>
      <c r="D4175" s="37" t="s">
        <v>14</v>
      </c>
      <c r="E4175" s="38">
        <v>2.0</v>
      </c>
      <c r="F4175" s="38">
        <v>34.0</v>
      </c>
      <c r="G4175" s="11">
        <v>284654.0</v>
      </c>
      <c r="H4175" s="34" t="str">
        <f>IFERROR(__xludf.DUMMYFUNCTION("LOWER(REGEXREPLACE(B4175&amp;"" ""&amp;C4175,""[^а-яa-z0-9 ]"","" ""))"),"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6">
      <c r="A4176" s="35" t="s">
        <v>10146</v>
      </c>
      <c r="B4176" s="9" t="s">
        <v>10147</v>
      </c>
      <c r="C4176" s="31" t="s">
        <v>10148</v>
      </c>
      <c r="D4176" s="37" t="s">
        <v>14</v>
      </c>
      <c r="E4176" s="38">
        <v>2.0</v>
      </c>
      <c r="F4176" s="38">
        <v>25.0</v>
      </c>
      <c r="G4176" s="11">
        <v>221871.0</v>
      </c>
      <c r="H4176" s="34" t="str">
        <f>IFERROR(__xludf.DUMMYFUNCTION("LOWER(REGEXREPLACE(B4176&amp;"" ""&amp;C4176,""[^а-яa-z0-9 ]"","" ""))"),"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ол"&amp;"ки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7">
      <c r="A4177" s="35" t="s">
        <v>10149</v>
      </c>
      <c r="B4177" s="9" t="s">
        <v>10150</v>
      </c>
      <c r="C4177" s="31" t="s">
        <v>10148</v>
      </c>
      <c r="D4177" s="37" t="s">
        <v>14</v>
      </c>
      <c r="E4177" s="38">
        <v>2.0</v>
      </c>
      <c r="F4177" s="38">
        <v>26.0</v>
      </c>
      <c r="G4177" s="11">
        <v>216564.0</v>
      </c>
      <c r="H4177" s="34" t="str">
        <f>IFERROR(__xludf.DUMMYFUNCTION("LOWER(REGEXREPLACE(B4177&amp;"" ""&amp;C4177,""[^а-яa-z0-9 ]"","" ""))"),"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8">
      <c r="A4178" s="35" t="s">
        <v>10151</v>
      </c>
      <c r="B4178" s="9" t="s">
        <v>10152</v>
      </c>
      <c r="C4178" s="31" t="s">
        <v>10148</v>
      </c>
      <c r="D4178" s="37" t="s">
        <v>14</v>
      </c>
      <c r="E4178" s="38">
        <v>2.0</v>
      </c>
      <c r="F4178" s="38">
        <v>29.0</v>
      </c>
      <c r="G4178" s="11">
        <v>236495.0</v>
      </c>
      <c r="H4178" s="34" t="str">
        <f>IFERROR(__xludf.DUMMYFUNCTION("LOWER(REGEXREPLACE(B4178&amp;"" ""&amp;C4178,""[^а-яa-z0-9 ]"","" ""))"),"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9">
      <c r="A4179" s="35" t="s">
        <v>10153</v>
      </c>
      <c r="B4179" s="9" t="s">
        <v>10154</v>
      </c>
      <c r="C4179" s="31" t="s">
        <v>10148</v>
      </c>
      <c r="D4179" s="37" t="s">
        <v>14</v>
      </c>
      <c r="E4179" s="38">
        <v>2.0</v>
      </c>
      <c r="F4179" s="38">
        <v>32.0</v>
      </c>
      <c r="G4179" s="11">
        <v>245803.0</v>
      </c>
      <c r="H4179" s="34" t="str">
        <f>IFERROR(__xludf.DUMMYFUNCTION("LOWER(REGEXREPLACE(B4179&amp;"" ""&amp;C4179,""[^а-яa-z0-9 ]"","" ""))"),"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0">
      <c r="A4180" s="35" t="s">
        <v>10155</v>
      </c>
      <c r="B4180" s="9" t="s">
        <v>10156</v>
      </c>
      <c r="C4180" s="31" t="s">
        <v>10157</v>
      </c>
      <c r="D4180" s="37" t="s">
        <v>14</v>
      </c>
      <c r="E4180" s="38">
        <v>2.0</v>
      </c>
      <c r="F4180" s="38">
        <v>33.0</v>
      </c>
      <c r="G4180" s="11">
        <v>240828.0</v>
      </c>
      <c r="H4180" s="34" t="str">
        <f>IFERROR(__xludf.DUMMYFUNCTION("LOWER(REGEXREPLACE(B4180&amp;"" ""&amp;C4180,""[^а-яa-z0-9 ]"","" ""))"),"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1">
      <c r="A4181" s="35" t="s">
        <v>10158</v>
      </c>
      <c r="B4181" s="9" t="s">
        <v>10159</v>
      </c>
      <c r="C4181" s="31" t="s">
        <v>10157</v>
      </c>
      <c r="D4181" s="37" t="s">
        <v>14</v>
      </c>
      <c r="E4181" s="38">
        <v>2.0</v>
      </c>
      <c r="F4181" s="38">
        <v>32.0</v>
      </c>
      <c r="G4181" s="11">
        <v>260411.0</v>
      </c>
      <c r="H4181" s="34" t="str">
        <f>IFERROR(__xludf.DUMMYFUNCTION("LOWER(REGEXREPLACE(B4181&amp;"" ""&amp;C4181,""[^а-яa-z0-9 ]"","" ""))"),"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"&amp;"полки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2">
      <c r="A4182" s="35" t="s">
        <v>10160</v>
      </c>
      <c r="B4182" s="9" t="s">
        <v>10161</v>
      </c>
      <c r="C4182" s="31" t="s">
        <v>10157</v>
      </c>
      <c r="D4182" s="37" t="s">
        <v>14</v>
      </c>
      <c r="E4182" s="38">
        <v>2.0</v>
      </c>
      <c r="F4182" s="38">
        <v>38.0</v>
      </c>
      <c r="G4182" s="11">
        <v>309570.0</v>
      </c>
      <c r="H4182" s="34" t="str">
        <f>IFERROR(__xludf.DUMMYFUNCTION("LOWER(REGEXREPLACE(B4182&amp;"" ""&amp;C4182,""[^а-яa-z0-9 ]"","" ""))"),"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3">
      <c r="A4183" s="35" t="s">
        <v>10162</v>
      </c>
      <c r="B4183" s="9" t="s">
        <v>10163</v>
      </c>
      <c r="C4183" s="31" t="s">
        <v>10157</v>
      </c>
      <c r="D4183" s="37" t="s">
        <v>14</v>
      </c>
      <c r="E4183" s="38">
        <v>2.0</v>
      </c>
      <c r="F4183" s="38">
        <v>38.0</v>
      </c>
      <c r="G4183" s="11">
        <v>318865.0</v>
      </c>
      <c r="H4183" s="34" t="str">
        <f>IFERROR(__xludf.DUMMYFUNCTION("LOWER(REGEXREPLACE(B4183&amp;"" ""&amp;C4183,""[^а-яa-z0-9 ]"","" ""))"),"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4">
      <c r="A4184" s="35" t="s">
        <v>10164</v>
      </c>
      <c r="B4184" s="9" t="s">
        <v>10165</v>
      </c>
      <c r="C4184" s="31" t="s">
        <v>10157</v>
      </c>
      <c r="D4184" s="37" t="s">
        <v>14</v>
      </c>
      <c r="E4184" s="38">
        <v>2.0</v>
      </c>
      <c r="F4184" s="38">
        <v>45.0</v>
      </c>
      <c r="G4184" s="11">
        <v>362717.0</v>
      </c>
      <c r="H4184" s="34" t="str">
        <f>IFERROR(__xludf.DUMMYFUNCTION("LOWER(REGEXREPLACE(B4184&amp;"" ""&amp;C4184,""[^а-яa-z0-9 ]"","" ""))"),"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5">
      <c r="A4185" s="35" t="s">
        <v>10166</v>
      </c>
      <c r="B4185" s="9" t="s">
        <v>10167</v>
      </c>
      <c r="C4185" s="31" t="s">
        <v>10168</v>
      </c>
      <c r="D4185" s="37" t="s">
        <v>14</v>
      </c>
      <c r="E4185" s="38">
        <v>2.0</v>
      </c>
      <c r="F4185" s="38">
        <v>26.0</v>
      </c>
      <c r="G4185" s="11">
        <v>186685.0</v>
      </c>
      <c r="H4185" s="34" t="str">
        <f>IFERROR(__xludf.DUMMYFUNCTION("LOWER(REGEXREPLACE(B4185&amp;"" ""&amp;C4185,""[^а-яa-z0-9 ]"","" ""))"),"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олк"&amp;"и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"&amp;" аг регулировки высоты полок 100 мм ")</f>
        <v>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6">
      <c r="A4186" s="35" t="s">
        <v>10169</v>
      </c>
      <c r="B4186" s="9" t="s">
        <v>10170</v>
      </c>
      <c r="C4186" s="31" t="s">
        <v>10171</v>
      </c>
      <c r="D4186" s="37" t="s">
        <v>14</v>
      </c>
      <c r="E4186" s="38">
        <v>2.0</v>
      </c>
      <c r="F4186" s="38">
        <v>30.0</v>
      </c>
      <c r="G4186" s="11">
        <v>215916.0</v>
      </c>
      <c r="H4186" s="34" t="str">
        <f>IFERROR(__xludf.DUMMYFUNCTION("LOWER(REGEXREPLACE(B4186&amp;"" ""&amp;C4186,""[^а-яa-z0-9 ]"","" ""))"),"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стойки"&amp;"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вы"&amp;"соты полок 100 мм ")</f>
        <v>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7">
      <c r="A4187" s="35" t="s">
        <v>10172</v>
      </c>
      <c r="B4187" s="9" t="s">
        <v>10173</v>
      </c>
      <c r="C4187" s="31" t="s">
        <v>10171</v>
      </c>
      <c r="D4187" s="37" t="s">
        <v>14</v>
      </c>
      <c r="E4187" s="38">
        <v>2.0</v>
      </c>
      <c r="F4187" s="38">
        <v>27.0</v>
      </c>
      <c r="G4187" s="11">
        <v>215904.0</v>
      </c>
      <c r="H4187" s="34" t="str">
        <f>IFERROR(__xludf.DUMMYFUNCTION("LOWER(REGEXREPLACE(B4187&amp;"" ""&amp;C4187,""[^а-яa-z0-9 ]"","" ""))"),"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8">
      <c r="A4188" s="35" t="s">
        <v>10174</v>
      </c>
      <c r="B4188" s="9" t="s">
        <v>10175</v>
      </c>
      <c r="C4188" s="31" t="s">
        <v>10171</v>
      </c>
      <c r="D4188" s="37" t="s">
        <v>14</v>
      </c>
      <c r="E4188" s="38">
        <v>2.0</v>
      </c>
      <c r="F4188" s="38">
        <v>31.0</v>
      </c>
      <c r="G4188" s="11">
        <v>232520.0</v>
      </c>
      <c r="H4188" s="34" t="str">
        <f>IFERROR(__xludf.DUMMYFUNCTION("LOWER(REGEXREPLACE(B4188&amp;"" ""&amp;C4188,""[^а-яa-z0-9 ]"","" ""))"),"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9">
      <c r="A4189" s="35" t="s">
        <v>10176</v>
      </c>
      <c r="B4189" s="9" t="s">
        <v>10177</v>
      </c>
      <c r="C4189" s="31" t="s">
        <v>10178</v>
      </c>
      <c r="D4189" s="37" t="s">
        <v>14</v>
      </c>
      <c r="E4189" s="38">
        <v>2.0</v>
      </c>
      <c r="F4189" s="38">
        <v>30.0</v>
      </c>
      <c r="G4189" s="11">
        <v>302233.0</v>
      </c>
      <c r="H4189" s="34" t="str">
        <f>IFERROR(__xludf.DUMMYFUNCTION("LOWER(REGEXREPLACE(B4189&amp;"" ""&amp;C4189,""[^а-яa-z0-9 ]"","" ""))"),"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оцин"&amp;"кованная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по"&amp;"лок 100 мм ")</f>
        <v>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0">
      <c r="A4190" s="35" t="s">
        <v>10179</v>
      </c>
      <c r="B4190" s="9" t="s">
        <v>10180</v>
      </c>
      <c r="C4190" s="31" t="s">
        <v>10181</v>
      </c>
      <c r="D4190" s="37" t="s">
        <v>14</v>
      </c>
      <c r="E4190" s="38">
        <v>2.0</v>
      </c>
      <c r="F4190" s="38">
        <v>33.0</v>
      </c>
      <c r="G4190" s="11">
        <v>256431.0</v>
      </c>
      <c r="H4190" s="34" t="str">
        <f>IFERROR(__xludf.DUMMYFUNCTION("LOWER(REGEXREPLACE(B4190&amp;"" ""&amp;C4190,""[^а-яa-z0-9 ]"","" ""))"),"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сплошны"&amp;"е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регу"&amp;"лировки высоты полок 100 мм ")</f>
        <v>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1">
      <c r="A4191" s="35" t="s">
        <v>10182</v>
      </c>
      <c r="B4191" s="9" t="s">
        <v>10183</v>
      </c>
      <c r="C4191" s="31" t="s">
        <v>10184</v>
      </c>
      <c r="D4191" s="37" t="s">
        <v>14</v>
      </c>
      <c r="E4191" s="38">
        <v>2.0</v>
      </c>
      <c r="F4191" s="38">
        <v>34.0</v>
      </c>
      <c r="G4191" s="11">
        <v>259755.0</v>
      </c>
      <c r="H4191" s="34" t="str">
        <f>IFERROR(__xludf.DUMMYFUNCTION("LOWER(REGEXREPLACE(B4191&amp;"" ""&amp;C4191,""[^а-яa-z0-9 ]"","" ""))"),"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регул"&amp;"ировки высоты полок 100 мм ")</f>
        <v>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2">
      <c r="A4192" s="35" t="s">
        <v>10185</v>
      </c>
      <c r="B4192" s="9" t="s">
        <v>10186</v>
      </c>
      <c r="C4192" s="31" t="s">
        <v>10187</v>
      </c>
      <c r="D4192" s="37" t="s">
        <v>14</v>
      </c>
      <c r="E4192" s="38">
        <v>2.0</v>
      </c>
      <c r="F4192" s="38">
        <v>29.0</v>
      </c>
      <c r="G4192" s="11">
        <v>222552.0</v>
      </c>
      <c r="H4192" s="34" t="str">
        <f>IFERROR(__xludf.DUMMYFUNCTION("LOWER(REGEXREPLACE(B4192&amp;"" ""&amp;C4192,""[^а-яa-z0-9 ]"","" ""))"),"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регули"&amp;"ровки высоты полок 100 мм ")</f>
        <v>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3">
      <c r="A4193" s="35" t="s">
        <v>10188</v>
      </c>
      <c r="B4193" s="31" t="s">
        <v>10189</v>
      </c>
      <c r="C4193" s="31"/>
      <c r="D4193" s="37" t="s">
        <v>14</v>
      </c>
      <c r="E4193" s="10"/>
      <c r="F4193" s="36"/>
      <c r="G4193" s="11"/>
      <c r="H4193" s="34" t="str">
        <f>IFERROR(__xludf.DUMMYFUNCTION("LOWER(REGEXREPLACE(B4193&amp;"" ""&amp;C4193,""[^а-яa-z0-9 ]"","" ""))")," теллаж для тарелок ")</f>
        <v> теллаж для тарелок </v>
      </c>
    </row>
    <row r="4194">
      <c r="A4194" s="35" t="s">
        <v>10190</v>
      </c>
      <c r="B4194" s="31" t="s">
        <v>10191</v>
      </c>
      <c r="C4194" s="31"/>
      <c r="D4194" s="37" t="s">
        <v>14</v>
      </c>
      <c r="E4194" s="10"/>
      <c r="F4194" s="38">
        <v>33.0</v>
      </c>
      <c r="G4194" s="11">
        <v>414451.0</v>
      </c>
      <c r="H4194" s="34" t="str">
        <f>IFERROR(__xludf.DUMMYFUNCTION("LOWER(REGEXREPLACE(B4194&amp;"" ""&amp;C4194,""[^а-яa-z0-9 ]"","" ""))")," теллаж для тарелок       1200 02         1 1200   1200х300х1670  ")</f>
        <v> теллаж для тарелок       1200 02         1 1200   1200х300х1670  </v>
      </c>
    </row>
    <row r="4195">
      <c r="A4195" s="35" t="s">
        <v>10192</v>
      </c>
      <c r="B4195" s="9" t="s">
        <v>10193</v>
      </c>
      <c r="C4195" s="31"/>
      <c r="D4195" s="37" t="s">
        <v>14</v>
      </c>
      <c r="E4195" s="10"/>
      <c r="F4195" s="38">
        <v>32.0</v>
      </c>
      <c r="G4195" s="11">
        <v>647979.0</v>
      </c>
      <c r="H4195" s="34" t="str">
        <f>IFERROR(__xludf.DUMMYFUNCTION("LOWER(REGEXREPLACE(B4195&amp;"" ""&amp;C4195,""[^а-яa-z0-9 ]"","" ""))")," теллаж для тарелок  на 192 тарелки  1200х400х1805  разборный  из нержавеющей стали  ножки труба 40 40  4  полки    4  1200 400    ")</f>
        <v> теллаж для тарелок  на 192 тарелки  1200х400х1805  разборный  из нержавеющей стали  ножки труба 40 40  4  полки    4  1200 400    </v>
      </c>
    </row>
    <row r="4196">
      <c r="A4196" s="35" t="s">
        <v>10194</v>
      </c>
      <c r="B4196" s="9" t="s">
        <v>10195</v>
      </c>
      <c r="C4196" s="31" t="s">
        <v>10196</v>
      </c>
      <c r="D4196" s="37" t="s">
        <v>14</v>
      </c>
      <c r="E4196" s="38">
        <v>2.0</v>
      </c>
      <c r="F4196" s="38">
        <v>45.0</v>
      </c>
      <c r="G4196" s="11">
        <v>334545.0</v>
      </c>
      <c r="H4196" s="34" t="str">
        <f>IFERROR(__xludf.DUMMYFUNCTION("LOWER(REGEXREPLACE(B4196&amp;"" ""&amp;C4196,""[^а-яa-z0-9 ]"","" ""))"),"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1000х500х1500м"&amp;"м ")</f>
        <v>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1000х500х1500мм </v>
      </c>
    </row>
    <row r="4197">
      <c r="A4197" s="35" t="s">
        <v>10197</v>
      </c>
      <c r="B4197" s="9" t="s">
        <v>10198</v>
      </c>
      <c r="C4197" s="31"/>
      <c r="D4197" s="37" t="s">
        <v>14</v>
      </c>
      <c r="E4197" s="38">
        <v>2.0</v>
      </c>
      <c r="F4197" s="38">
        <v>11.0</v>
      </c>
      <c r="G4197" s="11">
        <v>210858.0</v>
      </c>
      <c r="H4197" s="34" t="str">
        <f>IFERROR(__xludf.DUMMYFUNCTION("LOWER(REGEXREPLACE(B4197&amp;"" ""&amp;C4197,""[^а-яa-z0-9 ]"","" ""))"),"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f>
        <v>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v>
      </c>
    </row>
    <row r="4198">
      <c r="A4198" s="35" t="s">
        <v>10199</v>
      </c>
      <c r="B4198" s="31" t="s">
        <v>10200</v>
      </c>
      <c r="C4198" s="31"/>
      <c r="D4198" s="37" t="s">
        <v>14</v>
      </c>
      <c r="E4198" s="38">
        <v>2.0</v>
      </c>
      <c r="F4198" s="38">
        <v>17.0</v>
      </c>
      <c r="G4198" s="11">
        <v>264001.0</v>
      </c>
      <c r="H4198" s="34" t="str">
        <f>IFERROR(__xludf.DUMMYFUNCTION("LOWER(REGEXREPLACE(B4198&amp;"" ""&amp;C4198,""[^а-яa-z0-9 ]"","" ""))"),"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f>
        <v>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v>
      </c>
    </row>
    <row r="4199">
      <c r="A4199" s="35" t="s">
        <v>10201</v>
      </c>
      <c r="B4199" s="31" t="s">
        <v>10202</v>
      </c>
      <c r="C4199" s="31"/>
      <c r="D4199" s="37" t="s">
        <v>14</v>
      </c>
      <c r="E4199" s="38">
        <v>2.0</v>
      </c>
      <c r="F4199" s="38">
        <v>24.0</v>
      </c>
      <c r="G4199" s="11">
        <v>224191.0</v>
      </c>
      <c r="H4199" s="34" t="str">
        <f>IFERROR(__xludf.DUMMYFUNCTION("LOWER(REGEXREPLACE(B4199&amp;"" ""&amp;C4199,""[^а-яa-z0-9 ]"","" ""))"),"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f>
        <v>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v>
      </c>
    </row>
    <row r="4200">
      <c r="A4200" s="35" t="s">
        <v>10203</v>
      </c>
      <c r="B4200" s="31" t="s">
        <v>10204</v>
      </c>
      <c r="C4200" s="31"/>
      <c r="D4200" s="37" t="s">
        <v>14</v>
      </c>
      <c r="E4200" s="38">
        <v>2.0</v>
      </c>
      <c r="F4200" s="38">
        <v>18.0</v>
      </c>
      <c r="G4200" s="11">
        <v>240766.0</v>
      </c>
      <c r="H4200" s="34" t="str">
        <f>IFERROR(__xludf.DUMMYFUNCTION("LOWER(REGEXREPLACE(B4200&amp;"" ""&amp;C4200,""[^а-яa-z0-9 ]"","" ""))"),"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f>
        <v>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v>
      </c>
    </row>
    <row r="4201">
      <c r="A4201" s="35" t="s">
        <v>10205</v>
      </c>
      <c r="B4201" s="31" t="s">
        <v>10206</v>
      </c>
      <c r="C4201" s="31"/>
      <c r="D4201" s="37" t="s">
        <v>14</v>
      </c>
      <c r="E4201" s="38">
        <v>2.0</v>
      </c>
      <c r="F4201" s="38">
        <v>30.0</v>
      </c>
      <c r="G4201" s="11">
        <v>240815.0</v>
      </c>
      <c r="H4201" s="34" t="str">
        <f>IFERROR(__xludf.DUMMYFUNCTION("LOWER(REGEXREPLACE(B4201&amp;"" ""&amp;C4201,""[^а-яa-z0-9 ]"","" ""))"),"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f>
        <v>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v>
      </c>
    </row>
    <row r="4202">
      <c r="A4202" s="35" t="s">
        <v>10207</v>
      </c>
      <c r="B4202" s="31" t="s">
        <v>10208</v>
      </c>
      <c r="C4202" s="31"/>
      <c r="D4202" s="37" t="s">
        <v>14</v>
      </c>
      <c r="E4202" s="38">
        <v>2.0</v>
      </c>
      <c r="F4202" s="38">
        <v>16.0</v>
      </c>
      <c r="G4202" s="11">
        <v>255697.0</v>
      </c>
      <c r="H4202" s="34" t="str">
        <f>IFERROR(__xludf.DUMMYFUNCTION("LOWER(REGEXREPLACE(B4202&amp;"" ""&amp;C4202,""[^а-яa-z0-9 ]"","" ""))")," теллаж металлический для посуды из нержавеющей стали     1 03  размеры 1200х450х1700 мм  4 полки  1 поддон  4 решетчатые полки   олщина стойки и полок   0 8 мм ")</f>
        <v> теллаж металлический для посуды из нержавеющей стали     1 03  размеры 1200х450х1700 мм  4 полки  1 поддон  4 решетчатые полки   олщина стойки и полок   0 8 мм </v>
      </c>
    </row>
    <row r="4203">
      <c r="A4203" s="35" t="s">
        <v>10209</v>
      </c>
      <c r="B4203" s="9" t="s">
        <v>10210</v>
      </c>
      <c r="C4203" s="31"/>
      <c r="D4203" s="37" t="s">
        <v>14</v>
      </c>
      <c r="E4203" s="38">
        <v>2.0</v>
      </c>
      <c r="F4203" s="38">
        <v>21.0</v>
      </c>
      <c r="G4203" s="11">
        <v>313816.0</v>
      </c>
      <c r="H4203" s="34" t="str">
        <f>IFERROR(__xludf.DUMMYFUNCTION("LOWER(REGEXREPLACE(B4203&amp;"" ""&amp;C4203,""[^а-яa-z0-9 ]"","" ""))")," теллаж металлический для посуды из нержавеющей стали     1 06  5 полок  1 поддон  2 решетчатые полки  3 сплошные полки   олщина стойки и полок   0 8 мм ")</f>
        <v> теллаж металлический для посуды из нержавеющей стали     1 06  5 полок  1 поддон  2 решетчатые полки  3 сплошные полки   олщина стойки и полок   0 8 мм </v>
      </c>
    </row>
    <row r="4204">
      <c r="A4204" s="35" t="s">
        <v>10211</v>
      </c>
      <c r="B4204" s="31" t="s">
        <v>10212</v>
      </c>
      <c r="C4204" s="31"/>
      <c r="D4204" s="37" t="s">
        <v>14</v>
      </c>
      <c r="E4204" s="38">
        <v>2.0</v>
      </c>
      <c r="F4204" s="38">
        <v>25.0</v>
      </c>
      <c r="G4204" s="11">
        <v>300553.0</v>
      </c>
      <c r="H4204" s="34" t="str">
        <f>IFERROR(__xludf.DUMMYFUNCTION("LOWER(REGEXREPLACE(B4204&amp;"" ""&amp;C4204,""[^а-яa-z0-9 ]"","" ""))"),"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f>
        <v>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v>
      </c>
    </row>
    <row r="4205">
      <c r="A4205" s="35" t="s">
        <v>10213</v>
      </c>
      <c r="B4205" s="31" t="s">
        <v>10214</v>
      </c>
      <c r="C4205" s="31"/>
      <c r="D4205" s="37" t="s">
        <v>14</v>
      </c>
      <c r="E4205" s="38">
        <v>2.0</v>
      </c>
      <c r="F4205" s="38">
        <v>30.0</v>
      </c>
      <c r="G4205" s="11">
        <v>283974.0</v>
      </c>
      <c r="H4205" s="34" t="str">
        <f>IFERROR(__xludf.DUMMYFUNCTION("LOWER(REGEXREPLACE(B4205&amp;"" ""&amp;C4205,""[^а-яa-z0-9 ]"","" ""))"),"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f>
        <v>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v>
      </c>
    </row>
    <row r="4206">
      <c r="A4206" s="35" t="s">
        <v>10215</v>
      </c>
      <c r="B4206" s="31" t="s">
        <v>10216</v>
      </c>
      <c r="C4206" s="31"/>
      <c r="D4206" s="37" t="s">
        <v>14</v>
      </c>
      <c r="E4206" s="10"/>
      <c r="F4206" s="38">
        <v>27.0</v>
      </c>
      <c r="G4206" s="11">
        <v>225275.0</v>
      </c>
      <c r="H4206" s="34" t="str">
        <f>IFERROR(__xludf.DUMMYFUNCTION("LOWER(REGEXREPLACE(B4206&amp;"" ""&amp;C4206,""[^а-яa-z0-9 ]"","" ""))")," тол производственный       18 7    1800х700х850  ")</f>
        <v> тол производственный       18 7    1800х700х850  </v>
      </c>
    </row>
    <row r="4207">
      <c r="A4207" s="35" t="s">
        <v>10217</v>
      </c>
      <c r="B4207" s="31" t="s">
        <v>10218</v>
      </c>
      <c r="C4207" s="31"/>
      <c r="D4207" s="37" t="s">
        <v>14</v>
      </c>
      <c r="E4207" s="10"/>
      <c r="F4207" s="38">
        <v>27.0</v>
      </c>
      <c r="G4207" s="11">
        <v>96214.0</v>
      </c>
      <c r="H4207" s="34" t="str">
        <f>IFERROR(__xludf.DUMMYFUNCTION("LOWER(REGEXREPLACE(B4207&amp;"" ""&amp;C4207,""[^а-яa-z0-9 ]"","" ""))")," тол производственный       17 7    1700х700х850  ")</f>
        <v> тол производственный       17 7    1700х700х850  </v>
      </c>
    </row>
    <row r="4208">
      <c r="A4208" s="35" t="s">
        <v>10219</v>
      </c>
      <c r="B4208" s="31" t="s">
        <v>10220</v>
      </c>
      <c r="C4208" s="31"/>
      <c r="D4208" s="37" t="s">
        <v>14</v>
      </c>
      <c r="E4208" s="10"/>
      <c r="F4208" s="39">
        <v>37.6</v>
      </c>
      <c r="G4208" s="11">
        <v>193681.0</v>
      </c>
      <c r="H4208" s="34" t="str">
        <f>IFERROR(__xludf.DUMMYFUNCTION("LOWER(REGEXREPLACE(B4208&amp;"" ""&amp;C4208,""[^а-яa-z0-9 ]"","" ""))")," тол производственный       17 6    1700х600х850  ")</f>
        <v> тол производственный       17 6    1700х600х850  </v>
      </c>
    </row>
    <row r="4209">
      <c r="A4209" s="35" t="s">
        <v>10221</v>
      </c>
      <c r="B4209" s="31" t="s">
        <v>10222</v>
      </c>
      <c r="C4209" s="31" t="s">
        <v>10223</v>
      </c>
      <c r="D4209" s="37" t="s">
        <v>14</v>
      </c>
      <c r="E4209" s="10"/>
      <c r="F4209" s="39">
        <v>27.5</v>
      </c>
      <c r="G4209" s="11">
        <v>195055.0</v>
      </c>
      <c r="H4209" s="34" t="str">
        <f>IFERROR(__xludf.DUMMYFUNCTION("LOWER(REGEXREPLACE(B4209&amp;"" ""&amp;C4209,""[^а-яa-z0-9 ]"","" ""))"),"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0">
      <c r="A4210" s="35" t="s">
        <v>10224</v>
      </c>
      <c r="B4210" s="31" t="s">
        <v>10225</v>
      </c>
      <c r="C4210" s="31"/>
      <c r="D4210" s="37" t="s">
        <v>14</v>
      </c>
      <c r="E4210" s="10"/>
      <c r="F4210" s="39">
        <v>22.1</v>
      </c>
      <c r="G4210" s="11">
        <v>145055.0</v>
      </c>
      <c r="H4210" s="34" t="str">
        <f>IFERROR(__xludf.DUMMYFUNCTION("LOWER(REGEXREPLACE(B4210&amp;"" ""&amp;C4210,""[^а-яa-z0-9 ]"","" ""))")," тол производственный      12 6  1200х600х850  ")</f>
        <v> тол производственный      12 6  1200х600х850  </v>
      </c>
    </row>
    <row r="4211">
      <c r="A4211" s="35" t="s">
        <v>10226</v>
      </c>
      <c r="B4211" s="31" t="s">
        <v>10227</v>
      </c>
      <c r="C4211" s="31" t="s">
        <v>10223</v>
      </c>
      <c r="D4211" s="37" t="s">
        <v>14</v>
      </c>
      <c r="E4211" s="10"/>
      <c r="F4211" s="40">
        <v>28.11</v>
      </c>
      <c r="G4211" s="11">
        <v>74232.0</v>
      </c>
      <c r="H4211" s="34" t="str">
        <f>IFERROR(__xludf.DUMMYFUNCTION("LOWER(REGEXREPLACE(B4211&amp;"" ""&amp;C4211,""[^а-яa-z0-9 ]"","" ""))"),"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2">
      <c r="A4212" s="35" t="s">
        <v>10228</v>
      </c>
      <c r="B4212" s="31" t="s">
        <v>10229</v>
      </c>
      <c r="C4212" s="31"/>
      <c r="D4212" s="37" t="s">
        <v>14</v>
      </c>
      <c r="E4212" s="10"/>
      <c r="F4212" s="39">
        <v>26.1</v>
      </c>
      <c r="G4212" s="11">
        <v>145055.0</v>
      </c>
      <c r="H4212" s="34" t="str">
        <f>IFERROR(__xludf.DUMMYFUNCTION("LOWER(REGEXREPLACE(B4212&amp;"" ""&amp;C4212,""[^а-яa-z0-9 ]"","" ""))")," тол производственный       12 6    1200х600х850  ")</f>
        <v> тол производственный       12 6    1200х600х850  </v>
      </c>
    </row>
    <row r="4213">
      <c r="A4213" s="35" t="s">
        <v>10230</v>
      </c>
      <c r="B4213" s="31" t="s">
        <v>10231</v>
      </c>
      <c r="C4213" s="31"/>
      <c r="D4213" s="37" t="s">
        <v>14</v>
      </c>
      <c r="E4213" s="10"/>
      <c r="F4213" s="39">
        <v>22.4</v>
      </c>
      <c r="G4213" s="11">
        <v>131868.0</v>
      </c>
      <c r="H4213" s="34" t="str">
        <f>IFERROR(__xludf.DUMMYFUNCTION("LOWER(REGEXREPLACE(B4213&amp;"" ""&amp;C4213,""[^а-яa-z0-9 ]"","" ""))")," тол производственный       10 6    1000х600х850  ")</f>
        <v> тол производственный       10 6    1000х600х850  </v>
      </c>
    </row>
    <row r="4214">
      <c r="A4214" s="35" t="s">
        <v>10232</v>
      </c>
      <c r="B4214" s="31" t="s">
        <v>10233</v>
      </c>
      <c r="C4214" s="31"/>
      <c r="D4214" s="37" t="s">
        <v>14</v>
      </c>
      <c r="E4214" s="10"/>
      <c r="F4214" s="38">
        <v>18.0</v>
      </c>
      <c r="G4214" s="11">
        <v>214286.0</v>
      </c>
      <c r="H4214" s="34" t="str">
        <f>IFERROR(__xludf.DUMMYFUNCTION("LOWER(REGEXREPLACE(B4214&amp;"" ""&amp;C4214,""[^а-яa-z0-9 ]"","" ""))")," тол раздаточный      6 2  704х635 мм  для чистой посуды  для туннельных машин     ")</f>
        <v> тол раздаточный      6 2  704х635 мм  для чистой посуды  для туннельных машин     </v>
      </c>
    </row>
    <row r="4215">
      <c r="A4215" s="35" t="s">
        <v>10234</v>
      </c>
      <c r="B4215" s="31" t="s">
        <v>10235</v>
      </c>
      <c r="C4215" s="31"/>
      <c r="D4215" s="37" t="s">
        <v>14</v>
      </c>
      <c r="E4215" s="10"/>
      <c r="F4215" s="36"/>
      <c r="G4215" s="11"/>
      <c r="H4215" s="34" t="str">
        <f>IFERROR(__xludf.DUMMYFUNCTION("LOWER(REGEXREPLACE(B4215&amp;"" ""&amp;C4215,""[^а-яa-z0-9 ]"","" ""))")," тол для сбора отходов ")</f>
        <v> тол для сбора отходов </v>
      </c>
    </row>
    <row r="4216">
      <c r="A4216" s="35" t="s">
        <v>10236</v>
      </c>
      <c r="B4216" s="9" t="s">
        <v>10237</v>
      </c>
      <c r="C4216" s="31"/>
      <c r="D4216" s="37" t="s">
        <v>14</v>
      </c>
      <c r="E4216" s="10"/>
      <c r="F4216" s="39">
        <v>12.6</v>
      </c>
      <c r="G4216" s="11">
        <v>103292.0</v>
      </c>
      <c r="H4216" s="34" t="str">
        <f>IFERROR(__xludf.DUMMYFUNCTION("LOWER(REGEXREPLACE(B4216&amp;"" ""&amp;C4216,""[^а-яa-z0-9 ]"","" ""))")," тол для сбора отходов        6 6  600х600х850  ")</f>
        <v> тол для сбора отходов        6 6  600х600х850  </v>
      </c>
    </row>
    <row r="4217">
      <c r="A4217" s="35" t="s">
        <v>10238</v>
      </c>
      <c r="B4217" s="9" t="s">
        <v>10239</v>
      </c>
      <c r="C4217" s="31"/>
      <c r="D4217" s="37" t="s">
        <v>14</v>
      </c>
      <c r="E4217" s="10"/>
      <c r="F4217" s="38">
        <v>14.0</v>
      </c>
      <c r="G4217" s="11">
        <v>139216.0</v>
      </c>
      <c r="H4217" s="34" t="str">
        <f>IFERROR(__xludf.DUMMYFUNCTION("LOWER(REGEXREPLACE(B4217&amp;"" ""&amp;C4217,""[^а-яa-z0-9 ]"","" ""))")," тол для сбора отходов из нержавеющей стали 600х700х850 мм     600 700      ")</f>
        <v> тол для сбора отходов из нержавеющей стали 600х700х850 мм     600 700      </v>
      </c>
    </row>
    <row r="4218">
      <c r="A4218" s="35" t="s">
        <v>10240</v>
      </c>
      <c r="B4218" s="9" t="s">
        <v>10241</v>
      </c>
      <c r="C4218" s="31" t="s">
        <v>10242</v>
      </c>
      <c r="D4218" s="37" t="s">
        <v>14</v>
      </c>
      <c r="E4218" s="38">
        <v>2.0</v>
      </c>
      <c r="F4218" s="38">
        <v>16.0</v>
      </c>
      <c r="G4218" s="11">
        <v>124562.0</v>
      </c>
      <c r="H4218" s="34" t="str">
        <f>IFERROR(__xludf.DUMMYFUNCTION("LOWER(REGEXREPLACE(B4218&amp;"" ""&amp;C4218,""[^а-яa-z0-9 ]"","" ""))"),"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19">
      <c r="A4219" s="35" t="s">
        <v>10243</v>
      </c>
      <c r="B4219" s="31" t="s">
        <v>10244</v>
      </c>
      <c r="C4219" s="31" t="s">
        <v>10242</v>
      </c>
      <c r="D4219" s="37" t="s">
        <v>14</v>
      </c>
      <c r="E4219" s="38">
        <v>2.0</v>
      </c>
      <c r="F4219" s="38">
        <v>18.0</v>
      </c>
      <c r="G4219" s="11">
        <v>146149.0</v>
      </c>
      <c r="H4219" s="34" t="str">
        <f>IFERROR(__xludf.DUMMYFUNCTION("LOWER(REGEXREPLACE(B4219&amp;"" ""&amp;C4219,""[^а-яa-z0-9 ]"","" ""))"),"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0">
      <c r="A4220" s="35" t="s">
        <v>10245</v>
      </c>
      <c r="B4220" s="9" t="s">
        <v>10246</v>
      </c>
      <c r="C4220" s="31" t="s">
        <v>10242</v>
      </c>
      <c r="D4220" s="37" t="s">
        <v>14</v>
      </c>
      <c r="E4220" s="38">
        <v>2.0</v>
      </c>
      <c r="F4220" s="38">
        <v>24.0</v>
      </c>
      <c r="G4220" s="11">
        <v>192652.0</v>
      </c>
      <c r="H4220" s="34" t="str">
        <f>IFERROR(__xludf.DUMMYFUNCTION("LOWER(REGEXREPLACE(B4220&amp;"" ""&amp;C4220,""[^а-яa-z0-9 ]"","" ""))"),"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о"&amp;"тходов 200 мм  отступ для коммуникаций 100 мм  ножки труба 40х40 мм нерж сталь  нижняя обвязка с 3 сторон нерж сталь  4 регулируемые по высоте пластиковые опоры")</f>
        <v>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1">
      <c r="A4221" s="35" t="s">
        <v>10247</v>
      </c>
      <c r="B4221" s="31" t="s">
        <v>10248</v>
      </c>
      <c r="C4221" s="31" t="s">
        <v>10249</v>
      </c>
      <c r="D4221" s="37" t="s">
        <v>14</v>
      </c>
      <c r="E4221" s="38">
        <v>2.0</v>
      </c>
      <c r="F4221" s="38">
        <v>28.0</v>
      </c>
      <c r="G4221" s="11">
        <v>217568.0</v>
      </c>
      <c r="H4221" s="34" t="str">
        <f>IFERROR(__xludf.DUMMYFUNCTION("LOWER(REGEXREPLACE(B4221&amp;"" ""&amp;C4221,""[^а-яa-z0-9 ]"","" ""))"),"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"&amp;"мм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f>
        <v>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v>
      </c>
    </row>
    <row r="4222">
      <c r="A4222" s="35" t="s">
        <v>10250</v>
      </c>
      <c r="B4222" s="9" t="s">
        <v>10251</v>
      </c>
      <c r="C4222" s="31" t="s">
        <v>10252</v>
      </c>
      <c r="D4222" s="37" t="s">
        <v>14</v>
      </c>
      <c r="E4222" s="38">
        <v>2.0</v>
      </c>
      <c r="F4222" s="38">
        <v>17.0</v>
      </c>
      <c r="G4222" s="11">
        <v>107966.0</v>
      </c>
      <c r="H4222" s="34" t="str">
        <f>IFERROR(__xludf.DUMMYFUNCTION("LOWER(REGEXREPLACE(B4222&amp;"" ""&amp;C4222,""[^а-яa-z0-9 ]"","" ""))"),"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нерж"&amp;"авеющая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регул"&amp;"ируемые по высоте пластиковые опоры   тступ для коммуникаций 50 мм ")</f>
        <v>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регулируемые по высоте пластиковые опоры   тступ для коммуникаций 50 мм </v>
      </c>
    </row>
    <row r="4223">
      <c r="A4223" s="35" t="s">
        <v>10253</v>
      </c>
      <c r="B4223" s="31" t="s">
        <v>10254</v>
      </c>
      <c r="C4223" s="31" t="s">
        <v>10255</v>
      </c>
      <c r="D4223" s="37" t="s">
        <v>14</v>
      </c>
      <c r="E4223" s="10"/>
      <c r="F4223" s="39">
        <v>22.7</v>
      </c>
      <c r="G4223" s="11">
        <v>182843.0</v>
      </c>
      <c r="H4223" s="34" t="str">
        <f>IFERROR(__xludf.DUMMYFUNCTION("LOWER(REGEXREPLACE(B4223&amp;"" ""&amp;C4223,""[^а-яa-z0-9 ]"","" ""))"),"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f>
        <v>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v>
      </c>
    </row>
    <row r="4224">
      <c r="A4224" s="35" t="s">
        <v>10256</v>
      </c>
      <c r="B4224" s="31" t="s">
        <v>10257</v>
      </c>
      <c r="C4224" s="31" t="s">
        <v>10258</v>
      </c>
      <c r="D4224" s="37" t="s">
        <v>14</v>
      </c>
      <c r="E4224" s="10"/>
      <c r="F4224" s="38">
        <v>16.0</v>
      </c>
      <c r="G4224" s="11">
        <v>72386.0</v>
      </c>
      <c r="H4224" s="34" t="str">
        <f>IFERROR(__xludf.DUMMYFUNCTION("LOWER(REGEXREPLACE(B4224&amp;"" ""&amp;C4224,""[^а-яa-z0-9 ]"","" ""))"),"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f>
        <v>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v>
      </c>
    </row>
    <row r="4225">
      <c r="A4225" s="35" t="s">
        <v>10259</v>
      </c>
      <c r="B4225" s="31" t="s">
        <v>10260</v>
      </c>
      <c r="C4225" s="31"/>
      <c r="D4225" s="37" t="s">
        <v>14</v>
      </c>
      <c r="E4225" s="10"/>
      <c r="F4225" s="36"/>
      <c r="G4225" s="11"/>
      <c r="H4225" s="34" t="str">
        <f>IFERROR(__xludf.DUMMYFUNCTION("LOWER(REGEXREPLACE(B4225&amp;"" ""&amp;C4225,""[^а-яa-z0-9 ]"","" ""))")," одставка ")</f>
        <v> одставка </v>
      </c>
    </row>
    <row r="4226">
      <c r="A4226" s="35" t="s">
        <v>10261</v>
      </c>
      <c r="B4226" s="31" t="s">
        <v>10262</v>
      </c>
      <c r="C4226" s="31"/>
      <c r="D4226" s="37" t="s">
        <v>14</v>
      </c>
      <c r="E4226" s="10"/>
      <c r="F4226" s="38">
        <v>27.0</v>
      </c>
      <c r="G4226" s="11">
        <v>164786.0</v>
      </c>
      <c r="H4226" s="34" t="str">
        <f>IFERROR(__xludf.DUMMYFUNCTION("LOWER(REGEXREPLACE(B4226&amp;"" ""&amp;C4226,""[^а-яa-z0-9 ]"","" ""))")," одставка под пароконвектомат    10   10 уровней    1 1  вся нерж   ")</f>
        <v> одставка под пароконвектомат    10   10 уровней    1 1  вся нерж   </v>
      </c>
    </row>
    <row r="4227">
      <c r="A4227" s="35" t="s">
        <v>10263</v>
      </c>
      <c r="B4227" s="31" t="s">
        <v>10264</v>
      </c>
      <c r="C4227" s="31"/>
      <c r="D4227" s="37" t="s">
        <v>14</v>
      </c>
      <c r="E4227" s="10"/>
      <c r="F4227" s="38">
        <v>16.0</v>
      </c>
      <c r="G4227" s="11">
        <v>204011.0</v>
      </c>
      <c r="H4227" s="34" t="str">
        <f>IFERROR(__xludf.DUMMYFUNCTION("LOWER(REGEXREPLACE(B4227&amp;"" ""&amp;C4227,""[^а-яa-z0-9 ]"","" ""))")," одставка под пароконвектомат из нержавеющей стали 730х730х650 мм     1 ")</f>
        <v> одставка под пароконвектомат из нержавеющей стали 730х730х650 мм     1 </v>
      </c>
    </row>
    <row r="4228">
      <c r="A4228" s="35" t="s">
        <v>10265</v>
      </c>
      <c r="B4228" s="31" t="s">
        <v>10266</v>
      </c>
      <c r="C4228" s="31"/>
      <c r="D4228" s="37" t="s">
        <v>14</v>
      </c>
      <c r="E4228" s="10"/>
      <c r="F4228" s="38">
        <v>10.0</v>
      </c>
      <c r="G4228" s="11">
        <v>203993.0</v>
      </c>
      <c r="H4228" s="34" t="str">
        <f>IFERROR(__xludf.DUMMYFUNCTION("LOWER(REGEXREPLACE(B4228&amp;"" ""&amp;C4228,""[^а-яa-z0-9 ]"","" ""))")," одставка под хлеборезку из нержавеющей стали 700х800х650 мм     1 ")</f>
        <v> одставка под хлеборезку из нержавеющей стали 700х800х650 мм     1 </v>
      </c>
    </row>
    <row r="4229">
      <c r="A4229" s="35" t="s">
        <v>10267</v>
      </c>
      <c r="B4229" s="31" t="s">
        <v>10268</v>
      </c>
      <c r="C4229" s="31"/>
      <c r="D4229" s="37" t="s">
        <v>14</v>
      </c>
      <c r="E4229" s="10"/>
      <c r="F4229" s="38">
        <v>7.0</v>
      </c>
      <c r="G4229" s="11">
        <v>167991.0</v>
      </c>
      <c r="H4229" s="34" t="str">
        <f>IFERROR(__xludf.DUMMYFUNCTION("LOWER(REGEXREPLACE(B4229&amp;"" ""&amp;C4229,""[^а-яa-z0-9 ]"","" ""))")," одставка межплитная разборная из нержавеющей стали 400х900х850 мм      400 900     ")</f>
        <v> одставка межплитная разборная из нержавеющей стали 400х900х850 мм      400 900     </v>
      </c>
    </row>
    <row r="4230">
      <c r="A4230" s="35" t="s">
        <v>10269</v>
      </c>
      <c r="B4230" s="31" t="s">
        <v>10270</v>
      </c>
      <c r="C4230" s="31" t="s">
        <v>10270</v>
      </c>
      <c r="D4230" s="37" t="s">
        <v>14</v>
      </c>
      <c r="E4230" s="10"/>
      <c r="F4230" s="38">
        <v>15.0</v>
      </c>
      <c r="G4230" s="11">
        <v>100826.0</v>
      </c>
      <c r="H4230" s="34" t="str">
        <f>IFERROR(__xludf.DUMMYFUNCTION("LOWER(REGEXREPLACE(B4230&amp;"" ""&amp;C4230,""[^а-яa-z0-9 ]"","" ""))")," одставка под кипятильник  размеры не менее 450х350х600 мм  нержавеющая сталь  одставка под кипятильник  размеры не менее 450х350х600 мм  нержавеющая сталь")</f>
        <v> одставка под кипятильник  размеры не менее 450х350х600 мм  нержавеющая сталь  одставка под кипятильник  размеры не менее 450х350х600 мм  нержавеющая сталь</v>
      </c>
    </row>
    <row r="4231">
      <c r="A4231" s="35" t="s">
        <v>10271</v>
      </c>
      <c r="B4231" s="31" t="s">
        <v>10272</v>
      </c>
      <c r="C4231" s="31"/>
      <c r="D4231" s="37" t="s">
        <v>14</v>
      </c>
      <c r="E4231" s="38">
        <v>2.0</v>
      </c>
      <c r="F4231" s="38">
        <v>18.0</v>
      </c>
      <c r="G4231" s="11">
        <v>72483.0</v>
      </c>
      <c r="H4231" s="34" t="str">
        <f>IFERROR(__xludf.DUMMYFUNCTION("LOWER(REGEXREPLACE(B4231&amp;"" ""&amp;C4231,""[^а-яa-z0-9 ]"","" ""))")," одставка      6 1 для фронтальных посудомоечных машин     500   азмер 600х600мм  нерж  сталь ")</f>
        <v> одставка      6 1 для фронтальных посудомоечных машин     500   азмер 600х600мм  нерж  сталь </v>
      </c>
    </row>
    <row r="4232">
      <c r="A4232" s="35" t="s">
        <v>10273</v>
      </c>
      <c r="B4232" s="9" t="s">
        <v>10274</v>
      </c>
      <c r="C4232" s="31" t="s">
        <v>10275</v>
      </c>
      <c r="D4232" s="37" t="s">
        <v>14</v>
      </c>
      <c r="E4232" s="38">
        <v>2.0</v>
      </c>
      <c r="F4232" s="38">
        <v>11.0</v>
      </c>
      <c r="G4232" s="11">
        <v>75296.0</v>
      </c>
      <c r="H4232" s="34" t="str">
        <f>IFERROR(__xludf.DUMMYFUNCTION("LOWER(REGEXREPLACE(B4232&amp;"" ""&amp;C4232,""[^а-яa-z0-9 ]"","" ""))"),"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3">
      <c r="A4233" s="35" t="s">
        <v>10276</v>
      </c>
      <c r="B4233" s="9" t="s">
        <v>10277</v>
      </c>
      <c r="C4233" s="31" t="s">
        <v>10278</v>
      </c>
      <c r="D4233" s="37" t="s">
        <v>14</v>
      </c>
      <c r="E4233" s="38">
        <v>2.0</v>
      </c>
      <c r="F4233" s="38">
        <v>16.0</v>
      </c>
      <c r="G4233" s="11">
        <v>79743.0</v>
      </c>
      <c r="H4233" s="34" t="str">
        <f>IFERROR(__xludf.DUMMYFUNCTION("LOWER(REGEXREPLACE(B4233&amp;"" ""&amp;C4233,""[^а-яa-z0-9 ]"","" ""))"),"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4">
      <c r="A4234" s="35" t="s">
        <v>10279</v>
      </c>
      <c r="B4234" s="9" t="s">
        <v>10280</v>
      </c>
      <c r="C4234" s="31" t="s">
        <v>10281</v>
      </c>
      <c r="D4234" s="37" t="s">
        <v>14</v>
      </c>
      <c r="E4234" s="38">
        <v>2.0</v>
      </c>
      <c r="F4234" s="38">
        <v>16.0</v>
      </c>
      <c r="G4234" s="11">
        <v>79743.0</v>
      </c>
      <c r="H4234" s="34" t="str">
        <f>IFERROR(__xludf.DUMMYFUNCTION("LOWER(REGEXREPLACE(B4234&amp;"" ""&amp;C4234,""[^а-яa-z0-9 ]"","" ""))"),"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"&amp;"мм   силенная ребром жесткости  4 регулируемые по высоте пластиковые опоры  полка и каркас н с труба 40х40 мм")</f>
        <v>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мм   силенная ребром жесткости  4 регулируемые по высоте пластиковые опоры  полка и каркас н с труба 40х40 мм</v>
      </c>
    </row>
    <row r="4235">
      <c r="A4235" s="35" t="s">
        <v>10282</v>
      </c>
      <c r="B4235" s="31" t="s">
        <v>10283</v>
      </c>
      <c r="C4235" s="31" t="s">
        <v>10284</v>
      </c>
      <c r="D4235" s="37" t="s">
        <v>14</v>
      </c>
      <c r="E4235" s="38">
        <v>2.0</v>
      </c>
      <c r="F4235" s="38">
        <v>9.0</v>
      </c>
      <c r="G4235" s="11">
        <v>58135.0</v>
      </c>
      <c r="H4235" s="34" t="str">
        <f>IFERROR(__xludf.DUMMYFUNCTION("LOWER(REGEXREPLACE(B4235&amp;"" ""&amp;C4235,""[^а-яa-z0-9 ]"","" ""))"),"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6">
      <c r="A4236" s="35" t="s">
        <v>10285</v>
      </c>
      <c r="B4236" s="31" t="s">
        <v>10286</v>
      </c>
      <c r="C4236" s="31" t="s">
        <v>10284</v>
      </c>
      <c r="D4236" s="37" t="s">
        <v>14</v>
      </c>
      <c r="E4236" s="38">
        <v>2.0</v>
      </c>
      <c r="F4236" s="38">
        <v>8.0</v>
      </c>
      <c r="G4236" s="11">
        <v>74730.0</v>
      </c>
      <c r="H4236" s="34" t="str">
        <f>IFERROR(__xludf.DUMMYFUNCTION("LOWER(REGEXREPLACE(B4236&amp;"" ""&amp;C4236,""[^а-яa-z0-9 ]"","" ""))"),"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7">
      <c r="A4237" s="35" t="s">
        <v>10287</v>
      </c>
      <c r="B4237" s="31" t="s">
        <v>10288</v>
      </c>
      <c r="C4237" s="31" t="s">
        <v>10289</v>
      </c>
      <c r="D4237" s="37" t="s">
        <v>14</v>
      </c>
      <c r="E4237" s="38">
        <v>2.0</v>
      </c>
      <c r="F4237" s="38">
        <v>15.0</v>
      </c>
      <c r="G4237" s="11">
        <v>195935.0</v>
      </c>
      <c r="H4237" s="34" t="str">
        <f>IFERROR(__xludf.DUMMYFUNCTION("LOWER(REGEXREPLACE(B4237&amp;"" ""&amp;C4237,""[^а-яa-z0-9 ]"","" ""))"),"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f>
        <v>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v>
      </c>
    </row>
    <row r="4238">
      <c r="A4238" s="35" t="s">
        <v>10290</v>
      </c>
      <c r="B4238" s="31" t="s">
        <v>10291</v>
      </c>
      <c r="C4238" s="31"/>
      <c r="D4238" s="37" t="s">
        <v>14</v>
      </c>
      <c r="E4238" s="38">
        <v>2.0</v>
      </c>
      <c r="F4238" s="38">
        <v>19.0</v>
      </c>
      <c r="G4238" s="11">
        <v>211555.0</v>
      </c>
      <c r="H4238" s="34" t="str">
        <f>IFERROR(__xludf.DUMMYFUNCTION("LOWER(REGEXREPLACE(B4238&amp;"" ""&amp;C4238,""[^а-яa-z0-9 ]"","" ""))")," одставка под пароконвектомат    1 00  размеры 840х700х650 мм   ожки регулируемые по высоте ")</f>
        <v> одставка под пароконвектомат    1 00  размеры 840х700х650 мм   ожки регулируемые по высоте </v>
      </c>
    </row>
    <row r="4239">
      <c r="A4239" s="35" t="s">
        <v>10292</v>
      </c>
      <c r="B4239" s="31" t="s">
        <v>10293</v>
      </c>
      <c r="C4239" s="31"/>
      <c r="D4239" s="37" t="s">
        <v>14</v>
      </c>
      <c r="E4239" s="10"/>
      <c r="F4239" s="38">
        <v>24.0</v>
      </c>
      <c r="G4239" s="11">
        <v>101000.0</v>
      </c>
      <c r="H4239" s="34" t="str">
        <f>IFERROR(__xludf.DUMMYFUNCTION("LOWER(REGEXREPLACE(B4239&amp;"" ""&amp;C4239,""[^а-яa-z0-9 ]"","" ""))")," одтоварник кухонный    6 2  1000x600x300 мм  каркас окрашенный ")</f>
        <v> одтоварник кухонный    6 2  1000x600x300 мм  каркас окрашенный </v>
      </c>
    </row>
    <row r="4240">
      <c r="A4240" s="35" t="s">
        <v>10294</v>
      </c>
      <c r="B4240" s="31" t="s">
        <v>10295</v>
      </c>
      <c r="C4240" s="31"/>
      <c r="D4240" s="37" t="s">
        <v>14</v>
      </c>
      <c r="E4240" s="10"/>
      <c r="F4240" s="39">
        <v>5.4</v>
      </c>
      <c r="G4240" s="11">
        <v>40522.0</v>
      </c>
      <c r="H4240" s="34" t="str">
        <f>IFERROR(__xludf.DUMMYFUNCTION("LOWER(REGEXREPLACE(B4240&amp;"" ""&amp;C4240,""[^а-яa-z0-9 ]"","" ""))")," олка настенная из нержавеющей стали      15 3  1500х300х220  ")</f>
        <v> олка настенная из нержавеющей стали      15 3  1500х300х220  </v>
      </c>
    </row>
    <row r="4241">
      <c r="A4241" s="35" t="s">
        <v>10296</v>
      </c>
      <c r="B4241" s="31" t="s">
        <v>10297</v>
      </c>
      <c r="C4241" s="31"/>
      <c r="D4241" s="37" t="s">
        <v>14</v>
      </c>
      <c r="E4241" s="10"/>
      <c r="F4241" s="36"/>
      <c r="G4241" s="11"/>
      <c r="H4241" s="34" t="str">
        <f>IFERROR(__xludf.DUMMYFUNCTION("LOWER(REGEXREPLACE(B4241&amp;"" ""&amp;C4241,""[^а-яa-z0-9 ]"","" ""))")," олка ")</f>
        <v> олка </v>
      </c>
    </row>
    <row r="4242">
      <c r="A4242" s="35" t="s">
        <v>10298</v>
      </c>
      <c r="B4242" s="31" t="s">
        <v>10299</v>
      </c>
      <c r="C4242" s="31"/>
      <c r="D4242" s="37" t="s">
        <v>14</v>
      </c>
      <c r="E4242" s="10"/>
      <c r="F4242" s="39">
        <v>4.5</v>
      </c>
      <c r="G4242" s="11">
        <v>33588.0</v>
      </c>
      <c r="H4242" s="34" t="str">
        <f>IFERROR(__xludf.DUMMYFUNCTION("LOWER(REGEXREPLACE(B4242&amp;"" ""&amp;C4242,""[^а-яa-z0-9 ]"","" ""))")," олка настенная из нержавеющей стали      12 3  1200х300х220  ")</f>
        <v> олка настенная из нержавеющей стали      12 3  1200х300х220  </v>
      </c>
    </row>
    <row r="4243">
      <c r="A4243" s="35" t="s">
        <v>10300</v>
      </c>
      <c r="B4243" s="31" t="s">
        <v>10301</v>
      </c>
      <c r="C4243" s="31"/>
      <c r="D4243" s="37" t="s">
        <v>14</v>
      </c>
      <c r="E4243" s="10"/>
      <c r="F4243" s="38">
        <v>7.0</v>
      </c>
      <c r="G4243" s="11">
        <v>74407.0</v>
      </c>
      <c r="H4243" s="34" t="str">
        <f>IFERROR(__xludf.DUMMYFUNCTION("LOWER(REGEXREPLACE(B4243&amp;"" ""&amp;C4243,""[^а-яa-z0-9 ]"","" ""))")," олка настенная из нержавеющей стали 1500х300х300 мм 1 ярус     1 1500 300 ")</f>
        <v> олка настенная из нержавеющей стали 1500х300х300 мм 1 ярус     1 1500 300 </v>
      </c>
    </row>
    <row r="4244">
      <c r="A4244" s="35" t="s">
        <v>10302</v>
      </c>
      <c r="B4244" s="31" t="s">
        <v>10303</v>
      </c>
      <c r="C4244" s="31" t="s">
        <v>10304</v>
      </c>
      <c r="D4244" s="37" t="s">
        <v>14</v>
      </c>
      <c r="E4244" s="10"/>
      <c r="F4244" s="38">
        <v>5.0</v>
      </c>
      <c r="G4244" s="11">
        <v>62404.0</v>
      </c>
      <c r="H4244" s="34" t="str">
        <f>IFERROR(__xludf.DUMMYFUNCTION("LOWER(REGEXREPLACE(B4244&amp;"" ""&amp;C4244,""[^а-яa-z0-9 ]"","" ""))")," олка настенная из нержавеющей стали  размеры не менее 1200х300х300 мм  олка настенная из нержавеющей стали  размеры не менее 1200х300х300 мм  1 ярус")</f>
        <v> олка настенная из нержавеющей стали  размеры не менее 1200х300х300 мм  олка настенная из нержавеющей стали  размеры не менее 1200х300х300 мм  1 ярус</v>
      </c>
    </row>
    <row r="4245">
      <c r="A4245" s="35" t="s">
        <v>10305</v>
      </c>
      <c r="B4245" s="31" t="s">
        <v>10306</v>
      </c>
      <c r="C4245" s="31"/>
      <c r="D4245" s="37" t="s">
        <v>14</v>
      </c>
      <c r="E4245" s="38">
        <v>2.0</v>
      </c>
      <c r="F4245" s="39">
        <v>5.7</v>
      </c>
      <c r="G4245" s="11">
        <v>77703.0</v>
      </c>
      <c r="H4245" s="34" t="str">
        <f>IFERROR(__xludf.DUMMYFUNCTION("LOWER(REGEXREPLACE(B4245&amp;"" ""&amp;C4245,""[^а-яa-z0-9 ]"","" ""))")," олка настенная 1800х300х300мм из нержавеющей стали 0 8 мм  1 ярус  усиленны ребром жесткости     1 1800 300 ")</f>
        <v> олка настенная 1800х300х300мм из нержавеющей стали 0 8 мм  1 ярус  усиленны ребром жесткости     1 1800 300 </v>
      </c>
    </row>
    <row r="4246">
      <c r="A4246" s="35" t="s">
        <v>10307</v>
      </c>
      <c r="B4246" s="31" t="s">
        <v>10308</v>
      </c>
      <c r="C4246" s="31"/>
      <c r="D4246" s="37" t="s">
        <v>14</v>
      </c>
      <c r="E4246" s="38">
        <v>2.0</v>
      </c>
      <c r="F4246" s="38">
        <v>5.0</v>
      </c>
      <c r="G4246" s="11">
        <v>35709.0</v>
      </c>
      <c r="H4246" s="34" t="str">
        <f>IFERROR(__xludf.DUMMYFUNCTION("LOWER(REGEXREPLACE(B4246&amp;"" ""&amp;C4246,""[^а-яa-z0-9 ]"","" ""))")," олка настенная    10 3 4  размеры 1000х300х400 мм  1 ярус  полностью из нержавеющей стали 0 8 мм  усиленны ребром жесткости ")</f>
        <v> олка настенная    10 3 4  размеры 1000х300х400 мм  1 ярус  полностью из нержавеющей стали 0 8 мм  усиленны ребром жесткости </v>
      </c>
    </row>
    <row r="4247">
      <c r="A4247" s="35" t="s">
        <v>10309</v>
      </c>
      <c r="B4247" s="31" t="s">
        <v>10310</v>
      </c>
      <c r="C4247" s="31"/>
      <c r="D4247" s="37" t="s">
        <v>14</v>
      </c>
      <c r="E4247" s="38">
        <v>2.0</v>
      </c>
      <c r="F4247" s="38">
        <v>5.0</v>
      </c>
      <c r="G4247" s="11">
        <v>39859.0</v>
      </c>
      <c r="H4247" s="34" t="str">
        <f>IFERROR(__xludf.DUMMYFUNCTION("LOWER(REGEXREPLACE(B4247&amp;"" ""&amp;C4247,""[^а-яa-z0-9 ]"","" ""))")," олка настенная    11 3 3  размеры 1100х300х300 мм  1 ярус  полностью из нержавеющей стали 0 8 мм  усиленны ребром жесткости ")</f>
        <v> олка настенная    11 3 3  размеры 1100х300х300 мм  1 ярус  полностью из нержавеющей стали 0 8 мм  усиленны ребром жесткости </v>
      </c>
    </row>
    <row r="4248">
      <c r="A4248" s="35" t="s">
        <v>10311</v>
      </c>
      <c r="B4248" s="31" t="s">
        <v>10312</v>
      </c>
      <c r="C4248" s="31"/>
      <c r="D4248" s="37" t="s">
        <v>14</v>
      </c>
      <c r="E4248" s="38">
        <v>2.0</v>
      </c>
      <c r="F4248" s="38">
        <v>5.0</v>
      </c>
      <c r="G4248" s="11">
        <v>44009.0</v>
      </c>
      <c r="H4248" s="34" t="str">
        <f>IFERROR(__xludf.DUMMYFUNCTION("LOWER(REGEXREPLACE(B4248&amp;"" ""&amp;C4248,""[^а-яa-z0-9 ]"","" ""))")," олка настенная    12 3 3  размеры 1200х300х300 мм  1 ярус  полностью из нержавеющей стали 0 8 мм  усиленны ребром жесткости ")</f>
        <v> олка настенная    12 3 3  размеры 1200х300х300 мм  1 ярус  полностью из нержавеющей стали 0 8 мм  усиленны ребром жесткости </v>
      </c>
    </row>
    <row r="4249">
      <c r="A4249" s="35" t="s">
        <v>10313</v>
      </c>
      <c r="B4249" s="31" t="s">
        <v>10314</v>
      </c>
      <c r="C4249" s="31"/>
      <c r="D4249" s="37" t="s">
        <v>14</v>
      </c>
      <c r="E4249" s="38">
        <v>2.0</v>
      </c>
      <c r="F4249" s="38">
        <v>3.0</v>
      </c>
      <c r="G4249" s="11">
        <v>48151.0</v>
      </c>
      <c r="H4249" s="34" t="str">
        <f>IFERROR(__xludf.DUMMYFUNCTION("LOWER(REGEXREPLACE(B4249&amp;"" ""&amp;C4249,""[^а-яa-z0-9 ]"","" ""))")," олка настенная    13 3 3  размеры 1300х300х300 мм  1 ярус  полностью из нержавеющей стали 0 8 мм  усиленны ребром жесткости ")</f>
        <v> олка настенная    13 3 3  размеры 1300х300х300 мм  1 ярус  полностью из нержавеющей стали 0 8 мм  усиленны ребром жесткости </v>
      </c>
    </row>
    <row r="4250">
      <c r="A4250" s="35" t="s">
        <v>10315</v>
      </c>
      <c r="B4250" s="31" t="s">
        <v>10316</v>
      </c>
      <c r="C4250" s="31"/>
      <c r="D4250" s="37" t="s">
        <v>14</v>
      </c>
      <c r="E4250" s="38">
        <v>2.0</v>
      </c>
      <c r="F4250" s="38">
        <v>6.0</v>
      </c>
      <c r="G4250" s="11">
        <v>52313.0</v>
      </c>
      <c r="H4250" s="34" t="str">
        <f>IFERROR(__xludf.DUMMYFUNCTION("LOWER(REGEXREPLACE(B4250&amp;"" ""&amp;C4250,""[^а-яa-z0-9 ]"","" ""))")," олка настенная    15 3 3  размеры 1500х300х300 мм  1 ярус  полностью из нержавеющей стали 0 8 мм  усиленны ребром жесткости ")</f>
        <v> олка настенная    15 3 3  размеры 1500х300х300 мм  1 ярус  полностью из нержавеющей стали 0 8 мм  усиленны ребром жесткости </v>
      </c>
    </row>
    <row r="4251">
      <c r="A4251" s="35" t="s">
        <v>10317</v>
      </c>
      <c r="B4251" s="31" t="s">
        <v>10318</v>
      </c>
      <c r="C4251" s="31"/>
      <c r="D4251" s="37" t="s">
        <v>14</v>
      </c>
      <c r="E4251" s="38">
        <v>2.0</v>
      </c>
      <c r="F4251" s="38">
        <v>12.0</v>
      </c>
      <c r="G4251" s="11">
        <v>148780.0</v>
      </c>
      <c r="H4251" s="34" t="str">
        <f>IFERROR(__xludf.DUMMYFUNCTION("LOWER(REGEXREPLACE(B4251&amp;"" ""&amp;C4251,""[^а-яa-z0-9 ]"","" ""))")," олка настольная     2 12 3 6    размеры 1200х300х600 мм  2 яруса  полки из нержавеющей стали 0 8 мм  каркас из нержавеющей трубы 25х25 мм ")</f>
        <v> олка настольная     2 12 3 6    размеры 1200х300х600 мм  2 яруса  полки из нержавеющей стали 0 8 мм  каркас из нержавеющей трубы 25х25 мм </v>
      </c>
    </row>
    <row r="4252">
      <c r="A4252" s="35" t="s">
        <v>10319</v>
      </c>
      <c r="B4252" s="31" t="s">
        <v>10320</v>
      </c>
      <c r="C4252" s="31"/>
      <c r="D4252" s="37" t="s">
        <v>14</v>
      </c>
      <c r="E4252" s="38">
        <v>2.0</v>
      </c>
      <c r="F4252" s="38">
        <v>15.0</v>
      </c>
      <c r="G4252" s="11">
        <v>181660.0</v>
      </c>
      <c r="H4252" s="34" t="str">
        <f>IFERROR(__xludf.DUMMYFUNCTION("LOWER(REGEXREPLACE(B4252&amp;"" ""&amp;C4252,""[^а-яa-z0-9 ]"","" ""))")," олка настольная     2 15 3 6    размеры 1500х300х600 мм  2 яруса  полки из нержавеющей стали 0 8 мм  каркас из нержавеющей трубы 25х25 мм ")</f>
        <v> олка настольная     2 15 3 6    размеры 1500х300х600 мм  2 яруса  полки из нержавеющей стали 0 8 мм  каркас из нержавеющей трубы 25х25 мм </v>
      </c>
    </row>
    <row r="4253">
      <c r="A4253" s="35" t="s">
        <v>10321</v>
      </c>
      <c r="B4253" s="31" t="s">
        <v>10322</v>
      </c>
      <c r="C4253" s="31" t="s">
        <v>10323</v>
      </c>
      <c r="D4253" s="37" t="s">
        <v>14</v>
      </c>
      <c r="E4253" s="10"/>
      <c r="F4253" s="40">
        <v>13.14</v>
      </c>
      <c r="G4253" s="11">
        <v>199176.0</v>
      </c>
      <c r="H4253" s="34" t="str">
        <f>IFERROR(__xludf.DUMMYFUNCTION("LOWER(REGEXREPLACE(B4253&amp;"" ""&amp;C4253,""[^а-яa-z0-9 ]"","" ""))"),"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f>
        <v>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v>
      </c>
    </row>
    <row r="4254">
      <c r="A4254" s="35" t="s">
        <v>10324</v>
      </c>
      <c r="B4254" s="31" t="s">
        <v>10325</v>
      </c>
      <c r="C4254" s="31"/>
      <c r="D4254" s="37" t="s">
        <v>14</v>
      </c>
      <c r="E4254" s="10"/>
      <c r="F4254" s="38">
        <v>20.0</v>
      </c>
      <c r="G4254" s="11">
        <v>167231.0</v>
      </c>
      <c r="H4254" s="34" t="str">
        <f>IFERROR(__xludf.DUMMYFUNCTION("LOWER(REGEXREPLACE(B4254&amp;"" ""&amp;C4254,""[^а-яa-z0-9 ]"","" ""))")," ележка шпилька для гастроемкостей     14 1 1  565х395х1519  ")</f>
        <v> ележка шпилька для гастроемкостей     14 1 1  565х395х1519  </v>
      </c>
    </row>
    <row r="4255">
      <c r="A4255" s="35" t="s">
        <v>10326</v>
      </c>
      <c r="B4255" s="31" t="s">
        <v>10327</v>
      </c>
      <c r="C4255" s="31"/>
      <c r="D4255" s="37" t="s">
        <v>14</v>
      </c>
      <c r="E4255" s="10"/>
      <c r="F4255" s="36"/>
      <c r="G4255" s="11"/>
      <c r="H4255" s="34" t="str">
        <f>IFERROR(__xludf.DUMMYFUNCTION("LOWER(REGEXREPLACE(B4255&amp;"" ""&amp;C4255,""[^а-яa-z0-9 ]"","" ""))")," ележка шпилька для противней ")</f>
        <v> ележка шпилька для противней </v>
      </c>
    </row>
    <row r="4256">
      <c r="A4256" s="35" t="s">
        <v>10328</v>
      </c>
      <c r="B4256" s="31" t="s">
        <v>10329</v>
      </c>
      <c r="C4256" s="31"/>
      <c r="D4256" s="37" t="s">
        <v>14</v>
      </c>
      <c r="E4256" s="10"/>
      <c r="F4256" s="38">
        <v>15.0</v>
      </c>
      <c r="G4256" s="11">
        <v>254518.0</v>
      </c>
      <c r="H4256" s="34" t="str">
        <f>IFERROR(__xludf.DUMMYFUNCTION("LOWER(REGEXREPLACE(B4256&amp;"" ""&amp;C4256,""[^а-яa-z0-9 ]"","" ""))")," ележка шпилька для противней  600х400     15  450х625х1750  ")</f>
        <v> ележка шпилька для противней  600х400     15  450х625х1750  </v>
      </c>
    </row>
    <row r="4257">
      <c r="A4257" s="35" t="s">
        <v>10330</v>
      </c>
      <c r="B4257" s="31" t="s">
        <v>10331</v>
      </c>
      <c r="C4257" s="31"/>
      <c r="D4257" s="37" t="s">
        <v>14</v>
      </c>
      <c r="E4257" s="10"/>
      <c r="F4257" s="38">
        <v>19.0</v>
      </c>
      <c r="G4257" s="11">
        <v>300003.0</v>
      </c>
      <c r="H4257" s="34" t="str">
        <f>IFERROR(__xludf.DUMMYFUNCTION("LOWER(REGEXREPLACE(B4257&amp;"" ""&amp;C4257,""[^а-яa-z0-9 ]"","" ""))")," ележка шпилька для противней 15 уровней  670х410х1800 мм  из нержавеющей стали    15 64 ")</f>
        <v> ележка шпилька для противней 15 уровней  670х410х1800 мм  из нержавеющей стали    15 64 </v>
      </c>
    </row>
    <row r="4258">
      <c r="A4258" s="35" t="s">
        <v>10332</v>
      </c>
      <c r="B4258" s="31" t="s">
        <v>9919</v>
      </c>
      <c r="C4258" s="31"/>
      <c r="D4258" s="37" t="s">
        <v>14</v>
      </c>
      <c r="E4258" s="10"/>
      <c r="F4258" s="36"/>
      <c r="G4258" s="11"/>
      <c r="H4258" s="34" t="str">
        <f>IFERROR(__xludf.DUMMYFUNCTION("LOWER(REGEXREPLACE(B4258&amp;"" ""&amp;C4258,""[^а-яa-z0-9 ]"","" ""))")," ележка грузовая ")</f>
        <v> ележка грузовая </v>
      </c>
    </row>
    <row r="4259">
      <c r="A4259" s="35" t="s">
        <v>10333</v>
      </c>
      <c r="B4259" s="31" t="s">
        <v>10334</v>
      </c>
      <c r="C4259" s="31"/>
      <c r="D4259" s="37" t="s">
        <v>14</v>
      </c>
      <c r="E4259" s="10"/>
      <c r="F4259" s="38">
        <v>36.0</v>
      </c>
      <c r="G4259" s="11">
        <v>191294.0</v>
      </c>
      <c r="H4259" s="34" t="str">
        <f>IFERROR(__xludf.DUMMYFUNCTION("LOWER(REGEXREPLACE(B4259&amp;"" ""&amp;C4259,""[^а-яa-z0-9 ]"","" ""))")," ележка грузовая    6 1  1000х600 мм   вся нерж  ")</f>
        <v> ележка грузовая    6 1  1000х600 мм   вся нерж  </v>
      </c>
    </row>
    <row r="4260">
      <c r="A4260" s="35" t="s">
        <v>10335</v>
      </c>
      <c r="B4260" s="31" t="s">
        <v>10336</v>
      </c>
      <c r="C4260" s="31"/>
      <c r="D4260" s="37" t="s">
        <v>14</v>
      </c>
      <c r="E4260" s="10"/>
      <c r="F4260" s="38">
        <v>32.0</v>
      </c>
      <c r="G4260" s="11">
        <v>225654.0</v>
      </c>
      <c r="H4260" s="34" t="str">
        <f>IFERROR(__xludf.DUMMYFUNCTION("LOWER(REGEXREPLACE(B4260&amp;"" ""&amp;C4260,""[^а-яa-z0-9 ]"","" ""))")," ележка грузовая из нержавеющей стали 800х600х850 мм     800 600 ")</f>
        <v> ележка грузовая из нержавеющей стали 800х600х850 мм     800 600 </v>
      </c>
    </row>
    <row r="4261">
      <c r="A4261" s="35" t="s">
        <v>10337</v>
      </c>
      <c r="B4261" s="31" t="s">
        <v>10338</v>
      </c>
      <c r="C4261" s="31"/>
      <c r="D4261" s="37" t="s">
        <v>14</v>
      </c>
      <c r="E4261" s="38">
        <v>2.0</v>
      </c>
      <c r="F4261" s="38">
        <v>13.0</v>
      </c>
      <c r="G4261" s="11">
        <v>175178.0</v>
      </c>
      <c r="H4261" s="34" t="str">
        <f>IFERROR(__xludf.DUMMYFUNCTION("LOWER(REGEXREPLACE(B4261&amp;"" ""&amp;C4261,""[^а-яa-z0-9 ]"","" ""))")," ележка грузовая     8 6 8 5  размеры 800х600х850 мм  полностью из нержавеющей стали  4 самоориентирующихся колеса  2 из них с тормозом ")</f>
        <v> ележка грузовая     8 6 8 5  размеры 800х600х850 мм  полностью из нержавеющей стали  4 самоориентирующихся колеса  2 из них с тормозом </v>
      </c>
    </row>
    <row r="4262">
      <c r="A4262" s="35" t="s">
        <v>10339</v>
      </c>
      <c r="B4262" s="31" t="s">
        <v>10340</v>
      </c>
      <c r="C4262" s="31"/>
      <c r="D4262" s="37" t="s">
        <v>14</v>
      </c>
      <c r="E4262" s="38">
        <v>2.0</v>
      </c>
      <c r="F4262" s="38">
        <v>16.0</v>
      </c>
      <c r="G4262" s="11">
        <v>207559.0</v>
      </c>
      <c r="H4262" s="34" t="str">
        <f>IFERROR(__xludf.DUMMYFUNCTION("LOWER(REGEXREPLACE(B4262&amp;"" ""&amp;C4262,""[^а-яa-z0-9 ]"","" ""))")," ележка грузовая     10 6 8 5  размеры 1000х600х850 мм  полностью из нержавеющей стали  4 самоориентирующихся колеса  2 из них с тормозом ")</f>
        <v> ележка грузовая     10 6 8 5  размеры 1000х600х850 мм  полностью из нержавеющей стали  4 самоориентирующихся колеса  2 из них с тормозом </v>
      </c>
    </row>
    <row r="4263">
      <c r="A4263" s="35" t="s">
        <v>10341</v>
      </c>
      <c r="B4263" s="31" t="s">
        <v>10342</v>
      </c>
      <c r="C4263" s="31"/>
      <c r="D4263" s="37" t="s">
        <v>14</v>
      </c>
      <c r="E4263" s="38">
        <v>2.0</v>
      </c>
      <c r="F4263" s="38">
        <v>17.0</v>
      </c>
      <c r="G4263" s="11">
        <v>230138.0</v>
      </c>
      <c r="H4263" s="34" t="str">
        <f>IFERROR(__xludf.DUMMYFUNCTION("LOWER(REGEXREPLACE(B4263&amp;"" ""&amp;C4263,""[^а-яa-z0-9 ]"","" ""))")," ележка грузовая     12 6 6 9 35  размеры 1260х600х935 мм  полностью из нержавеющей стали  4 самоориентирующихся колеса  2 из них с тормозом ")</f>
        <v> ележка грузовая     12 6 6 9 35  размеры 1260х600х935 мм  полностью из нержавеющей стали  4 самоориентирующихся колеса  2 из них с тормозом </v>
      </c>
    </row>
    <row r="4264">
      <c r="A4264" s="35" t="s">
        <v>10343</v>
      </c>
      <c r="B4264" s="31" t="s">
        <v>10344</v>
      </c>
      <c r="C4264" s="31"/>
      <c r="D4264" s="37" t="s">
        <v>14</v>
      </c>
      <c r="E4264" s="10"/>
      <c r="F4264" s="39">
        <v>21.6</v>
      </c>
      <c r="G4264" s="11">
        <v>192321.0</v>
      </c>
      <c r="H4264" s="34" t="str">
        <f>IFERROR(__xludf.DUMMYFUNCTION("LOWER(REGEXREPLACE(B4264&amp;"" ""&amp;C4264,""[^а-яa-z0-9 ]"","" ""))")," пилька      1 12 350 600 02  415х600х1575  ")</f>
        <v> пилька      1 12 350 600 02  415х600х1575  </v>
      </c>
    </row>
    <row r="4265">
      <c r="A4265" s="35" t="s">
        <v>10345</v>
      </c>
      <c r="B4265" s="31" t="s">
        <v>10346</v>
      </c>
      <c r="C4265" s="31"/>
      <c r="D4265" s="37" t="s">
        <v>14</v>
      </c>
      <c r="E4265" s="10"/>
      <c r="F4265" s="38">
        <v>45.0</v>
      </c>
      <c r="G4265" s="11">
        <v>379464.0</v>
      </c>
      <c r="H4265" s="34" t="str">
        <f>IFERROR(__xludf.DUMMYFUNCTION("LOWER(REGEXREPLACE(B4265&amp;"" ""&amp;C4265,""[^а-яa-z0-9 ]"","" ""))")," анна 3 х секц      6 3 5     500х500x300  ")</f>
        <v> анна 3 х секц      6 3 5     500х500x300  </v>
      </c>
    </row>
    <row r="4266">
      <c r="A4266" s="35" t="s">
        <v>10347</v>
      </c>
      <c r="B4266" s="31" t="s">
        <v>10348</v>
      </c>
      <c r="C4266" s="31"/>
      <c r="D4266" s="37" t="s">
        <v>14</v>
      </c>
      <c r="E4266" s="10"/>
      <c r="F4266" s="39">
        <v>26.4</v>
      </c>
      <c r="G4266" s="11">
        <v>227589.0</v>
      </c>
      <c r="H4266" s="34" t="str">
        <f>IFERROR(__xludf.DUMMYFUNCTION("LOWER(REGEXREPLACE(B4266&amp;"" ""&amp;C4266,""[^а-яa-z0-9 ]"","" ""))")," онт вытяжной пристенный     900 1800  1800х900х450  ")</f>
        <v> онт вытяжной пристенный     900 1800  1800х900х450  </v>
      </c>
    </row>
    <row r="4267">
      <c r="A4267" s="35" t="s">
        <v>10349</v>
      </c>
      <c r="B4267" s="31" t="s">
        <v>10350</v>
      </c>
      <c r="C4267" s="31"/>
      <c r="D4267" s="37" t="s">
        <v>14</v>
      </c>
      <c r="E4267" s="10"/>
      <c r="F4267" s="36"/>
      <c r="G4267" s="11"/>
      <c r="H4267" s="34" t="str">
        <f>IFERROR(__xludf.DUMMYFUNCTION("LOWER(REGEXREPLACE(B4267&amp;"" ""&amp;C4267,""[^а-яa-z0-9 ]"","" ""))")," каф для хлеба ")</f>
        <v> каф для хлеба </v>
      </c>
    </row>
    <row r="4268">
      <c r="A4268" s="35" t="s">
        <v>10351</v>
      </c>
      <c r="B4268" s="9" t="s">
        <v>10352</v>
      </c>
      <c r="C4268" s="31"/>
      <c r="D4268" s="37" t="s">
        <v>14</v>
      </c>
      <c r="E4268" s="10"/>
      <c r="F4268" s="38">
        <v>49.0</v>
      </c>
      <c r="G4268" s="11">
        <v>519751.0</v>
      </c>
      <c r="H4268" s="34" t="str">
        <f>IFERROR(__xludf.DUMMYFUNCTION("LOWER(REGEXREPLACE(B4268&amp;"" ""&amp;C4268,""[^а-яa-z0-9 ]"","" ""))")," каф для хлеба    810 480 1800  810х480х1800  ")</f>
        <v> каф для хлеба    810 480 1800  810х480х1800  </v>
      </c>
    </row>
    <row r="4269">
      <c r="A4269" s="35" t="s">
        <v>10353</v>
      </c>
      <c r="B4269" s="31" t="s">
        <v>10354</v>
      </c>
      <c r="C4269" s="31"/>
      <c r="D4269" s="37" t="s">
        <v>14</v>
      </c>
      <c r="E4269" s="10"/>
      <c r="F4269" s="38">
        <v>73.0</v>
      </c>
      <c r="G4269" s="11">
        <v>688892.0</v>
      </c>
      <c r="H4269" s="34" t="str">
        <f>IFERROR(__xludf.DUMMYFUNCTION("LOWER(REGEXREPLACE(B4269&amp;"" ""&amp;C4269,""[^а-яa-z0-9 ]"","" ""))")," каф для хлеба из нержавеющей стали 800х500х1800 мм  две распашные двери  5 полок     ")</f>
        <v> каф для хлеба из нержавеющей стали 800х500х1800 мм  две распашные двери  5 полок     </v>
      </c>
    </row>
    <row r="4270">
      <c r="A4270" s="35" t="s">
        <v>10355</v>
      </c>
      <c r="B4270" s="9" t="s">
        <v>10356</v>
      </c>
      <c r="C4270" s="31" t="s">
        <v>10357</v>
      </c>
      <c r="D4270" s="37" t="s">
        <v>14</v>
      </c>
      <c r="E4270" s="10"/>
      <c r="F4270" s="38">
        <v>90.0</v>
      </c>
      <c r="G4270" s="11">
        <v>404952.0</v>
      </c>
      <c r="H4270" s="34" t="str">
        <f>IFERROR(__xludf.DUMMYFUNCTION("LOWER(REGEXREPLACE(B4270&amp;"" ""&amp;C4270,""[^а-яa-z0-9 ]"","" ""))"),"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ригель"&amp;"ным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"&amp;"с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f>
        <v>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v>
      </c>
    </row>
    <row r="4271">
      <c r="A4271" s="35" t="s">
        <v>10358</v>
      </c>
      <c r="B4271" s="31" t="s">
        <v>10359</v>
      </c>
      <c r="C4271" s="31"/>
      <c r="D4271" s="37" t="s">
        <v>14</v>
      </c>
      <c r="E4271" s="38">
        <v>2.0</v>
      </c>
      <c r="F4271" s="38">
        <v>60.0</v>
      </c>
      <c r="G4271" s="11">
        <v>523129.0</v>
      </c>
      <c r="H4271" s="34" t="str">
        <f>IFERROR(__xludf.DUMMYFUNCTION("LOWER(REGEXREPLACE(B4271&amp;"" ""&amp;C4271,""[^а-яa-z0-9 ]"","" ""))")," каф для хлеба    8 5 18  размеры 800х500х1800 мм  2  две  распашные двери  5  пять  полок   ержавеющая сталь ")</f>
        <v> каф для хлеба    8 5 18  размеры 800х500х1800 мм  2  две  распашные двери  5  пять  полок   ержавеющая сталь </v>
      </c>
    </row>
    <row r="4272">
      <c r="A4272" s="35" t="s">
        <v>10360</v>
      </c>
      <c r="B4272" s="31" t="s">
        <v>10361</v>
      </c>
      <c r="C4272" s="31" t="s">
        <v>10362</v>
      </c>
      <c r="D4272" s="37" t="s">
        <v>14</v>
      </c>
      <c r="E4272" s="38">
        <v>2.0</v>
      </c>
      <c r="F4272" s="38">
        <v>90.0</v>
      </c>
      <c r="G4272" s="11">
        <v>722446.0</v>
      </c>
      <c r="H4272" s="34" t="str">
        <f>IFERROR(__xludf.DUMMYFUNCTION("LOWER(REGEXREPLACE(B4272&amp;"" ""&amp;C4272,""[^а-яa-z0-9 ]"","" ""))"),"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листо"&amp;"вой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f>
        <v>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v>
      </c>
    </row>
    <row r="4273">
      <c r="A4273" s="35" t="s">
        <v>10363</v>
      </c>
      <c r="B4273" s="31" t="s">
        <v>10364</v>
      </c>
      <c r="C4273" s="31"/>
      <c r="D4273" s="37" t="s">
        <v>14</v>
      </c>
      <c r="E4273" s="10"/>
      <c r="F4273" s="36"/>
      <c r="G4273" s="11"/>
      <c r="H4273" s="34" t="str">
        <f>IFERROR(__xludf.DUMMYFUNCTION("LOWER(REGEXREPLACE(B4273&amp;"" ""&amp;C4273,""[^а-яa-z0-9 ]"","" ""))")," укомойник ")</f>
        <v> укомойник </v>
      </c>
    </row>
    <row r="4274">
      <c r="A4274" s="35" t="s">
        <v>10365</v>
      </c>
      <c r="B4274" s="31" t="s">
        <v>10366</v>
      </c>
      <c r="C4274" s="31"/>
      <c r="D4274" s="37" t="s">
        <v>14</v>
      </c>
      <c r="E4274" s="10"/>
      <c r="F4274" s="38">
        <v>6.0</v>
      </c>
      <c r="G4274" s="11">
        <v>227845.0</v>
      </c>
      <c r="H4274" s="34" t="str">
        <f>IFERROR(__xludf.DUMMYFUNCTION("LOWER(REGEXREPLACE(B4274&amp;"" ""&amp;C4274,""[^а-яa-z0-9 ]"","" ""))")," укомойник  ryspi      1  400х300х250  ")</f>
        <v> укомойник  ryspi      1  400х300х250  </v>
      </c>
    </row>
    <row r="4275">
      <c r="A4275" s="35" t="s">
        <v>10367</v>
      </c>
      <c r="B4275" s="31" t="s">
        <v>10368</v>
      </c>
      <c r="C4275" s="31"/>
      <c r="D4275" s="37" t="s">
        <v>14</v>
      </c>
      <c r="E4275" s="10"/>
      <c r="F4275" s="39">
        <v>4.2</v>
      </c>
      <c r="G4275" s="11">
        <v>153585.0</v>
      </c>
      <c r="H4275" s="34" t="str">
        <f>IFERROR(__xludf.DUMMYFUNCTION("LOWER(REGEXREPLACE(B4275&amp;"" ""&amp;C4275,""[^а-яa-z0-9 ]"","" ""))")," укомойник из нержавеющей стали 400х400х150 мм  со смесителем и сифоном     ")</f>
        <v> укомойник из нержавеющей стали 400х400х150 мм  со смесителем и сифоном     </v>
      </c>
    </row>
    <row r="4276">
      <c r="A4276" s="35" t="s">
        <v>10369</v>
      </c>
      <c r="B4276" s="31" t="s">
        <v>10370</v>
      </c>
      <c r="C4276" s="31"/>
      <c r="D4276" s="37" t="s">
        <v>14</v>
      </c>
      <c r="E4276" s="10"/>
      <c r="F4276" s="39">
        <v>35.8</v>
      </c>
      <c r="G4276" s="11">
        <v>289518.0</v>
      </c>
      <c r="H4276" s="34" t="str">
        <f>IFERROR(__xludf.DUMMYFUNCTION("LOWER(REGEXREPLACE(B4276&amp;"" ""&amp;C4276,""[^а-яa-z0-9 ]"","" ""))")," онт вытяжной пристенный              hef     15 12  1500х1200х350  ")</f>
        <v> онт вытяжной пристенный              hef     15 12  1500х1200х350  </v>
      </c>
    </row>
    <row r="4277">
      <c r="A4277" s="35" t="s">
        <v>10371</v>
      </c>
      <c r="B4277" s="31" t="s">
        <v>10372</v>
      </c>
      <c r="C4277" s="31"/>
      <c r="D4277" s="37" t="s">
        <v>14</v>
      </c>
      <c r="E4277" s="10"/>
      <c r="F4277" s="36"/>
      <c r="G4277" s="11"/>
      <c r="H4277" s="34" t="str">
        <f>IFERROR(__xludf.DUMMYFUNCTION("LOWER(REGEXREPLACE(B4277&amp;"" ""&amp;C4277,""[^а-яa-z0-9 ]"","" ""))")," онт вытяжной пристенный ")</f>
        <v> онт вытяжной пристенный </v>
      </c>
    </row>
    <row r="4278">
      <c r="A4278" s="35" t="s">
        <v>10373</v>
      </c>
      <c r="B4278" s="31" t="s">
        <v>10374</v>
      </c>
      <c r="C4278" s="31"/>
      <c r="D4278" s="37" t="s">
        <v>14</v>
      </c>
      <c r="E4278" s="38">
        <v>2.0</v>
      </c>
      <c r="F4278" s="39">
        <v>45.5</v>
      </c>
      <c r="G4278" s="11">
        <v>367409.0</v>
      </c>
      <c r="H4278" s="34" t="str">
        <f>IFERROR(__xludf.DUMMYFUNCTION("LOWER(REGEXREPLACE(B4278&amp;"" ""&amp;C4278,""[^а-яa-z0-9 ]"","" ""))")," онт вытяжной пристенный              hef     20 12  2000х1200х350  ")</f>
        <v> онт вытяжной пристенный              hef     20 12  2000х1200х350  </v>
      </c>
    </row>
    <row r="4279">
      <c r="A4279" s="35" t="s">
        <v>10375</v>
      </c>
      <c r="B4279" s="9" t="s">
        <v>10376</v>
      </c>
      <c r="C4279" s="31"/>
      <c r="D4279" s="37" t="s">
        <v>14</v>
      </c>
      <c r="E4279" s="38">
        <v>2.0</v>
      </c>
      <c r="F4279" s="38">
        <v>61.0</v>
      </c>
      <c r="G4279" s="11">
        <v>441701.0</v>
      </c>
      <c r="H4279" s="34" t="str">
        <f>IFERROR(__xludf.DUMMYFUNCTION("LOWER(REGEXREPLACE(B4279&amp;"" ""&amp;C4279,""[^а-яa-z0-9 ]"","" ""))")," онт вытяжной пристенный из жаропрочной нержавеющей стали 1300х900х350 мм   с жироуловителями  краном для слива конденсата  крепежными элементами      900 1300 ")</f>
        <v> онт вытяжной пристенный из жаропрочной нержавеющей стали 1300х900х350 мм   с жироуловителями  краном для слива конденсата  крепежными элементами      900 1300 </v>
      </c>
    </row>
    <row r="4280">
      <c r="A4280" s="35" t="s">
        <v>10377</v>
      </c>
      <c r="B4280" s="9" t="s">
        <v>10378</v>
      </c>
      <c r="C4280" s="31"/>
      <c r="D4280" s="37" t="s">
        <v>14</v>
      </c>
      <c r="E4280" s="38">
        <v>2.0</v>
      </c>
      <c r="F4280" s="38">
        <v>74.0</v>
      </c>
      <c r="G4280" s="11">
        <v>532923.0</v>
      </c>
      <c r="H4280" s="34" t="str">
        <f>IFERROR(__xludf.DUMMYFUNCTION("LOWER(REGEXREPLACE(B4280&amp;"" ""&amp;C4280,""[^а-яa-z0-9 ]"","" ""))")," онт вытяжной пристенный из жаропрочной нержавеющей стали 1800х900х350 мм  с жироуловителями  краном для слива конденсата  крепежными элементами      900 1800 ")</f>
        <v> онт вытяжной пристенный из жаропрочной нержавеющей стали 1800х900х350 мм  с жироуловителями  краном для слива конденсата  крепежными элементами      900 1800 </v>
      </c>
    </row>
    <row r="4281">
      <c r="A4281" s="35" t="s">
        <v>10379</v>
      </c>
      <c r="B4281" s="9" t="s">
        <v>10380</v>
      </c>
      <c r="C4281" s="31"/>
      <c r="D4281" s="37" t="s">
        <v>14</v>
      </c>
      <c r="E4281" s="38">
        <v>2.0</v>
      </c>
      <c r="F4281" s="38">
        <v>92.0</v>
      </c>
      <c r="G4281" s="11">
        <v>876115.0</v>
      </c>
      <c r="H4281" s="34" t="str">
        <f>IFERROR(__xludf.DUMMYFUNCTION("LOWER(REGEXREPLACE(B4281&amp;"" ""&amp;C4281,""[^а-яa-z0-9 ]"","" ""))")," онт вытяжной пристенный из жаропрочной нержавеющей стали 2200х1300х350 мм   с жироуловителями  краном для слива конденсата  крепежными элементами      1300 2200 ")</f>
        <v> онт вытяжной пристенный из жаропрочной нержавеющей стали 2200х1300х350 мм   с жироуловителями  краном для слива конденсата  крепежными элементами      1300 2200 </v>
      </c>
    </row>
    <row r="4282">
      <c r="A4282" s="35" t="s">
        <v>10381</v>
      </c>
      <c r="B4282" s="9" t="s">
        <v>10382</v>
      </c>
      <c r="C4282" s="31"/>
      <c r="D4282" s="37" t="s">
        <v>14</v>
      </c>
      <c r="E4282" s="38">
        <v>2.0</v>
      </c>
      <c r="F4282" s="38">
        <v>98.0</v>
      </c>
      <c r="G4282" s="11">
        <v>1000910.0</v>
      </c>
      <c r="H4282" s="34" t="str">
        <f>IFERROR(__xludf.DUMMYFUNCTION("LOWER(REGEXREPLACE(B4282&amp;"" ""&amp;C4282,""[^а-яa-z0-9 ]"","" ""))")," онт вытяжной пристенный из жаропрочной нержавеющей стали 2700х1100х350 мм  с жироуловителями  краном для слива конденсата  крепежными элементами      1100 2700 ")</f>
        <v> онт вытяжной пристенный из жаропрочной нержавеющей стали 2700х1100х350 мм  с жироуловителями  краном для слива конденсата  крепежными элементами      1100 2700 </v>
      </c>
    </row>
    <row r="4283">
      <c r="A4283" s="35" t="s">
        <v>10383</v>
      </c>
      <c r="B4283" s="9" t="s">
        <v>10384</v>
      </c>
      <c r="C4283" s="31"/>
      <c r="D4283" s="37" t="s">
        <v>14</v>
      </c>
      <c r="E4283" s="38">
        <v>2.0</v>
      </c>
      <c r="F4283" s="38">
        <v>98.0</v>
      </c>
      <c r="G4283" s="11">
        <v>1185677.0</v>
      </c>
      <c r="H4283" s="34" t="str">
        <f>IFERROR(__xludf.DUMMYFUNCTION("LOWER(REGEXREPLACE(B4283&amp;"" ""&amp;C4283,""[^а-яa-z0-9 ]"","" ""))")," онт вытяжной пристенный из жаропрочной нержавеющей стали 3200х1300х350 мм  с жироуловителями  краном для слива конденсата  крепежными элементами      1300 3200 ")</f>
        <v> онт вытяжной пристенный из жаропрочной нержавеющей стали 3200х1300х350 мм  с жироуловителями  краном для слива конденсата  крепежными элементами      1300 3200 </v>
      </c>
    </row>
    <row r="4284">
      <c r="A4284" s="35" t="s">
        <v>10385</v>
      </c>
      <c r="B4284" s="9" t="s">
        <v>10386</v>
      </c>
      <c r="C4284" s="31"/>
      <c r="D4284" s="37" t="s">
        <v>68</v>
      </c>
      <c r="E4284" s="38">
        <v>2.0</v>
      </c>
      <c r="F4284" s="38">
        <v>36.0</v>
      </c>
      <c r="G4284" s="11">
        <v>593215.0</v>
      </c>
      <c r="H4284" s="34" t="str">
        <f>IFERROR(__xludf.DUMMYFUNCTION("LOWER(REGEXREPLACE(B4284&amp;"" ""&amp;C4284,""[^а-яa-z0-9 ]"","" ""))")," онт вытяжной пристенный кубический 1500х1200х400мм  приточно вытяжной  полностью из нержавеющей стали 0 8 мм  жироуловители в комплекте       1500 1200 ")</f>
        <v> онт вытяжной пристенный кубический 1500х1200х400мм  приточно вытяжной  полностью из нержавеющей стали 0 8 мм  жироуловители в комплекте       1500 1200 </v>
      </c>
    </row>
    <row r="4285">
      <c r="A4285" s="35" t="s">
        <v>10387</v>
      </c>
      <c r="B4285" s="9" t="s">
        <v>10388</v>
      </c>
      <c r="C4285" s="31"/>
      <c r="D4285" s="37" t="s">
        <v>68</v>
      </c>
      <c r="E4285" s="38">
        <v>2.0</v>
      </c>
      <c r="F4285" s="38">
        <v>46.0</v>
      </c>
      <c r="G4285" s="11">
        <v>806418.0</v>
      </c>
      <c r="H4285" s="34" t="str">
        <f>IFERROR(__xludf.DUMMYFUNCTION("LOWER(REGEXREPLACE(B4285&amp;"" ""&amp;C4285,""[^а-яa-z0-9 ]"","" ""))")," онт вытяжной пристенный кубический 2000х1200х400мм  приточно вытяжной  полностью из нержавеющей стали 0 8 мм  жироуловители в комплекте       2000 1200 ")</f>
        <v> онт вытяжной пристенный кубический 2000х1200х400мм  приточно вытяжной  полностью из нержавеющей стали 0 8 мм  жироуловители в комплекте       2000 1200 </v>
      </c>
    </row>
    <row r="4286">
      <c r="A4286" s="35" t="s">
        <v>10389</v>
      </c>
      <c r="B4286" s="31" t="s">
        <v>10390</v>
      </c>
      <c r="C4286" s="31"/>
      <c r="D4286" s="37" t="s">
        <v>68</v>
      </c>
      <c r="E4286" s="38">
        <v>2.0</v>
      </c>
      <c r="F4286" s="38">
        <v>29.0</v>
      </c>
      <c r="G4286" s="11">
        <v>352093.0</v>
      </c>
      <c r="H4286" s="34" t="str">
        <f>IFERROR(__xludf.DUMMYFUNCTION("LOWER(REGEXREPLACE(B4286&amp;"" ""&amp;C4286,""[^а-яa-z0-9 ]"","" ""))")," онт вытяжной пристенный конусный 1000х1000х350мм  полностью из нержавеющей стали 0 8 мм  жироуловители в комплекте      1000 1000 ")</f>
        <v> онт вытяжной пристенный конусный 1000х1000х350мм  полностью из нержавеющей стали 0 8 мм  жироуловители в комплекте      1000 1000 </v>
      </c>
    </row>
    <row r="4287">
      <c r="A4287" s="35" t="s">
        <v>10391</v>
      </c>
      <c r="B4287" s="31" t="s">
        <v>10392</v>
      </c>
      <c r="C4287" s="31"/>
      <c r="D4287" s="37" t="s">
        <v>68</v>
      </c>
      <c r="E4287" s="38">
        <v>2.0</v>
      </c>
      <c r="F4287" s="38">
        <v>31.0</v>
      </c>
      <c r="G4287" s="11">
        <v>373999.0</v>
      </c>
      <c r="H4287" s="34" t="str">
        <f>IFERROR(__xludf.DUMMYFUNCTION("LOWER(REGEXREPLACE(B4287&amp;"" ""&amp;C4287,""[^а-яa-z0-9 ]"","" ""))")," онт вытяжной пристенный конусный 1100х1100х350мм  полностью из нержавеющей стали 0 8 мм  жироуловители в комплекте      1100 1100 ")</f>
        <v> онт вытяжной пристенный конусный 1100х1100х350мм  полностью из нержавеющей стали 0 8 мм  жироуловители в комплекте      1100 1100 </v>
      </c>
    </row>
    <row r="4288">
      <c r="A4288" s="35" t="s">
        <v>10393</v>
      </c>
      <c r="B4288" s="31" t="s">
        <v>10394</v>
      </c>
      <c r="C4288" s="31" t="s">
        <v>10395</v>
      </c>
      <c r="D4288" s="37" t="s">
        <v>68</v>
      </c>
      <c r="E4288" s="38">
        <v>2.0</v>
      </c>
      <c r="F4288" s="38">
        <v>14.0</v>
      </c>
      <c r="G4288" s="11">
        <v>224150.0</v>
      </c>
      <c r="H4288" s="34" t="str">
        <f>IFERROR(__xludf.DUMMYFUNCTION("LOWER(REGEXREPLACE(B4288&amp;"" ""&amp;C4288,""[^а-яa-z0-9 ]"","" ""))"),"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нержаве"&amp;"ющей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89">
      <c r="A4289" s="35" t="s">
        <v>10396</v>
      </c>
      <c r="B4289" s="9" t="s">
        <v>10397</v>
      </c>
      <c r="C4289" s="31" t="s">
        <v>10398</v>
      </c>
      <c r="D4289" s="37" t="s">
        <v>68</v>
      </c>
      <c r="E4289" s="38">
        <v>2.0</v>
      </c>
      <c r="F4289" s="38">
        <v>16.0</v>
      </c>
      <c r="G4289" s="11">
        <v>247398.0</v>
      </c>
      <c r="H4289" s="34" t="str">
        <f>IFERROR(__xludf.DUMMYFUNCTION("LOWER(REGEXREPLACE(B4289&amp;"" ""&amp;C4289,""[^а-яa-z0-9 ]"","" ""))"),"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нержавею"&amp;"щей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0">
      <c r="A4290" s="35" t="s">
        <v>10399</v>
      </c>
      <c r="B4290" s="9" t="s">
        <v>10400</v>
      </c>
      <c r="C4290" s="31" t="s">
        <v>10401</v>
      </c>
      <c r="D4290" s="37" t="s">
        <v>68</v>
      </c>
      <c r="E4290" s="38">
        <v>2.0</v>
      </c>
      <c r="F4290" s="38">
        <v>25.0</v>
      </c>
      <c r="G4290" s="11">
        <v>273994.0</v>
      </c>
      <c r="H4290" s="34" t="str">
        <f>IFERROR(__xludf.DUMMYFUNCTION("LOWER(REGEXREPLACE(B4290&amp;"" ""&amp;C4290,""[^а-яa-z0-9 ]"","" ""))"),"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1">
      <c r="A4291" s="35" t="s">
        <v>10402</v>
      </c>
      <c r="B4291" s="9" t="s">
        <v>10403</v>
      </c>
      <c r="C4291" s="31" t="s">
        <v>10404</v>
      </c>
      <c r="D4291" s="37" t="s">
        <v>68</v>
      </c>
      <c r="E4291" s="38">
        <v>2.0</v>
      </c>
      <c r="F4291" s="38">
        <v>26.0</v>
      </c>
      <c r="G4291" s="11">
        <v>307197.0</v>
      </c>
      <c r="H4291" s="34" t="str">
        <f>IFERROR(__xludf.DUMMYFUNCTION("LOWER(REGEXREPLACE(B4291&amp;"" ""&amp;C4291,""[^а-яa-z0-9 ]"","" ""))"),"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2">
      <c r="A4292" s="35" t="s">
        <v>10405</v>
      </c>
      <c r="B4292" s="9" t="s">
        <v>10406</v>
      </c>
      <c r="C4292" s="31" t="s">
        <v>10407</v>
      </c>
      <c r="D4292" s="37" t="s">
        <v>68</v>
      </c>
      <c r="E4292" s="38">
        <v>2.0</v>
      </c>
      <c r="F4292" s="38">
        <v>25.0</v>
      </c>
      <c r="G4292" s="11">
        <v>232495.0</v>
      </c>
      <c r="H4292" s="34" t="str">
        <f>IFERROR(__xludf.DUMMYFUNCTION("LOWER(REGEXREPLACE(B4292&amp;"" ""&amp;C4292,""[^а-яa-z0-9 ]"","" ""))"),"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3">
      <c r="A4293" s="35" t="s">
        <v>10408</v>
      </c>
      <c r="B4293" s="9" t="s">
        <v>10409</v>
      </c>
      <c r="C4293" s="31" t="s">
        <v>10410</v>
      </c>
      <c r="D4293" s="37" t="s">
        <v>68</v>
      </c>
      <c r="E4293" s="38">
        <v>2.0</v>
      </c>
      <c r="F4293" s="38">
        <v>28.0</v>
      </c>
      <c r="G4293" s="11">
        <v>290605.0</v>
      </c>
      <c r="H4293" s="34" t="str">
        <f>IFERROR(__xludf.DUMMYFUNCTION("LOWER(REGEXREPLACE(B4293&amp;"" ""&amp;C4293,""[^а-яa-z0-9 ]"","" ""))"),"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4">
      <c r="A4294" s="35" t="s">
        <v>10411</v>
      </c>
      <c r="B4294" s="9" t="s">
        <v>10412</v>
      </c>
      <c r="C4294" s="31" t="s">
        <v>10413</v>
      </c>
      <c r="D4294" s="37" t="s">
        <v>68</v>
      </c>
      <c r="E4294" s="38">
        <v>2.0</v>
      </c>
      <c r="F4294" s="38">
        <v>28.0</v>
      </c>
      <c r="G4294" s="11">
        <v>290605.0</v>
      </c>
      <c r="H4294" s="34" t="str">
        <f>IFERROR(__xludf.DUMMYFUNCTION("LOWER(REGEXREPLACE(B4294&amp;"" ""&amp;C4294,""[^а-яa-z0-9 ]"","" ""))"),"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5">
      <c r="A4295" s="35" t="s">
        <v>10414</v>
      </c>
      <c r="B4295" s="9" t="s">
        <v>10415</v>
      </c>
      <c r="C4295" s="31" t="s">
        <v>10401</v>
      </c>
      <c r="D4295" s="37" t="s">
        <v>68</v>
      </c>
      <c r="E4295" s="38">
        <v>2.0</v>
      </c>
      <c r="F4295" s="38">
        <v>32.0</v>
      </c>
      <c r="G4295" s="11">
        <v>366149.0</v>
      </c>
      <c r="H4295" s="34" t="str">
        <f>IFERROR(__xludf.DUMMYFUNCTION("LOWER(REGEXREPLACE(B4295&amp;"" ""&amp;C4295,""[^а-яa-z0-9 ]"","" ""))"),"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6">
      <c r="A4296" s="35" t="s">
        <v>10416</v>
      </c>
      <c r="B4296" s="9" t="s">
        <v>10417</v>
      </c>
      <c r="C4296" s="31" t="s">
        <v>10418</v>
      </c>
      <c r="D4296" s="37" t="s">
        <v>68</v>
      </c>
      <c r="E4296" s="38">
        <v>2.0</v>
      </c>
      <c r="F4296" s="38">
        <v>32.0</v>
      </c>
      <c r="G4296" s="11">
        <v>366149.0</v>
      </c>
      <c r="H4296" s="34" t="str">
        <f>IFERROR(__xludf.DUMMYFUNCTION("LOWER(REGEXREPLACE(B4296&amp;"" ""&amp;C4296,""[^а-яa-z0-9 ]"","" ""))"),"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7">
      <c r="A4297" s="35" t="s">
        <v>10419</v>
      </c>
      <c r="B4297" s="9" t="s">
        <v>10420</v>
      </c>
      <c r="C4297" s="31" t="s">
        <v>10421</v>
      </c>
      <c r="D4297" s="37" t="s">
        <v>68</v>
      </c>
      <c r="E4297" s="38">
        <v>2.0</v>
      </c>
      <c r="F4297" s="38">
        <v>28.0</v>
      </c>
      <c r="G4297" s="11">
        <v>314177.0</v>
      </c>
      <c r="H4297" s="34" t="str">
        <f>IFERROR(__xludf.DUMMYFUNCTION("LOWER(REGEXREPLACE(B4297&amp;"" ""&amp;C4297,""[^а-яa-z0-9 ]"","" ""))"),"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f>
        <v>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v>
      </c>
    </row>
    <row r="4298">
      <c r="A4298" s="35" t="s">
        <v>10422</v>
      </c>
      <c r="B4298" s="9" t="s">
        <v>10423</v>
      </c>
      <c r="C4298" s="31" t="s">
        <v>10413</v>
      </c>
      <c r="D4298" s="37" t="s">
        <v>68</v>
      </c>
      <c r="E4298" s="38">
        <v>2.0</v>
      </c>
      <c r="F4298" s="38">
        <v>28.0</v>
      </c>
      <c r="G4298" s="11">
        <v>314177.0</v>
      </c>
      <c r="H4298" s="34" t="str">
        <f>IFERROR(__xludf.DUMMYFUNCTION("LOWER(REGEXREPLACE(B4298&amp;"" ""&amp;C4298,""[^а-яa-z0-9 ]"","" ""))"),"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9">
      <c r="A4299" s="35" t="s">
        <v>10424</v>
      </c>
      <c r="B4299" s="9" t="s">
        <v>10425</v>
      </c>
      <c r="C4299" s="31" t="s">
        <v>10401</v>
      </c>
      <c r="D4299" s="37" t="s">
        <v>68</v>
      </c>
      <c r="E4299" s="38">
        <v>2.0</v>
      </c>
      <c r="F4299" s="38">
        <v>29.0</v>
      </c>
      <c r="G4299" s="11">
        <v>280235.0</v>
      </c>
      <c r="H4299" s="34" t="str">
        <f>IFERROR(__xludf.DUMMYFUNCTION("LOWER(REGEXREPLACE(B4299&amp;"" ""&amp;C4299,""[^а-яa-z0-9 ]"","" ""))"),"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0">
      <c r="A4300" s="35" t="s">
        <v>10426</v>
      </c>
      <c r="B4300" s="9" t="s">
        <v>10427</v>
      </c>
      <c r="C4300" s="31" t="s">
        <v>10410</v>
      </c>
      <c r="D4300" s="37" t="s">
        <v>68</v>
      </c>
      <c r="E4300" s="38">
        <v>2.0</v>
      </c>
      <c r="F4300" s="38">
        <v>32.0</v>
      </c>
      <c r="G4300" s="11">
        <v>390219.0</v>
      </c>
      <c r="H4300" s="34" t="str">
        <f>IFERROR(__xludf.DUMMYFUNCTION("LOWER(REGEXREPLACE(B4300&amp;"" ""&amp;C4300,""[^а-яa-z0-9 ]"","" ""))"),"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нер"&amp;"жавеющей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1">
      <c r="A4301" s="35" t="s">
        <v>10428</v>
      </c>
      <c r="B4301" s="9" t="s">
        <v>10429</v>
      </c>
      <c r="C4301" s="31" t="s">
        <v>10430</v>
      </c>
      <c r="D4301" s="37" t="s">
        <v>68</v>
      </c>
      <c r="E4301" s="38">
        <v>2.0</v>
      </c>
      <c r="F4301" s="38">
        <v>32.0</v>
      </c>
      <c r="G4301" s="11">
        <v>390219.0</v>
      </c>
      <c r="H4301" s="34" t="str">
        <f>IFERROR(__xludf.DUMMYFUNCTION("LOWER(REGEXREPLACE(B4301&amp;"" ""&amp;C4301,""[^а-яa-z0-9 ]"","" ""))"),"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2">
      <c r="A4302" s="35" t="s">
        <v>10431</v>
      </c>
      <c r="B4302" s="9" t="s">
        <v>10432</v>
      </c>
      <c r="C4302" s="31" t="s">
        <v>10401</v>
      </c>
      <c r="D4302" s="37" t="s">
        <v>68</v>
      </c>
      <c r="E4302" s="38">
        <v>2.0</v>
      </c>
      <c r="F4302" s="38">
        <v>30.0</v>
      </c>
      <c r="G4302" s="11">
        <v>381911.0</v>
      </c>
      <c r="H4302" s="34" t="str">
        <f>IFERROR(__xludf.DUMMYFUNCTION("LOWER(REGEXREPLACE(B4302&amp;"" ""&amp;C4302,""[^а-яa-z0-9 ]"","" ""))"),"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3">
      <c r="A4303" s="35" t="s">
        <v>10433</v>
      </c>
      <c r="B4303" s="9" t="s">
        <v>10434</v>
      </c>
      <c r="C4303" s="31" t="s">
        <v>10435</v>
      </c>
      <c r="D4303" s="37" t="s">
        <v>68</v>
      </c>
      <c r="E4303" s="38">
        <v>2.0</v>
      </c>
      <c r="F4303" s="38">
        <v>37.0</v>
      </c>
      <c r="G4303" s="11">
        <v>406839.0</v>
      </c>
      <c r="H4303" s="34" t="str">
        <f>IFERROR(__xludf.DUMMYFUNCTION("LOWER(REGEXREPLACE(B4303&amp;"" ""&amp;C4303,""[^а-яa-z0-9 ]"","" ""))"),"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нержа"&amp;"веющей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4">
      <c r="A4304" s="35" t="s">
        <v>10436</v>
      </c>
      <c r="B4304" s="9" t="s">
        <v>10437</v>
      </c>
      <c r="C4304" s="31" t="s">
        <v>10398</v>
      </c>
      <c r="D4304" s="37" t="s">
        <v>68</v>
      </c>
      <c r="E4304" s="38">
        <v>2.0</v>
      </c>
      <c r="F4304" s="38">
        <v>37.0</v>
      </c>
      <c r="G4304" s="11">
        <v>406839.0</v>
      </c>
      <c r="H4304" s="34" t="str">
        <f>IFERROR(__xludf.DUMMYFUNCTION("LOWER(REGEXREPLACE(B4304&amp;"" ""&amp;C4304,""[^а-яa-z0-9 ]"","" ""))"),"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5">
      <c r="A4305" s="35" t="s">
        <v>10438</v>
      </c>
      <c r="B4305" s="9" t="s">
        <v>10439</v>
      </c>
      <c r="C4305" s="31" t="s">
        <v>10440</v>
      </c>
      <c r="D4305" s="37" t="s">
        <v>68</v>
      </c>
      <c r="E4305" s="38">
        <v>2.0</v>
      </c>
      <c r="F4305" s="38">
        <v>36.0</v>
      </c>
      <c r="G4305" s="11">
        <v>343756.0</v>
      </c>
      <c r="H4305" s="34" t="str">
        <f>IFERROR(__xludf.DUMMYFUNCTION("LOWER(REGEXREPLACE(B4305&amp;"" ""&amp;C4305,""[^а-яa-z0-9 ]"","" ""))"),"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6">
      <c r="A4306" s="35" t="s">
        <v>10441</v>
      </c>
      <c r="B4306" s="9" t="s">
        <v>10442</v>
      </c>
      <c r="C4306" s="31" t="s">
        <v>10443</v>
      </c>
      <c r="D4306" s="37" t="s">
        <v>68</v>
      </c>
      <c r="E4306" s="38">
        <v>2.0</v>
      </c>
      <c r="F4306" s="38">
        <v>43.0</v>
      </c>
      <c r="G4306" s="11">
        <v>423463.0</v>
      </c>
      <c r="H4306" s="34" t="str">
        <f>IFERROR(__xludf.DUMMYFUNCTION("LOWER(REGEXREPLACE(B4306&amp;"" ""&amp;C4306,""[^а-яa-z0-9 ]"","" ""))"),"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f>
        <v>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v>
      </c>
    </row>
    <row r="4307">
      <c r="A4307" s="35" t="s">
        <v>10444</v>
      </c>
      <c r="B4307" s="9" t="s">
        <v>10445</v>
      </c>
      <c r="C4307" s="31" t="s">
        <v>10440</v>
      </c>
      <c r="D4307" s="37" t="s">
        <v>68</v>
      </c>
      <c r="E4307" s="38">
        <v>2.0</v>
      </c>
      <c r="F4307" s="38">
        <v>45.0</v>
      </c>
      <c r="G4307" s="11">
        <v>468455.0</v>
      </c>
      <c r="H4307" s="34" t="str">
        <f>IFERROR(__xludf.DUMMYFUNCTION("LOWER(REGEXREPLACE(B4307&amp;"" ""&amp;C4307,""[^а-яa-z0-9 ]"","" ""))"),"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8">
      <c r="A4308" s="35" t="s">
        <v>10446</v>
      </c>
      <c r="B4308" s="9" t="s">
        <v>10447</v>
      </c>
      <c r="C4308" s="31" t="s">
        <v>10440</v>
      </c>
      <c r="D4308" s="37" t="s">
        <v>68</v>
      </c>
      <c r="E4308" s="38">
        <v>2.0</v>
      </c>
      <c r="F4308" s="38">
        <v>50.0</v>
      </c>
      <c r="G4308" s="11">
        <v>523088.0</v>
      </c>
      <c r="H4308" s="34" t="str">
        <f>IFERROR(__xludf.DUMMYFUNCTION("LOWER(REGEXREPLACE(B4308&amp;"" ""&amp;C4308,""[^а-яa-z0-9 ]"","" ""))"),"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9">
      <c r="A4309" s="35" t="s">
        <v>10448</v>
      </c>
      <c r="B4309" s="9" t="s">
        <v>10449</v>
      </c>
      <c r="C4309" s="31" t="s">
        <v>10450</v>
      </c>
      <c r="D4309" s="37" t="s">
        <v>68</v>
      </c>
      <c r="E4309" s="38">
        <v>2.0</v>
      </c>
      <c r="F4309" s="38">
        <v>50.0</v>
      </c>
      <c r="G4309" s="11">
        <v>523088.0</v>
      </c>
      <c r="H4309" s="34" t="str">
        <f>IFERROR(__xludf.DUMMYFUNCTION("LOWER(REGEXREPLACE(B4309&amp;"" ""&amp;C4309,""[^а-яa-z0-9 ]"","" ""))"),"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0">
      <c r="A4310" s="35" t="s">
        <v>10451</v>
      </c>
      <c r="B4310" s="9" t="s">
        <v>10452</v>
      </c>
      <c r="C4310" s="31" t="s">
        <v>10453</v>
      </c>
      <c r="D4310" s="37" t="s">
        <v>68</v>
      </c>
      <c r="E4310" s="38">
        <v>2.0</v>
      </c>
      <c r="F4310" s="38">
        <v>49.0</v>
      </c>
      <c r="G4310" s="11">
        <v>506485.0</v>
      </c>
      <c r="H4310" s="34" t="str">
        <f>IFERROR(__xludf.DUMMYFUNCTION("LOWER(REGEXREPLACE(B4310&amp;"" ""&amp;C4310,""[^а-яa-z0-9 ]"","" ""))"),"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1">
      <c r="A4311" s="35" t="s">
        <v>10454</v>
      </c>
      <c r="B4311" s="9" t="s">
        <v>10455</v>
      </c>
      <c r="C4311" s="31" t="s">
        <v>10456</v>
      </c>
      <c r="D4311" s="37" t="s">
        <v>68</v>
      </c>
      <c r="E4311" s="38">
        <v>2.0</v>
      </c>
      <c r="F4311" s="38">
        <v>58.0</v>
      </c>
      <c r="G4311" s="11">
        <v>681646.0</v>
      </c>
      <c r="H4311" s="34" t="str">
        <f>IFERROR(__xludf.DUMMYFUNCTION("LOWER(REGEXREPLACE(B4311&amp;"" ""&amp;C4311,""[^а-яa-z0-9 ]"","" ""))"),"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стал"&amp;"и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2">
      <c r="A4312" s="35" t="s">
        <v>10457</v>
      </c>
      <c r="B4312" s="31" t="s">
        <v>10458</v>
      </c>
      <c r="C4312" s="31"/>
      <c r="D4312" s="37" t="s">
        <v>14</v>
      </c>
      <c r="E4312" s="38">
        <v>2.0</v>
      </c>
      <c r="F4312" s="36"/>
      <c r="G4312" s="11"/>
      <c r="H4312" s="34" t="str">
        <f>IFERROR(__xludf.DUMMYFUNCTION("LOWER(REGEXREPLACE(B4312&amp;"" ""&amp;C4312,""[^а-яa-z0-9 ]"","" ""))")," онт вытяжной островной из жаропрочной нержавеющей стали ")</f>
        <v> онт вытяжной островной из жаропрочной нержавеющей стали </v>
      </c>
    </row>
    <row r="4313">
      <c r="A4313" s="35" t="s">
        <v>10459</v>
      </c>
      <c r="B4313" s="31" t="s">
        <v>10460</v>
      </c>
      <c r="C4313" s="31"/>
      <c r="D4313" s="37" t="s">
        <v>14</v>
      </c>
      <c r="E4313" s="38">
        <v>2.0</v>
      </c>
      <c r="F4313" s="39">
        <v>86.4</v>
      </c>
      <c r="G4313" s="11">
        <v>492668.0</v>
      </c>
      <c r="H4313" s="34" t="str">
        <f>IFERROR(__xludf.DUMMYFUNCTION("LOWER(REGEXREPLACE(B4313&amp;"" ""&amp;C4313,""[^а-яa-z0-9 ]"","" ""))")," онт вытяжной островной из жаропрочной нержавеющей стали 1600х2200х350       ")</f>
        <v> онт вытяжной островной из жаропрочной нержавеющей стали 1600х2200х350       </v>
      </c>
    </row>
    <row r="4314">
      <c r="A4314" s="35" t="s">
        <v>10461</v>
      </c>
      <c r="B4314" s="31" t="s">
        <v>10462</v>
      </c>
      <c r="C4314" s="31"/>
      <c r="D4314" s="37" t="s">
        <v>14</v>
      </c>
      <c r="E4314" s="38">
        <v>2.0</v>
      </c>
      <c r="F4314" s="38">
        <v>289.0</v>
      </c>
      <c r="G4314" s="11">
        <v>2158065.0</v>
      </c>
      <c r="H4314" s="34" t="str">
        <f>IFERROR(__xludf.DUMMYFUNCTION("LOWER(REGEXREPLACE(B4314&amp;"" ""&amp;C4314,""[^а-яa-z0-9 ]"","" ""))")," онт вытяжной островной из жаропрочной нержавеющей стали 6000х2000х350 мм  с жироуловителями  краном для слива конденсата  крепежными элементами      2000 6000 ")</f>
        <v> онт вытяжной островной из жаропрочной нержавеющей стали 6000х2000х350 мм  с жироуловителями  краном для слива конденсата  крепежными элементами      2000 6000 </v>
      </c>
    </row>
    <row r="4315">
      <c r="A4315" s="35" t="s">
        <v>10463</v>
      </c>
      <c r="B4315" s="31" t="s">
        <v>10464</v>
      </c>
      <c r="C4315" s="31"/>
      <c r="D4315" s="37" t="s">
        <v>14</v>
      </c>
      <c r="E4315" s="38">
        <v>2.0</v>
      </c>
      <c r="F4315" s="38">
        <v>69.0</v>
      </c>
      <c r="G4315" s="11">
        <v>816820.0</v>
      </c>
      <c r="H4315" s="34" t="str">
        <f>IFERROR(__xludf.DUMMYFUNCTION("LOWER(REGEXREPLACE(B4315&amp;"" ""&amp;C4315,""[^а-яa-z0-9 ]"","" ""))"),"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f>
        <v>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v>
      </c>
    </row>
    <row r="4316">
      <c r="A4316" s="35" t="s">
        <v>10465</v>
      </c>
      <c r="B4316" s="31" t="s">
        <v>10466</v>
      </c>
      <c r="C4316" s="31" t="s">
        <v>10466</v>
      </c>
      <c r="D4316" s="37" t="s">
        <v>68</v>
      </c>
      <c r="E4316" s="38">
        <v>2.0</v>
      </c>
      <c r="F4316" s="38">
        <v>73.0</v>
      </c>
      <c r="G4316" s="11">
        <v>1599753.0</v>
      </c>
      <c r="H4316" s="34" t="str">
        <f>IFERROR(__xludf.DUMMYFUNCTION("LOWER(REGEXREPLACE(B4316&amp;"" ""&amp;C4316,""[^а-яa-z0-9 ]"","" ""))"),"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жироуловителями"&amp;"  краном для слива конденсата  крепежными элементами")</f>
        <v>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  краном для слива конденсата  крепежными элементами</v>
      </c>
    </row>
    <row r="4317">
      <c r="A4317" s="35" t="s">
        <v>10467</v>
      </c>
      <c r="B4317" s="31" t="s">
        <v>10468</v>
      </c>
      <c r="C4317" s="31"/>
      <c r="D4317" s="37" t="s">
        <v>14</v>
      </c>
      <c r="E4317" s="38">
        <v>2.0</v>
      </c>
      <c r="F4317" s="38">
        <v>289.0</v>
      </c>
      <c r="G4317" s="11">
        <v>2241225.0</v>
      </c>
      <c r="H4317" s="34" t="str">
        <f>IFERROR(__xludf.DUMMYFUNCTION("LOWER(REGEXREPLACE(B4317&amp;"" ""&amp;C4317,""[^а-яa-z0-9 ]"","" ""))"),"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f>
        <v>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v>
      </c>
    </row>
    <row r="4318">
      <c r="A4318" s="35" t="s">
        <v>10469</v>
      </c>
      <c r="B4318" s="9" t="s">
        <v>10470</v>
      </c>
      <c r="C4318" s="31"/>
      <c r="D4318" s="37" t="s">
        <v>68</v>
      </c>
      <c r="E4318" s="38">
        <v>2.0</v>
      </c>
      <c r="F4318" s="38">
        <v>59.0</v>
      </c>
      <c r="G4318" s="11">
        <v>1770024.0</v>
      </c>
      <c r="H4318" s="34" t="str">
        <f>IFERROR(__xludf.DUMMYFUNCTION("LOWER(REGEXREPLACE(B4318&amp;"" ""&amp;C4318,""[^а-яa-z0-9 ]"","" ""))")," онт вытяжной островной кубический 2500х2200х400мм  приточно вытяжной  полностью из нержавеющей стали 0 8 мм  жироуловители в комплекте       2500 2200 ")</f>
        <v> онт вытяжной островной кубический 2500х2200х400мм  приточно вытяжной  полностью из нержавеющей стали 0 8 мм  жироуловители в комплекте       2500 2200 </v>
      </c>
    </row>
    <row r="4319">
      <c r="A4319" s="35" t="s">
        <v>10471</v>
      </c>
      <c r="B4319" s="9" t="s">
        <v>10472</v>
      </c>
      <c r="C4319" s="31"/>
      <c r="D4319" s="37" t="s">
        <v>68</v>
      </c>
      <c r="E4319" s="38">
        <v>2.0</v>
      </c>
      <c r="F4319" s="38">
        <v>89.0</v>
      </c>
      <c r="G4319" s="11">
        <v>724101.0</v>
      </c>
      <c r="H4319" s="34" t="str">
        <f>IFERROR(__xludf.DUMMYFUNCTION("LOWER(REGEXREPLACE(B4319&amp;"" ""&amp;C4319,""[^а-яa-z0-9 ]"","" ""))"),"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f>
        <v>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v>
      </c>
    </row>
    <row r="4320">
      <c r="A4320" s="35" t="s">
        <v>10473</v>
      </c>
      <c r="B4320" s="9" t="s">
        <v>10474</v>
      </c>
      <c r="C4320" s="31"/>
      <c r="D4320" s="37" t="s">
        <v>68</v>
      </c>
      <c r="E4320" s="38">
        <v>2.0</v>
      </c>
      <c r="F4320" s="38">
        <v>74.0</v>
      </c>
      <c r="G4320" s="11">
        <v>710760.0</v>
      </c>
      <c r="H4320" s="34" t="str">
        <f>IFERROR(__xludf.DUMMYFUNCTION("LOWER(REGEXREPLACE(B4320&amp;"" ""&amp;C4320,""[^а-яa-z0-9 ]"","" ""))"),"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f>
        <v>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v>
      </c>
    </row>
    <row r="4321">
      <c r="A4321" s="35" t="s">
        <v>10475</v>
      </c>
      <c r="B4321" s="9" t="s">
        <v>10476</v>
      </c>
      <c r="C4321" s="31"/>
      <c r="D4321" s="37" t="s">
        <v>68</v>
      </c>
      <c r="E4321" s="38">
        <v>2.0</v>
      </c>
      <c r="F4321" s="38">
        <v>140.0</v>
      </c>
      <c r="G4321" s="11">
        <v>1627321.0</v>
      </c>
      <c r="H4321" s="34" t="str">
        <f>IFERROR(__xludf.DUMMYFUNCTION("LOWER(REGEXREPLACE(B4321&amp;"" ""&amp;C4321,""[^а-яa-z0-9 ]"","" ""))"),"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f>
        <v>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v>
      </c>
    </row>
    <row r="4322">
      <c r="A4322" s="35" t="s">
        <v>10477</v>
      </c>
      <c r="B4322" s="9" t="s">
        <v>10478</v>
      </c>
      <c r="C4322" s="31"/>
      <c r="D4322" s="37" t="s">
        <v>68</v>
      </c>
      <c r="E4322" s="38">
        <v>2.0</v>
      </c>
      <c r="F4322" s="38">
        <v>250.0</v>
      </c>
      <c r="G4322" s="11">
        <v>2348189.0</v>
      </c>
      <c r="H4322" s="34" t="str">
        <f>IFERROR(__xludf.DUMMYFUNCTION("LOWER(REGEXREPLACE(B4322&amp;"" ""&amp;C4322,""[^а-яa-z0-9 ]"","" ""))"),"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f>
        <v>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v>
      </c>
    </row>
    <row r="4323">
      <c r="A4323" s="35" t="s">
        <v>10479</v>
      </c>
      <c r="B4323" s="9" t="s">
        <v>10480</v>
      </c>
      <c r="C4323" s="31"/>
      <c r="D4323" s="37" t="s">
        <v>68</v>
      </c>
      <c r="E4323" s="38">
        <v>2.0</v>
      </c>
      <c r="F4323" s="38">
        <v>230.0</v>
      </c>
      <c r="G4323" s="11">
        <v>2038250.0</v>
      </c>
      <c r="H4323" s="34" t="str">
        <f>IFERROR(__xludf.DUMMYFUNCTION("LOWER(REGEXREPLACE(B4323&amp;"" ""&amp;C4323,""[^а-яa-z0-9 ]"","" ""))"),"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f>
        <v>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v>
      </c>
    </row>
    <row r="4324">
      <c r="A4324" s="35" t="s">
        <v>10481</v>
      </c>
      <c r="B4324" s="31" t="s">
        <v>10482</v>
      </c>
      <c r="C4324" s="31"/>
      <c r="D4324" s="37" t="s">
        <v>14</v>
      </c>
      <c r="E4324" s="10"/>
      <c r="F4324" s="36"/>
      <c r="G4324" s="11">
        <v>507143.0</v>
      </c>
      <c r="H4324" s="34" t="str">
        <f>IFERROR(__xludf.DUMMYFUNCTION("LOWER(REGEXREPLACE(B4324&amp;"" ""&amp;C4324,""[^а-яa-z0-9 ]"","" ""))")," онт вентиляционный пристенный     1300 2200    1300х2200х400  ")</f>
        <v> онт вентиляционный пристенный     1300 2200    1300х2200х400  </v>
      </c>
    </row>
    <row r="4325">
      <c r="A4325" s="35" t="s">
        <v>10483</v>
      </c>
      <c r="B4325" s="31" t="s">
        <v>10484</v>
      </c>
      <c r="C4325" s="31"/>
      <c r="D4325" s="37" t="s">
        <v>14</v>
      </c>
      <c r="E4325" s="10"/>
      <c r="F4325" s="38">
        <v>78.0</v>
      </c>
      <c r="G4325" s="11">
        <v>380655.0</v>
      </c>
      <c r="H4325" s="34" t="str">
        <f>IFERROR(__xludf.DUMMYFUNCTION("LOWER(REGEXREPLACE(B4325&amp;"" ""&amp;C4325,""[^а-яa-z0-9 ]"","" ""))")," онт вентиляционный     900 2   ")</f>
        <v> онт вентиляционный     900 2   </v>
      </c>
    </row>
    <row r="4326">
      <c r="A4326" s="35" t="s">
        <v>10485</v>
      </c>
      <c r="B4326" s="31" t="s">
        <v>10486</v>
      </c>
      <c r="C4326" s="31"/>
      <c r="D4326" s="37" t="s">
        <v>14</v>
      </c>
      <c r="E4326" s="10"/>
      <c r="F4326" s="38">
        <v>12.0</v>
      </c>
      <c r="G4326" s="11">
        <v>76786.0</v>
      </c>
      <c r="H4326" s="34" t="str">
        <f>IFERROR(__xludf.DUMMYFUNCTION("LOWER(REGEXREPLACE(B4326&amp;"" ""&amp;C4326,""[^а-яa-z0-9 ]"","" ""))")," анна моечная       1 500  600х600х850  ")</f>
        <v> анна моечная       1 500  600х600х850  </v>
      </c>
    </row>
    <row r="4327">
      <c r="A4327" s="35" t="s">
        <v>10487</v>
      </c>
      <c r="B4327" s="31" t="s">
        <v>10488</v>
      </c>
      <c r="C4327" s="31"/>
      <c r="D4327" s="37" t="s">
        <v>14</v>
      </c>
      <c r="E4327" s="10"/>
      <c r="F4327" s="39">
        <v>19.5</v>
      </c>
      <c r="G4327" s="11">
        <v>132500.0</v>
      </c>
      <c r="H4327" s="34" t="str">
        <f>IFERROR(__xludf.DUMMYFUNCTION("LOWER(REGEXREPLACE(B4327&amp;"" ""&amp;C4327,""[^а-яa-z0-9 ]"","" ""))")," анна моечная       2 500  1200х600х850  ")</f>
        <v> анна моечная       2 500  1200х600х850  </v>
      </c>
    </row>
    <row r="4328">
      <c r="A4328" s="35" t="s">
        <v>10489</v>
      </c>
      <c r="B4328" s="31" t="s">
        <v>10490</v>
      </c>
      <c r="C4328" s="31"/>
      <c r="D4328" s="37" t="s">
        <v>14</v>
      </c>
      <c r="E4328" s="10"/>
      <c r="F4328" s="38">
        <v>36.0</v>
      </c>
      <c r="G4328" s="11">
        <v>167500.0</v>
      </c>
      <c r="H4328" s="34" t="str">
        <f>IFERROR(__xludf.DUMMYFUNCTION("LOWER(REGEXREPLACE(B4328&amp;"" ""&amp;C4328,""[^а-яa-z0-9 ]"","" ""))")," анна моечная       2 600  1400х700х850  ")</f>
        <v> анна моечная       2 600  1400х700х850  </v>
      </c>
    </row>
    <row r="4329">
      <c r="A4329" s="35" t="s">
        <v>10491</v>
      </c>
      <c r="B4329" s="31" t="s">
        <v>10492</v>
      </c>
      <c r="C4329" s="31"/>
      <c r="D4329" s="37" t="s">
        <v>14</v>
      </c>
      <c r="E4329" s="10"/>
      <c r="F4329" s="36"/>
      <c r="G4329" s="11">
        <v>225259.0</v>
      </c>
      <c r="H4329" s="34" t="str">
        <f>IFERROR(__xludf.DUMMYFUNCTION("LOWER(REGEXREPLACE(B4329&amp;"" ""&amp;C4329,""[^а-яa-z0-9 ]"","" ""))")," анна моечная       3 500  1800х600х850  ")</f>
        <v> анна моечная       3 500  1800х600х850  </v>
      </c>
    </row>
    <row r="4330">
      <c r="A4330" s="35" t="s">
        <v>10493</v>
      </c>
      <c r="B4330" s="31" t="s">
        <v>10494</v>
      </c>
      <c r="C4330" s="31"/>
      <c r="D4330" s="37" t="s">
        <v>14</v>
      </c>
      <c r="E4330" s="10"/>
      <c r="F4330" s="39">
        <v>18.6</v>
      </c>
      <c r="G4330" s="11">
        <v>239375.0</v>
      </c>
      <c r="H4330" s="34" t="str">
        <f>IFERROR(__xludf.DUMMYFUNCTION("LOWER(REGEXREPLACE(B4330&amp;"" ""&amp;C4330,""[^а-яa-z0-9 ]"","" ""))")," анна моечная      2 1 500    700х700х850  ")</f>
        <v> анна моечная      2 1 500    700х700х850  </v>
      </c>
    </row>
    <row r="4331">
      <c r="A4331" s="35" t="s">
        <v>10495</v>
      </c>
      <c r="B4331" s="31" t="s">
        <v>10496</v>
      </c>
      <c r="C4331" s="31"/>
      <c r="D4331" s="37" t="s">
        <v>14</v>
      </c>
      <c r="E4331" s="10"/>
      <c r="F4331" s="38">
        <v>25.0</v>
      </c>
      <c r="G4331" s="11">
        <v>291209.0</v>
      </c>
      <c r="H4331" s="34" t="str">
        <f>IFERROR(__xludf.DUMMYFUNCTION("LOWER(REGEXREPLACE(B4331&amp;"" ""&amp;C4331,""[^а-яa-z0-9 ]"","" ""))")," анна котломоечная       1 500 1100  1200х600х850  ")</f>
        <v> анна котломоечная       1 500 1100  1200х600х850  </v>
      </c>
    </row>
    <row r="4332">
      <c r="A4332" s="35" t="s">
        <v>10497</v>
      </c>
      <c r="B4332" s="31" t="s">
        <v>10498</v>
      </c>
      <c r="C4332" s="31"/>
      <c r="D4332" s="37" t="s">
        <v>14</v>
      </c>
      <c r="E4332" s="10"/>
      <c r="F4332" s="36"/>
      <c r="G4332" s="11"/>
      <c r="H4332" s="34" t="str">
        <f>IFERROR(__xludf.DUMMYFUNCTION("LOWER(REGEXREPLACE(B4332&amp;"" ""&amp;C4332,""[^а-яa-z0-9 ]"","" ""))")," олода разрубочная ")</f>
        <v> олода разрубочная </v>
      </c>
    </row>
    <row r="4333">
      <c r="A4333" s="35" t="s">
        <v>10499</v>
      </c>
      <c r="B4333" s="9" t="s">
        <v>10500</v>
      </c>
      <c r="C4333" s="31" t="s">
        <v>10501</v>
      </c>
      <c r="D4333" s="37" t="s">
        <v>14</v>
      </c>
      <c r="E4333" s="10"/>
      <c r="F4333" s="38">
        <v>16.0</v>
      </c>
      <c r="G4333" s="11">
        <v>278145.0</v>
      </c>
      <c r="H4333" s="34" t="str">
        <f>IFERROR(__xludf.DUMMYFUNCTION("LOWER(REGEXREPLACE(B4333&amp;"" ""&amp;C4333,""[^а-яa-z0-9 ]"","" ""))")," олода разрубочная  размеры не менее 500х500х150мм  атериал столешницы дерево полипропилен   аркас выполнен из оцинкованной стали ")</f>
        <v> олода разрубочная  размеры не менее 500х500х150мм  атериал столешницы дерево полипропилен   аркас выполнен из оцинкованной стали </v>
      </c>
    </row>
    <row r="4334">
      <c r="A4334" s="35" t="s">
        <v>10502</v>
      </c>
      <c r="B4334" s="31" t="s">
        <v>10503</v>
      </c>
      <c r="C4334" s="31"/>
      <c r="D4334" s="37" t="s">
        <v>14</v>
      </c>
      <c r="E4334" s="10"/>
      <c r="F4334" s="38">
        <v>23.0</v>
      </c>
      <c r="G4334" s="11">
        <v>451188.0</v>
      </c>
      <c r="H4334" s="34" t="str">
        <f>IFERROR(__xludf.DUMMYFUNCTION("LOWER(REGEXREPLACE(B4334&amp;"" ""&amp;C4334,""[^а-яa-z0-9 ]"","" ""))")," олода разрубочная 500х500х700 мм рубочная поверхность полипропилен 500х500х80 мм     500 ")</f>
        <v> олода разрубочная 500х500х700 мм рубочная поверхность полипропилен 500х500х80 мм     500 </v>
      </c>
    </row>
    <row r="4335">
      <c r="A4335" s="35" t="s">
        <v>10504</v>
      </c>
      <c r="B4335" s="31" t="s">
        <v>10505</v>
      </c>
      <c r="C4335" s="31"/>
      <c r="D4335" s="37" t="s">
        <v>14</v>
      </c>
      <c r="E4335" s="38">
        <v>2.0</v>
      </c>
      <c r="F4335" s="38">
        <v>25.0</v>
      </c>
      <c r="G4335" s="11">
        <v>285613.0</v>
      </c>
      <c r="H4335" s="34" t="str">
        <f>IFERROR(__xludf.DUMMYFUNCTION("LOWER(REGEXREPLACE(B4335&amp;"" ""&amp;C4335,""[^а-яa-z0-9 ]"","" ""))")," олода для рубки мяса     5 5    размеры 500х500х850 мм  каркас из трубы нержавеющей стали 40х40 мм  колода из полипропилена толщиной не менее 40 мм ")</f>
        <v> олода для рубки мяса     5 5    размеры 500х500х850 мм  каркас из трубы нержавеющей стали 40х40 мм  колода из полипропилена толщиной не менее 40 мм </v>
      </c>
    </row>
    <row r="4336">
      <c r="A4336" s="35" t="s">
        <v>10506</v>
      </c>
      <c r="B4336" s="31" t="s">
        <v>10507</v>
      </c>
      <c r="C4336" s="31"/>
      <c r="D4336" s="37" t="s">
        <v>14</v>
      </c>
      <c r="E4336" s="38">
        <v>2.0</v>
      </c>
      <c r="F4336" s="38">
        <v>35.0</v>
      </c>
      <c r="G4336" s="11">
        <v>390231.0</v>
      </c>
      <c r="H4336" s="34" t="str">
        <f>IFERROR(__xludf.DUMMYFUNCTION("LOWER(REGEXREPLACE(B4336&amp;"" ""&amp;C4336,""[^а-яa-z0-9 ]"","" ""))")," олода для рубки мяса     7 5    размеры 700х500х850 мм  каркас из трубы нержавеющей стали 40х40 мм  колода из полипропилена толщиной не менее 40 мм  ")</f>
        <v> олода для рубки мяса     7 5    размеры 700х500х850 мм  каркас из трубы нержавеющей стали 40х40 мм  колода из полипропилена толщиной не менее 40 мм  </v>
      </c>
    </row>
    <row r="4337">
      <c r="A4337" s="35" t="s">
        <v>10508</v>
      </c>
      <c r="B4337" s="31" t="s">
        <v>10509</v>
      </c>
      <c r="C4337" s="31" t="s">
        <v>10510</v>
      </c>
      <c r="D4337" s="37" t="s">
        <v>14</v>
      </c>
      <c r="E4337" s="38">
        <v>2.0</v>
      </c>
      <c r="F4337" s="38">
        <v>32.0</v>
      </c>
      <c r="G4337" s="11">
        <v>406818.0</v>
      </c>
      <c r="H4337" s="34" t="str">
        <f>IFERROR(__xludf.DUMMYFUNCTION("LOWER(REGEXREPLACE(B4337&amp;"" ""&amp;C4337,""[^а-яa-z0-9 ]"","" ""))"),"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стали"&amp;"      430   рючки   пруток  диаметром 10 мм нержавеющая сталь 12 18 10 ")</f>
        <v>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8">
      <c r="A4338" s="35" t="s">
        <v>10511</v>
      </c>
      <c r="B4338" s="31" t="s">
        <v>10512</v>
      </c>
      <c r="C4338" s="31" t="s">
        <v>10510</v>
      </c>
      <c r="D4338" s="37" t="s">
        <v>14</v>
      </c>
      <c r="E4338" s="38">
        <v>2.0</v>
      </c>
      <c r="F4338" s="38">
        <v>35.0</v>
      </c>
      <c r="G4338" s="11">
        <v>473228.0</v>
      </c>
      <c r="H4338" s="34" t="str">
        <f>IFERROR(__xludf.DUMMYFUNCTION("LOWER(REGEXREPLACE(B4338&amp;"" ""&amp;C4338,""[^а-яa-z0-9 ]"","" ""))"),"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"&amp;"    430   рючки   пруток  диаметром 10 мм нержавеющая сталь 12 18 10 ")</f>
        <v>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9">
      <c r="A4339" s="35" t="s">
        <v>10513</v>
      </c>
      <c r="B4339" s="9" t="s">
        <v>10514</v>
      </c>
      <c r="C4339" s="31"/>
      <c r="D4339" s="37" t="s">
        <v>14</v>
      </c>
      <c r="E4339" s="10"/>
      <c r="F4339" s="39">
        <v>11.4</v>
      </c>
      <c r="G4339" s="11">
        <v>199176.0</v>
      </c>
      <c r="H4339" s="34" t="str">
        <f>IFERROR(__xludf.DUMMYFUNCTION("LOWER(REGEXREPLACE(B4339&amp;"" ""&amp;C4339,""[^а-яa-z0-9 ]"","" ""))")," ележка сервировочная  теси      2 800 500 850 02     2  2 полки  800х500х850  ")</f>
        <v> ележка сервировочная  теси      2 800 500 850 02     2  2 полки  800х500х850  </v>
      </c>
    </row>
    <row r="4340">
      <c r="A4340" s="35" t="s">
        <v>10515</v>
      </c>
      <c r="B4340" s="31" t="s">
        <v>10516</v>
      </c>
      <c r="C4340" s="31"/>
      <c r="D4340" s="37" t="s">
        <v>14</v>
      </c>
      <c r="E4340" s="10"/>
      <c r="F4340" s="36"/>
      <c r="G4340" s="11"/>
      <c r="H4340" s="34" t="str">
        <f>IFERROR(__xludf.DUMMYFUNCTION("LOWER(REGEXREPLACE(B4340&amp;"" ""&amp;C4340,""[^а-яa-z0-9 ]"","" ""))")," ележка шпилька для подносов ")</f>
        <v> ележка шпилька для подносов </v>
      </c>
    </row>
    <row r="4341">
      <c r="A4341" s="35" t="s">
        <v>10517</v>
      </c>
      <c r="B4341" s="31" t="s">
        <v>10518</v>
      </c>
      <c r="C4341" s="31"/>
      <c r="D4341" s="37" t="s">
        <v>14</v>
      </c>
      <c r="E4341" s="10"/>
      <c r="F4341" s="38">
        <v>13.0</v>
      </c>
      <c r="G4341" s="11">
        <v>267836.0</v>
      </c>
      <c r="H4341" s="34" t="str">
        <f>IFERROR(__xludf.DUMMYFUNCTION("LOWER(REGEXREPLACE(B4341&amp;"" ""&amp;C4341,""[^а-яa-z0-9 ]"","" ""))")," ележка шпилька для подносов  12 уровней 520х420х1800 ")</f>
        <v> ележка шпилька для подносов  12 уровней 520х420х1800 </v>
      </c>
    </row>
    <row r="4342">
      <c r="A4342" s="35" t="s">
        <v>10519</v>
      </c>
      <c r="B4342" s="31" t="s">
        <v>10520</v>
      </c>
      <c r="C4342" s="31"/>
      <c r="D4342" s="37" t="s">
        <v>14</v>
      </c>
      <c r="E4342" s="10"/>
      <c r="F4342" s="38">
        <v>18.0</v>
      </c>
      <c r="G4342" s="11">
        <v>300000.0</v>
      </c>
      <c r="H4342" s="34" t="str">
        <f>IFERROR(__xludf.DUMMYFUNCTION("LOWER(REGEXREPLACE(B4342&amp;"" ""&amp;C4342,""[^а-яa-z0-9 ]"","" ""))")," ележка шпилька для подносов 15 уровней  420х520х1800  из нержавеющей стали     15 ")</f>
        <v> ележка шпилька для подносов 15 уровней  420х520х1800  из нержавеющей стали     15 </v>
      </c>
    </row>
    <row r="4343">
      <c r="A4343" s="35" t="s">
        <v>10521</v>
      </c>
      <c r="B4343" s="31" t="s">
        <v>10522</v>
      </c>
      <c r="C4343" s="31"/>
      <c r="D4343" s="37" t="s">
        <v>14</v>
      </c>
      <c r="E4343" s="38">
        <v>2.0</v>
      </c>
      <c r="F4343" s="38">
        <v>20.0</v>
      </c>
      <c r="G4343" s="11">
        <v>285593.0</v>
      </c>
      <c r="H4343" s="34" t="str">
        <f>IFERROR(__xludf.DUMMYFUNCTION("LOWER(REGEXREPLACE(B4343&amp;"" ""&amp;C4343,""[^а-яa-z0-9 ]"","" ""))"),"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f>
        <v>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v>
      </c>
    </row>
    <row r="4344">
      <c r="A4344" s="35" t="s">
        <v>10523</v>
      </c>
      <c r="B4344" s="31" t="s">
        <v>10524</v>
      </c>
      <c r="C4344" s="31"/>
      <c r="D4344" s="37" t="s">
        <v>14</v>
      </c>
      <c r="E4344" s="38">
        <v>2.0</v>
      </c>
      <c r="F4344" s="38">
        <v>36.0</v>
      </c>
      <c r="G4344" s="11">
        <v>473232.0</v>
      </c>
      <c r="H4344" s="34" t="str">
        <f>IFERROR(__xludf.DUMMYFUNCTION("LOWER(REGEXREPLACE(B4344&amp;"" ""&amp;C4344,""[^а-яa-z0-9 ]"","" ""))"),"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f>
        <v>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v>
      </c>
    </row>
    <row r="4345">
      <c r="A4345" s="35" t="s">
        <v>10525</v>
      </c>
      <c r="B4345" s="31" t="s">
        <v>10526</v>
      </c>
      <c r="C4345" s="31"/>
      <c r="D4345" s="37" t="s">
        <v>14</v>
      </c>
      <c r="E4345" s="10"/>
      <c r="F4345" s="36"/>
      <c r="G4345" s="11"/>
      <c r="H4345" s="34" t="str">
        <f>IFERROR(__xludf.DUMMYFUNCTION("LOWER(REGEXREPLACE(B4345&amp;"" ""&amp;C4345,""[^а-яa-z0-9 ]"","" ""))")," ележка шпилька для гастроемкостей ")</f>
        <v> ележка шпилька для гастроемкостей </v>
      </c>
    </row>
    <row r="4346">
      <c r="A4346" s="35" t="s">
        <v>10527</v>
      </c>
      <c r="B4346" s="31" t="s">
        <v>10528</v>
      </c>
      <c r="C4346" s="31"/>
      <c r="D4346" s="37" t="s">
        <v>14</v>
      </c>
      <c r="E4346" s="10"/>
      <c r="F4346" s="38">
        <v>13.0</v>
      </c>
      <c r="G4346" s="11">
        <v>258510.0</v>
      </c>
      <c r="H4346" s="34" t="str">
        <f>IFERROR(__xludf.DUMMYFUNCTION("LOWER(REGEXREPLACE(B4346&amp;"" ""&amp;C4346,""[^а-яa-z0-9 ]"","" ""))")," ележка шпилька для гастроемкостей     1 1 2 1     12  575х680х1750  ")</f>
        <v> ележка шпилька для гастроемкостей     1 1 2 1     12  575х680х1750  </v>
      </c>
    </row>
    <row r="4347">
      <c r="A4347" s="35" t="s">
        <v>10529</v>
      </c>
      <c r="B4347" s="31" t="s">
        <v>10530</v>
      </c>
      <c r="C4347" s="31"/>
      <c r="D4347" s="37" t="s">
        <v>14</v>
      </c>
      <c r="E4347" s="10"/>
      <c r="F4347" s="38">
        <v>18.0</v>
      </c>
      <c r="G4347" s="11">
        <v>259207.0</v>
      </c>
      <c r="H4347" s="34" t="str">
        <f>IFERROR(__xludf.DUMMYFUNCTION("LOWER(REGEXREPLACE(B4347&amp;"" ""&amp;C4347,""[^а-яa-z0-9 ]"","" ""))")," ележка шпилька для гастроемкостей 15 уровней  1500х560х385мм  из нержавеющей стали    15 1 1 ")</f>
        <v> ележка шпилька для гастроемкостей 15 уровней  1500х560х385мм  из нержавеющей стали    15 1 1 </v>
      </c>
    </row>
    <row r="4348">
      <c r="A4348" s="35" t="s">
        <v>10531</v>
      </c>
      <c r="B4348" s="31" t="s">
        <v>10532</v>
      </c>
      <c r="C4348" s="31"/>
      <c r="D4348" s="37" t="s">
        <v>14</v>
      </c>
      <c r="E4348" s="10"/>
      <c r="F4348" s="38">
        <v>18.0</v>
      </c>
      <c r="G4348" s="11">
        <v>300000.0</v>
      </c>
      <c r="H4348" s="34" t="str">
        <f>IFERROR(__xludf.DUMMYFUNCTION("LOWER(REGEXREPLACE(B4348&amp;"" ""&amp;C4348,""[^а-яa-z0-9 ]"","" ""))")," ележка шпилька для посудомоечных кассет 15 уровней  520х520х1800 мм  из нержавеющей стали     15 ")</f>
        <v> ележка шпилька для посудомоечных кассет 15 уровней  520х520х1800 мм  из нержавеющей стали     15 </v>
      </c>
    </row>
    <row r="4349">
      <c r="A4349" s="35" t="s">
        <v>10533</v>
      </c>
      <c r="B4349" s="31" t="s">
        <v>10534</v>
      </c>
      <c r="C4349" s="31"/>
      <c r="D4349" s="37" t="s">
        <v>14</v>
      </c>
      <c r="E4349" s="10"/>
      <c r="F4349" s="39">
        <v>12.6</v>
      </c>
      <c r="G4349" s="11">
        <v>354396.0</v>
      </c>
      <c r="H4349" s="34" t="str">
        <f>IFERROR(__xludf.DUMMYFUNCTION("LOWER(REGEXREPLACE(B4349&amp;"" ""&amp;C4349,""[^а-яa-z0-9 ]"","" ""))")," анна моечная      2 1 400    600х600х850  ")</f>
        <v> анна моечная      2 1 400    600х600х850  </v>
      </c>
    </row>
    <row r="4350">
      <c r="A4350" s="35" t="s">
        <v>10535</v>
      </c>
      <c r="B4350" s="31" t="s">
        <v>10536</v>
      </c>
      <c r="C4350" s="31"/>
      <c r="D4350" s="37" t="s">
        <v>14</v>
      </c>
      <c r="E4350" s="10"/>
      <c r="F4350" s="38">
        <v>15.0</v>
      </c>
      <c r="G4350" s="11">
        <v>551648.0</v>
      </c>
      <c r="H4350" s="34" t="str">
        <f>IFERROR(__xludf.DUMMYFUNCTION("LOWER(REGEXREPLACE(B4350&amp;"" ""&amp;C4350,""[^а-яa-z0-9 ]"","" ""))")," анна моечная      2 2 400    1200х600х850  ")</f>
        <v> анна моечная      2 2 400    1200х600х850  </v>
      </c>
    </row>
    <row r="4351">
      <c r="A4351" s="35" t="s">
        <v>10537</v>
      </c>
      <c r="B4351" s="31" t="s">
        <v>10538</v>
      </c>
      <c r="C4351" s="31"/>
      <c r="D4351" s="37" t="s">
        <v>14</v>
      </c>
      <c r="E4351" s="10"/>
      <c r="F4351" s="39">
        <v>56.3</v>
      </c>
      <c r="G4351" s="11">
        <v>821429.0</v>
      </c>
      <c r="H4351" s="34" t="str">
        <f>IFERROR(__xludf.DUMMYFUNCTION("LOWER(REGEXREPLACE(B4351&amp;"" ""&amp;C4351,""[^а-яa-z0-9 ]"","" ""))")," анна моечная      2 3 400    1700х600х850  ")</f>
        <v> анна моечная      2 3 400    1700х600х850  </v>
      </c>
    </row>
    <row r="4352">
      <c r="A4352" s="35" t="s">
        <v>10539</v>
      </c>
      <c r="B4352" s="31" t="s">
        <v>10540</v>
      </c>
      <c r="C4352" s="31"/>
      <c r="D4352" s="37" t="s">
        <v>14</v>
      </c>
      <c r="E4352" s="10"/>
      <c r="F4352" s="40">
        <v>19.35</v>
      </c>
      <c r="G4352" s="11">
        <v>637363.0</v>
      </c>
      <c r="H4352" s="34" t="str">
        <f>IFERROR(__xludf.DUMMYFUNCTION("LOWER(REGEXREPLACE(B4352&amp;"" ""&amp;C4352,""[^а-яa-z0-9 ]"","" ""))")," анна моечная      2 2 500    1200х700х850  ")</f>
        <v> анна моечная      2 2 500    1200х700х850  </v>
      </c>
    </row>
    <row r="4353">
      <c r="A4353" s="35" t="s">
        <v>10541</v>
      </c>
      <c r="B4353" s="31" t="s">
        <v>10542</v>
      </c>
      <c r="C4353" s="31"/>
      <c r="D4353" s="37" t="s">
        <v>14</v>
      </c>
      <c r="E4353" s="10"/>
      <c r="F4353" s="36"/>
      <c r="G4353" s="11"/>
      <c r="H4353" s="34" t="str">
        <f>IFERROR(__xludf.DUMMYFUNCTION("LOWER(REGEXREPLACE(B4353&amp;"" ""&amp;C4353,""[^а-яa-z0-9 ]"","" ""))")," анна моечная ")</f>
        <v> анна моечная </v>
      </c>
    </row>
    <row r="4354">
      <c r="A4354" s="35" t="s">
        <v>10543</v>
      </c>
      <c r="B4354" s="31" t="s">
        <v>10544</v>
      </c>
      <c r="C4354" s="31"/>
      <c r="D4354" s="37" t="s">
        <v>14</v>
      </c>
      <c r="E4354" s="10"/>
      <c r="F4354" s="40">
        <v>19.35</v>
      </c>
      <c r="G4354" s="11">
        <v>372042.0</v>
      </c>
      <c r="H4354" s="34" t="str">
        <f>IFERROR(__xludf.DUMMYFUNCTION("LOWER(REGEXREPLACE(B4354&amp;"" ""&amp;C4354,""[^а-яa-z0-9 ]"","" ""))")," анна моечная      2 2 500    1100х700х850  ")</f>
        <v> анна моечная      2 2 500    1100х700х850  </v>
      </c>
    </row>
    <row r="4355">
      <c r="A4355" s="35" t="s">
        <v>10545</v>
      </c>
      <c r="B4355" s="31" t="s">
        <v>10546</v>
      </c>
      <c r="C4355" s="31"/>
      <c r="D4355" s="37" t="s">
        <v>14</v>
      </c>
      <c r="E4355" s="10"/>
      <c r="F4355" s="38">
        <v>12.0</v>
      </c>
      <c r="G4355" s="11">
        <v>266388.0</v>
      </c>
      <c r="H4355" s="34" t="str">
        <f>IFERROR(__xludf.DUMMYFUNCTION("LOWER(REGEXREPLACE(B4355&amp;"" ""&amp;C4355,""[^а-яa-z0-9 ]"","" ""))")," анна моечная разборная из нержавеющей стали 600х600х850 мм 1 емкость цельнотянутая разм 400х400х250 мм      1 600 600 ")</f>
        <v> анна моечная разборная из нержавеющей стали 600х600х850 мм 1 емкость цельнотянутая разм 400х400х250 мм      1 600 600 </v>
      </c>
    </row>
    <row r="4356">
      <c r="A4356" s="35" t="s">
        <v>10547</v>
      </c>
      <c r="B4356" s="31" t="s">
        <v>10548</v>
      </c>
      <c r="C4356" s="31"/>
      <c r="D4356" s="37" t="s">
        <v>14</v>
      </c>
      <c r="E4356" s="10"/>
      <c r="F4356" s="38">
        <v>12.0</v>
      </c>
      <c r="G4356" s="11">
        <v>275986.0</v>
      </c>
      <c r="H4356" s="34" t="str">
        <f>IFERROR(__xludf.DUMMYFUNCTION("LOWER(REGEXREPLACE(B4356&amp;"" ""&amp;C4356,""[^а-яa-z0-9 ]"","" ""))")," анна моечная разборная из нержавеющей стали 600х700х850 мм 1 емкость цельнотянутая разм 500х500х300 мм      1 600 700 ")</f>
        <v> анна моечная разборная из нержавеющей стали 600х700х850 мм 1 емкость цельнотянутая разм 500х500х300 мм      1 600 700 </v>
      </c>
    </row>
    <row r="4357">
      <c r="A4357" s="35" t="s">
        <v>10549</v>
      </c>
      <c r="B4357" s="31" t="s">
        <v>10550</v>
      </c>
      <c r="C4357" s="31"/>
      <c r="D4357" s="37" t="s">
        <v>14</v>
      </c>
      <c r="E4357" s="10"/>
      <c r="F4357" s="38">
        <v>32.0</v>
      </c>
      <c r="G4357" s="11">
        <v>523201.0</v>
      </c>
      <c r="H4357" s="34" t="str">
        <f>IFERROR(__xludf.DUMMYFUNCTION("LOWER(REGEXREPLACE(B4357&amp;"" ""&amp;C4357,""[^а-яa-z0-9 ]"","" ""))")," анна моечная разборная из нержавеющей стали 1200х700х850 мм  2 емкости цельнотянутые разм 500х500х300 мм      2 1200 700 ")</f>
        <v> анна моечная разборная из нержавеющей стали 1200х700х850 мм  2 емкости цельнотянутые разм 500х500х300 мм      2 1200 700 </v>
      </c>
    </row>
    <row r="4358">
      <c r="A4358" s="35" t="s">
        <v>10551</v>
      </c>
      <c r="B4358" s="31" t="s">
        <v>10552</v>
      </c>
      <c r="C4358" s="31"/>
      <c r="D4358" s="37" t="s">
        <v>14</v>
      </c>
      <c r="E4358" s="10"/>
      <c r="F4358" s="38">
        <v>39.0</v>
      </c>
      <c r="G4358" s="11">
        <v>727186.0</v>
      </c>
      <c r="H4358" s="34" t="str">
        <f>IFERROR(__xludf.DUMMYFUNCTION("LOWER(REGEXREPLACE(B4358&amp;"" ""&amp;C4358,""[^а-яa-z0-9 ]"","" ""))")," анна моечная разборная из нержавеющей стали 1600х600х850 мм  3 емкости цельнотянутые разм 400х400х250 мм      3 1600 600 ")</f>
        <v> анна моечная разборная из нержавеющей стали 1600х600х850 мм  3 емкости цельнотянутые разм 400х400х250 мм      3 1600 600 </v>
      </c>
    </row>
    <row r="4359">
      <c r="A4359" s="35" t="s">
        <v>10553</v>
      </c>
      <c r="B4359" s="31" t="s">
        <v>10554</v>
      </c>
      <c r="C4359" s="31"/>
      <c r="D4359" s="37" t="s">
        <v>14</v>
      </c>
      <c r="E4359" s="10"/>
      <c r="F4359" s="38">
        <v>41.0</v>
      </c>
      <c r="G4359" s="11">
        <v>981546.0</v>
      </c>
      <c r="H4359" s="34" t="str">
        <f>IFERROR(__xludf.DUMMYFUNCTION("LOWER(REGEXREPLACE(B4359&amp;"" ""&amp;C4359,""[^а-яa-z0-9 ]"","" ""))")," анна моечная разборная из нержавеющей стали 1800х700х850 мм  3 емкости цельнотянутые разм 500х500х300 мм      3 1800 700 ")</f>
        <v> анна моечная разборная из нержавеющей стали 1800х700х850 мм  3 емкости цельнотянутые разм 500х500х300 мм      3 1800 700 </v>
      </c>
    </row>
    <row r="4360">
      <c r="A4360" s="35" t="s">
        <v>10555</v>
      </c>
      <c r="B4360" s="9" t="s">
        <v>10556</v>
      </c>
      <c r="C4360" s="31"/>
      <c r="D4360" s="37" t="s">
        <v>14</v>
      </c>
      <c r="E4360" s="38">
        <v>2.0</v>
      </c>
      <c r="F4360" s="38">
        <v>29.0</v>
      </c>
      <c r="G4360" s="11">
        <v>426374.0</v>
      </c>
      <c r="H4360" s="34" t="str">
        <f>IFERROR(__xludf.DUMMYFUNCTION("LOWER(REGEXREPLACE(B4360&amp;"" ""&amp;C4360,""[^а-яa-z0-9 ]"","" ""))"),"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пласт"&amp;"иковые опоры      2 1200 600 ")</f>
        <v>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2 1200 600 </v>
      </c>
    </row>
    <row r="4361">
      <c r="A4361" s="35" t="s">
        <v>10557</v>
      </c>
      <c r="B4361" s="31" t="s">
        <v>10558</v>
      </c>
      <c r="C4361" s="31"/>
      <c r="D4361" s="37" t="s">
        <v>14</v>
      </c>
      <c r="E4361" s="38">
        <v>2.0</v>
      </c>
      <c r="F4361" s="38">
        <v>18.0</v>
      </c>
      <c r="G4361" s="11">
        <v>127409.0</v>
      </c>
      <c r="H4361" s="34" t="str">
        <f>IFERROR(__xludf.DUMMYFUNCTION("LOWER(REGEXREPLACE(B4361&amp;"" ""&amp;C4361,""[^а-яa-z0-9 ]"","" ""))"),"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f>
        <v>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v>
      </c>
    </row>
    <row r="4362">
      <c r="A4362" s="35" t="s">
        <v>10559</v>
      </c>
      <c r="B4362" s="31" t="s">
        <v>10560</v>
      </c>
      <c r="C4362" s="31"/>
      <c r="D4362" s="37" t="s">
        <v>14</v>
      </c>
      <c r="E4362" s="38">
        <v>2.0</v>
      </c>
      <c r="F4362" s="38">
        <v>29.0</v>
      </c>
      <c r="G4362" s="11">
        <v>207938.0</v>
      </c>
      <c r="H4362" s="34" t="str">
        <f>IFERROR(__xludf.DUMMYFUNCTION("LOWER(REGEXREPLACE(B4362&amp;"" ""&amp;C4362,""[^а-яa-z0-9 ]"","" ""))"),"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f>
        <v>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v>
      </c>
    </row>
    <row r="4363">
      <c r="A4363" s="35" t="s">
        <v>10561</v>
      </c>
      <c r="B4363" s="31" t="s">
        <v>10562</v>
      </c>
      <c r="C4363" s="31"/>
      <c r="D4363" s="37" t="s">
        <v>14</v>
      </c>
      <c r="E4363" s="38">
        <v>2.0</v>
      </c>
      <c r="F4363" s="38">
        <v>46.0</v>
      </c>
      <c r="G4363" s="11">
        <v>340019.0</v>
      </c>
      <c r="H4363" s="34" t="str">
        <f>IFERROR(__xludf.DUMMYFUNCTION("LOWER(REGEXREPLACE(B4363&amp;"" ""&amp;C4363,""[^а-яa-z0-9 ]"","" ""))"),"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f>
        <v>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v>
      </c>
    </row>
    <row r="4364">
      <c r="A4364" s="35" t="s">
        <v>10563</v>
      </c>
      <c r="B4364" s="9" t="s">
        <v>10564</v>
      </c>
      <c r="C4364" s="31"/>
      <c r="D4364" s="37" t="s">
        <v>14</v>
      </c>
      <c r="E4364" s="38">
        <v>2.0</v>
      </c>
      <c r="F4364" s="38">
        <v>18.0</v>
      </c>
      <c r="G4364" s="11">
        <v>161267.0</v>
      </c>
      <c r="H4364" s="34" t="str">
        <f>IFERROR(__xludf.DUMMYFUNCTION("LOWER(REGEXREPLACE(B4364&amp;"" ""&amp;C4364,""[^а-яa-z0-9 ]"","" ""))"),"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f>
        <v>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v>
      </c>
    </row>
    <row r="4365">
      <c r="A4365" s="35" t="s">
        <v>10565</v>
      </c>
      <c r="B4365" s="31" t="s">
        <v>10566</v>
      </c>
      <c r="C4365" s="31"/>
      <c r="D4365" s="37" t="s">
        <v>14</v>
      </c>
      <c r="E4365" s="38">
        <v>2.0</v>
      </c>
      <c r="F4365" s="38">
        <v>29.0</v>
      </c>
      <c r="G4365" s="11">
        <v>269629.0</v>
      </c>
      <c r="H4365" s="34" t="str">
        <f>IFERROR(__xludf.DUMMYFUNCTION("LOWER(REGEXREPLACE(B4365&amp;"" ""&amp;C4365,""[^а-яa-z0-9 ]"","" ""))"),"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f>
        <v>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v>
      </c>
    </row>
    <row r="4366">
      <c r="A4366" s="35" t="s">
        <v>10567</v>
      </c>
      <c r="B4366" s="31" t="s">
        <v>10568</v>
      </c>
      <c r="C4366" s="31"/>
      <c r="D4366" s="37" t="s">
        <v>14</v>
      </c>
      <c r="E4366" s="38">
        <v>2.0</v>
      </c>
      <c r="F4366" s="38">
        <v>48.0</v>
      </c>
      <c r="G4366" s="11">
        <v>390297.0</v>
      </c>
      <c r="H4366" s="34" t="str">
        <f>IFERROR(__xludf.DUMMYFUNCTION("LOWER(REGEXREPLACE(B4366&amp;"" ""&amp;C4366,""[^а-яa-z0-9 ]"","" ""))"),"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f>
        <v>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v>
      </c>
    </row>
    <row r="4367">
      <c r="A4367" s="35" t="s">
        <v>10569</v>
      </c>
      <c r="B4367" s="31" t="s">
        <v>10570</v>
      </c>
      <c r="C4367" s="31"/>
      <c r="D4367" s="37" t="s">
        <v>14</v>
      </c>
      <c r="E4367" s="38">
        <v>2.0</v>
      </c>
      <c r="F4367" s="38">
        <v>51.0</v>
      </c>
      <c r="G4367" s="11">
        <v>413600.0</v>
      </c>
      <c r="H4367" s="34" t="str">
        <f>IFERROR(__xludf.DUMMYFUNCTION("LOWER(REGEXREPLACE(B4367&amp;"" ""&amp;C4367,""[^а-яa-z0-9 ]"","" ""))"),"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f>
        <v>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v>
      </c>
    </row>
    <row r="4368">
      <c r="A4368" s="35" t="s">
        <v>10571</v>
      </c>
      <c r="B4368" s="31" t="s">
        <v>10572</v>
      </c>
      <c r="C4368" s="31"/>
      <c r="D4368" s="37" t="s">
        <v>14</v>
      </c>
      <c r="E4368" s="38">
        <v>2.0</v>
      </c>
      <c r="F4368" s="38">
        <v>23.0</v>
      </c>
      <c r="G4368" s="11">
        <v>162590.0</v>
      </c>
      <c r="H4368" s="34" t="str">
        <f>IFERROR(__xludf.DUMMYFUNCTION("LOWER(REGEXREPLACE(B4368&amp;"" ""&amp;C4368,""[^а-яa-z0-9 ]"","" ""))"),"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f>
        <v>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v>
      </c>
    </row>
    <row r="4369">
      <c r="A4369" s="35" t="s">
        <v>10573</v>
      </c>
      <c r="B4369" s="31" t="s">
        <v>10574</v>
      </c>
      <c r="C4369" s="31"/>
      <c r="D4369" s="37" t="s">
        <v>14</v>
      </c>
      <c r="E4369" s="38">
        <v>2.0</v>
      </c>
      <c r="F4369" s="38">
        <v>33.0</v>
      </c>
      <c r="G4369" s="11">
        <v>284572.0</v>
      </c>
      <c r="H4369" s="34" t="str">
        <f>IFERROR(__xludf.DUMMYFUNCTION("LOWER(REGEXREPLACE(B4369&amp;"" ""&amp;C4369,""[^а-яa-z0-9 ]"","" ""))"),"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f>
        <v>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v>
      </c>
    </row>
    <row r="4370">
      <c r="A4370" s="35" t="s">
        <v>10575</v>
      </c>
      <c r="B4370" s="31" t="s">
        <v>10576</v>
      </c>
      <c r="C4370" s="31"/>
      <c r="D4370" s="37" t="s">
        <v>14</v>
      </c>
      <c r="E4370" s="38">
        <v>2.0</v>
      </c>
      <c r="F4370" s="38">
        <v>56.0</v>
      </c>
      <c r="G4370" s="11">
        <v>371713.0</v>
      </c>
      <c r="H4370" s="34" t="str">
        <f>IFERROR(__xludf.DUMMYFUNCTION("LOWER(REGEXREPLACE(B4370&amp;"" ""&amp;C4370,""[^а-яa-z0-9 ]"","" ""))"),"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f>
        <v>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v>
      </c>
    </row>
    <row r="4371">
      <c r="A4371" s="35" t="s">
        <v>10577</v>
      </c>
      <c r="B4371" s="31" t="s">
        <v>10578</v>
      </c>
      <c r="C4371" s="31"/>
      <c r="D4371" s="37" t="s">
        <v>14</v>
      </c>
      <c r="E4371" s="38">
        <v>2.0</v>
      </c>
      <c r="F4371" s="40">
        <v>23.33</v>
      </c>
      <c r="G4371" s="11">
        <v>175126.0</v>
      </c>
      <c r="H4371" s="34" t="str">
        <f>IFERROR(__xludf.DUMMYFUNCTION("LOWER(REGEXREPLACE(B4371&amp;"" ""&amp;C4371,""[^а-яa-z0-9 ]"","" ""))")," тол с двумя мойками       120 60   ержавеющая сталь   азмер  1200x600x850мм ")</f>
        <v> тол с двумя мойками       120 60   ержавеющая сталь   азмер  1200x600x850мм </v>
      </c>
    </row>
    <row r="4372">
      <c r="A4372" s="35" t="s">
        <v>10579</v>
      </c>
      <c r="B4372" s="31" t="s">
        <v>10580</v>
      </c>
      <c r="C4372" s="31"/>
      <c r="D4372" s="37" t="s">
        <v>14</v>
      </c>
      <c r="E4372" s="38">
        <v>2.0</v>
      </c>
      <c r="F4372" s="40">
        <v>25.49</v>
      </c>
      <c r="G4372" s="11">
        <v>181217.0</v>
      </c>
      <c r="H4372" s="34" t="str">
        <f>IFERROR(__xludf.DUMMYFUNCTION("LOWER(REGEXREPLACE(B4372&amp;"" ""&amp;C4372,""[^а-яa-z0-9 ]"","" ""))")," тол с двумя мойками       140 60   ержавеющая сталь   азмер  1400x600x850мм ")</f>
        <v> тол с двумя мойками       140 60   ержавеющая сталь   азмер  1400x600x850мм </v>
      </c>
    </row>
    <row r="4373">
      <c r="A4373" s="35" t="s">
        <v>10581</v>
      </c>
      <c r="B4373" s="31" t="s">
        <v>10582</v>
      </c>
      <c r="C4373" s="31"/>
      <c r="D4373" s="37" t="s">
        <v>14</v>
      </c>
      <c r="E4373" s="38">
        <v>2.0</v>
      </c>
      <c r="F4373" s="40">
        <v>27.65</v>
      </c>
      <c r="G4373" s="11">
        <v>186632.0</v>
      </c>
      <c r="H4373" s="34" t="str">
        <f>IFERROR(__xludf.DUMMYFUNCTION("LOWER(REGEXREPLACE(B4373&amp;"" ""&amp;C4373,""[^а-яa-z0-9 ]"","" ""))")," тол с двумя мойками       160 60   ержавеющая сталь   азмер  1600x600x850мм ")</f>
        <v> тол с двумя мойками       160 60   ержавеющая сталь   азмер  1600x600x850мм </v>
      </c>
    </row>
    <row r="4374">
      <c r="A4374" s="35" t="s">
        <v>10583</v>
      </c>
      <c r="B4374" s="31" t="s">
        <v>10584</v>
      </c>
      <c r="C4374" s="31"/>
      <c r="D4374" s="37" t="s">
        <v>14</v>
      </c>
      <c r="E4374" s="38">
        <v>2.0</v>
      </c>
      <c r="F4374" s="40">
        <v>29.81</v>
      </c>
      <c r="G4374" s="11">
        <v>192723.0</v>
      </c>
      <c r="H4374" s="34" t="str">
        <f>IFERROR(__xludf.DUMMYFUNCTION("LOWER(REGEXREPLACE(B4374&amp;"" ""&amp;C4374,""[^а-яa-z0-9 ]"","" ""))")," тол с двумя мойками       180 60   ержавеющая сталь   азмер  1800x600x850мм ")</f>
        <v> тол с двумя мойками       180 60   ержавеющая сталь   азмер  1800x600x850мм </v>
      </c>
    </row>
    <row r="4375">
      <c r="A4375" s="35" t="s">
        <v>10585</v>
      </c>
      <c r="B4375" s="31" t="s">
        <v>10586</v>
      </c>
      <c r="C4375" s="31"/>
      <c r="D4375" s="37" t="s">
        <v>14</v>
      </c>
      <c r="E4375" s="38">
        <v>2.0</v>
      </c>
      <c r="F4375" s="40">
        <v>25.13</v>
      </c>
      <c r="G4375" s="11">
        <v>180540.0</v>
      </c>
      <c r="H4375" s="34" t="str">
        <f>IFERROR(__xludf.DUMMYFUNCTION("LOWER(REGEXREPLACE(B4375&amp;"" ""&amp;C4375,""[^а-яa-z0-9 ]"","" ""))")," тол с двумя мойками       120 70   ержавеющая сталь   азмер  1200x700x850мм ")</f>
        <v> тол с двумя мойками       120 70   ержавеющая сталь   азмер  1200x700x850мм </v>
      </c>
    </row>
    <row r="4376">
      <c r="A4376" s="35" t="s">
        <v>10587</v>
      </c>
      <c r="B4376" s="31" t="s">
        <v>10588</v>
      </c>
      <c r="C4376" s="31"/>
      <c r="D4376" s="37" t="s">
        <v>14</v>
      </c>
      <c r="E4376" s="38">
        <v>2.0</v>
      </c>
      <c r="F4376" s="40">
        <v>27.44</v>
      </c>
      <c r="G4376" s="11">
        <v>186631.0</v>
      </c>
      <c r="H4376" s="34" t="str">
        <f>IFERROR(__xludf.DUMMYFUNCTION("LOWER(REGEXREPLACE(B4376&amp;"" ""&amp;C4376,""[^а-яa-z0-9 ]"","" ""))")," тол с двумя мойками       140 70   ержавеющая сталь   азмер  1400x700x850мм ")</f>
        <v> тол с двумя мойками       140 70   ержавеющая сталь   азмер  1400x700x850мм </v>
      </c>
    </row>
    <row r="4377">
      <c r="A4377" s="35" t="s">
        <v>10589</v>
      </c>
      <c r="B4377" s="31" t="s">
        <v>10590</v>
      </c>
      <c r="C4377" s="31"/>
      <c r="D4377" s="37" t="s">
        <v>14</v>
      </c>
      <c r="E4377" s="38">
        <v>2.0</v>
      </c>
      <c r="F4377" s="40">
        <v>29.75</v>
      </c>
      <c r="G4377" s="11">
        <v>191709.0</v>
      </c>
      <c r="H4377" s="34" t="str">
        <f>IFERROR(__xludf.DUMMYFUNCTION("LOWER(REGEXREPLACE(B4377&amp;"" ""&amp;C4377,""[^а-яa-z0-9 ]"","" ""))")," тол с двумя мойками       160 70   ержавеющая сталь   азмер  1600x700x850мм ")</f>
        <v> тол с двумя мойками       160 70   ержавеющая сталь   азмер  1600x700x850мм </v>
      </c>
    </row>
    <row r="4378">
      <c r="A4378" s="35" t="s">
        <v>10591</v>
      </c>
      <c r="B4378" s="31" t="s">
        <v>10592</v>
      </c>
      <c r="C4378" s="31"/>
      <c r="D4378" s="37" t="s">
        <v>14</v>
      </c>
      <c r="E4378" s="38">
        <v>2.0</v>
      </c>
      <c r="F4378" s="40">
        <v>32.06</v>
      </c>
      <c r="G4378" s="11">
        <v>197124.0</v>
      </c>
      <c r="H4378" s="34" t="str">
        <f>IFERROR(__xludf.DUMMYFUNCTION("LOWER(REGEXREPLACE(B4378&amp;"" ""&amp;C4378,""[^а-яa-z0-9 ]"","" ""))")," тол с двумя мойками       180 70   ержавеющая сталь   азмер  1800x700x850мм ")</f>
        <v> тол с двумя мойками       180 70   ержавеющая сталь   азмер  1800x700x850мм </v>
      </c>
    </row>
    <row r="4379">
      <c r="A4379" s="35" t="s">
        <v>10593</v>
      </c>
      <c r="B4379" s="31" t="s">
        <v>10594</v>
      </c>
      <c r="C4379" s="31"/>
      <c r="D4379" s="37" t="s">
        <v>14</v>
      </c>
      <c r="E4379" s="38">
        <v>2.0</v>
      </c>
      <c r="F4379" s="38">
        <v>28.0</v>
      </c>
      <c r="G4379" s="11">
        <v>39847.0</v>
      </c>
      <c r="H4379" s="34" t="str">
        <f>IFERROR(__xludf.DUMMYFUNCTION("LOWER(REGEXREPLACE(B4379&amp;"" ""&amp;C4379,""[^а-яa-z0-9 ]"","" ""))")," анна моечная односекционная     1   ойка сварная из нержавеющей стали  каркас из оцинкованной стали   азмер 630х630х850мм ")</f>
        <v> анна моечная односекционная     1   ойка сварная из нержавеющей стали  каркас из оцинкованной стали   азмер 630х630х850мм </v>
      </c>
    </row>
    <row r="4380">
      <c r="A4380" s="35" t="s">
        <v>10595</v>
      </c>
      <c r="B4380" s="31" t="s">
        <v>10596</v>
      </c>
      <c r="C4380" s="31"/>
      <c r="D4380" s="37" t="s">
        <v>14</v>
      </c>
      <c r="E4380" s="38">
        <v>2.0</v>
      </c>
      <c r="F4380" s="38">
        <v>33.0</v>
      </c>
      <c r="G4380" s="11">
        <v>66359.0</v>
      </c>
      <c r="H4380" s="34" t="str">
        <f>IFERROR(__xludf.DUMMYFUNCTION("LOWER(REGEXREPLACE(B4380&amp;"" ""&amp;C4380,""[^а-яa-z0-9 ]"","" ""))")," анна моечная двухсекционная     2   ойка сварная из нержавеющей стали  каркас из оцинкованной стали   азмер 1200х600х850мм ")</f>
        <v> анна моечная двухсекционная     2   ойка сварная из нержавеющей стали  каркас из оцинкованной стали   азмер 1200х600х850мм </v>
      </c>
    </row>
    <row r="4381">
      <c r="A4381" s="35" t="s">
        <v>10597</v>
      </c>
      <c r="B4381" s="31" t="s">
        <v>10598</v>
      </c>
      <c r="C4381" s="31"/>
      <c r="D4381" s="37" t="s">
        <v>14</v>
      </c>
      <c r="E4381" s="38">
        <v>2.0</v>
      </c>
      <c r="F4381" s="38">
        <v>40.0</v>
      </c>
      <c r="G4381" s="11">
        <v>107892.0</v>
      </c>
      <c r="H4381" s="34" t="str">
        <f>IFERROR(__xludf.DUMMYFUNCTION("LOWER(REGEXREPLACE(B4381&amp;"" ""&amp;C4381,""[^а-яa-z0-9 ]"","" ""))")," анна моечная тр хсекционная     3   ойка сварная из нержавеющей стали  каркас из оцинкованной стали   азмер 1800х600х850мм ")</f>
        <v> анна моечная тр хсекционная     3   ойка сварная из нержавеющей стали  каркас из оцинкованной стали   азмер 1800х600х850мм </v>
      </c>
    </row>
    <row r="4382">
      <c r="A4382" s="35" t="s">
        <v>10599</v>
      </c>
      <c r="B4382" s="9" t="s">
        <v>10600</v>
      </c>
      <c r="C4382" s="31"/>
      <c r="D4382" s="37" t="s">
        <v>14</v>
      </c>
      <c r="E4382" s="38">
        <v>2.0</v>
      </c>
      <c r="F4382" s="38">
        <v>15.0</v>
      </c>
      <c r="G4382" s="11">
        <v>174522.0</v>
      </c>
      <c r="H4382" s="34" t="str">
        <f>IFERROR(__xludf.DUMMYFUNCTION("LOWER(REGEXREPLACE(B4382&amp;"" ""&amp;C4382,""[^а-яa-z0-9 ]"","" ""))")," анна моечная цельно сварная     1 4 4 2 5  размеры 600х600х850 мм   аркас выполнен из уголка нержавеющей стали 40x40 мм  раковина из нержавеющей стали 400х400х250 мм ")</f>
        <v> анна моечная цельно сварная     1 4 4 2 5  размеры 600х600х850 мм   аркас выполнен из уголка нержавеющей стали 40x40 мм  раковина из нержавеющей стали 400х400х250 мм </v>
      </c>
    </row>
    <row r="4383">
      <c r="A4383" s="35" t="s">
        <v>10601</v>
      </c>
      <c r="B4383" s="9" t="s">
        <v>10602</v>
      </c>
      <c r="C4383" s="31"/>
      <c r="D4383" s="37" t="s">
        <v>14</v>
      </c>
      <c r="E4383" s="38">
        <v>2.0</v>
      </c>
      <c r="F4383" s="38">
        <v>20.0</v>
      </c>
      <c r="G4383" s="11">
        <v>275301.0</v>
      </c>
      <c r="H4383" s="34" t="str">
        <f>IFERROR(__xludf.DUMMYFUNCTION("LOWER(REGEXREPLACE(B4383&amp;"" ""&amp;C4383,""[^а-яa-z0-9 ]"","" ""))")," анна моечная цельно сварная     2 5 5 3  размеры 1200х600х850 мм   аркас выполнен из уголка нержавеющей стали 40x40 мм  раковина из нержавеющей стали 500х500х300 мм ")</f>
        <v> анна моечная цельно сварная     2 5 5 3  размеры 1200х600х850 мм   аркас выполнен из уголка нержавеющей стали 40x40 мм  раковина из нержавеющей стали 500х500х300 мм </v>
      </c>
    </row>
    <row r="4384">
      <c r="A4384" s="35" t="s">
        <v>10603</v>
      </c>
      <c r="B4384" s="9" t="s">
        <v>10604</v>
      </c>
      <c r="C4384" s="31"/>
      <c r="D4384" s="37" t="s">
        <v>14</v>
      </c>
      <c r="E4384" s="38">
        <v>2.0</v>
      </c>
      <c r="F4384" s="38">
        <v>18.0</v>
      </c>
      <c r="G4384" s="11">
        <v>275293.0</v>
      </c>
      <c r="H4384" s="34" t="str">
        <f>IFERROR(__xludf.DUMMYFUNCTION("LOWER(REGEXREPLACE(B4384&amp;"" ""&amp;C4384,""[^а-яa-z0-9 ]"","" ""))")," анна моечная цельно сварная     2 4 4 2 5  размеры 1200х600х850   250  мм   аркас выполнен из уголка нержавеющей стали 40x40 мм  раковина из нержавеющей стали 400х400х250 мм ")</f>
        <v> анна моечная цельно сварная     2 4 4 2 5  размеры 1200х600х850   250  мм   аркас выполнен из уголка нержавеющей стали 40x40 мм  раковина из нержавеющей стали 400х400х250 мм </v>
      </c>
    </row>
    <row r="4385">
      <c r="A4385" s="35" t="s">
        <v>10605</v>
      </c>
      <c r="B4385" s="31" t="s">
        <v>10606</v>
      </c>
      <c r="C4385" s="31"/>
      <c r="D4385" s="37" t="s">
        <v>14</v>
      </c>
      <c r="E4385" s="10"/>
      <c r="F4385" s="36"/>
      <c r="G4385" s="11"/>
      <c r="H4385" s="34" t="str">
        <f>IFERROR(__xludf.DUMMYFUNCTION("LOWER(REGEXREPLACE(B4385&amp;"" ""&amp;C4385,""[^а-яa-z0-9 ]"","" ""))")," анна котломоечная ")</f>
        <v> анна котломоечная </v>
      </c>
    </row>
    <row r="4386">
      <c r="A4386" s="35" t="s">
        <v>10607</v>
      </c>
      <c r="B4386" s="31" t="s">
        <v>10608</v>
      </c>
      <c r="C4386" s="31"/>
      <c r="D4386" s="37" t="s">
        <v>14</v>
      </c>
      <c r="E4386" s="10"/>
      <c r="F4386" s="38">
        <v>29.0</v>
      </c>
      <c r="G4386" s="11">
        <v>282538.0</v>
      </c>
      <c r="H4386" s="34" t="str">
        <f>IFERROR(__xludf.DUMMYFUNCTION("LOWER(REGEXREPLACE(B4386&amp;"" ""&amp;C4386,""[^а-яa-z0-9 ]"","" ""))")," анна котломоечная       1 600 800  1200х700х850  ")</f>
        <v> анна котломоечная       1 600 800  1200х700х850  </v>
      </c>
    </row>
    <row r="4387">
      <c r="A4387" s="35" t="s">
        <v>10609</v>
      </c>
      <c r="B4387" s="9" t="s">
        <v>10610</v>
      </c>
      <c r="C4387" s="31"/>
      <c r="D4387" s="37" t="s">
        <v>14</v>
      </c>
      <c r="E4387" s="10"/>
      <c r="F4387" s="38">
        <v>29.0</v>
      </c>
      <c r="G4387" s="11">
        <v>480000.0</v>
      </c>
      <c r="H4387" s="34" t="str">
        <f>IFERROR(__xludf.DUMMYFUNCTION("LOWER(REGEXREPLACE(B4387&amp;"" ""&amp;C4387,""[^а-яa-z0-9 ]"","" ""))")," анна котломоечная из нержавеющей стали 1200х700х850 мм  1 емкость сварная     1 1200 700    ")</f>
        <v> анна котломоечная из нержавеющей стали 1200х700х850 мм  1 емкость сварная     1 1200 700    </v>
      </c>
    </row>
    <row r="4388">
      <c r="A4388" s="35" t="s">
        <v>10611</v>
      </c>
      <c r="B4388" s="31" t="s">
        <v>10612</v>
      </c>
      <c r="C4388" s="31"/>
      <c r="D4388" s="37" t="s">
        <v>14</v>
      </c>
      <c r="E4388" s="38">
        <v>2.0</v>
      </c>
      <c r="F4388" s="38">
        <v>29.0</v>
      </c>
      <c r="G4388" s="11">
        <v>433928.0</v>
      </c>
      <c r="H4388" s="34" t="str">
        <f>IFERROR(__xludf.DUMMYFUNCTION("LOWER(REGEXREPLACE(B4388&amp;"" ""&amp;C4388,""[^а-яa-z0-9 ]"","" ""))"),"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f>
        <v>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v>
      </c>
    </row>
    <row r="4389">
      <c r="A4389" s="35" t="s">
        <v>10613</v>
      </c>
      <c r="B4389" s="9" t="s">
        <v>10614</v>
      </c>
      <c r="C4389" s="31"/>
      <c r="D4389" s="37" t="s">
        <v>14</v>
      </c>
      <c r="E4389" s="38">
        <v>2.0</v>
      </c>
      <c r="F4389" s="38">
        <v>56.0</v>
      </c>
      <c r="G4389" s="11">
        <v>452648.0</v>
      </c>
      <c r="H4389" s="34" t="str">
        <f>IFERROR(__xludf.DUMMYFUNCTION("LOWER(REGEXREPLACE(B4389&amp;"" ""&amp;C4389,""[^а-яa-z0-9 ]"","" ""))"),"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f>
        <v>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v>
      </c>
    </row>
    <row r="4390">
      <c r="A4390" s="35" t="s">
        <v>10615</v>
      </c>
      <c r="B4390" s="9" t="s">
        <v>10616</v>
      </c>
      <c r="C4390" s="31"/>
      <c r="D4390" s="37" t="s">
        <v>14</v>
      </c>
      <c r="E4390" s="38">
        <v>2.0</v>
      </c>
      <c r="F4390" s="38">
        <v>59.0</v>
      </c>
      <c r="G4390" s="11">
        <v>479189.0</v>
      </c>
      <c r="H4390" s="34" t="str">
        <f>IFERROR(__xludf.DUMMYFUNCTION("LOWER(REGEXREPLACE(B4390&amp;"" ""&amp;C4390,""[^а-яa-z0-9 ]"","" ""))"),"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f>
        <v>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v>
      </c>
    </row>
    <row r="4391">
      <c r="A4391" s="35" t="s">
        <v>10617</v>
      </c>
      <c r="B4391" s="9" t="s">
        <v>10618</v>
      </c>
      <c r="C4391" s="31"/>
      <c r="D4391" s="37" t="s">
        <v>14</v>
      </c>
      <c r="E4391" s="38">
        <v>2.0</v>
      </c>
      <c r="F4391" s="40">
        <v>15.51</v>
      </c>
      <c r="G4391" s="11">
        <v>52098.0</v>
      </c>
      <c r="H4391" s="34" t="str">
        <f>IFERROR(__xludf.DUMMYFUNCTION("LOWER(REGEXREPLACE(B4391&amp;"" ""&amp;C4391,""[^а-яa-z0-9 ]"","" ""))")," тол подачи для мытья казана       80 80   ержавеющая сталь   азмер  800x800x630мм ")</f>
        <v> тол подачи для мытья казана       80 80   ержавеющая сталь   азмер  800x800x630мм </v>
      </c>
    </row>
    <row r="4392">
      <c r="A4392" s="35" t="s">
        <v>10619</v>
      </c>
      <c r="B4392" s="9" t="s">
        <v>10620</v>
      </c>
      <c r="C4392" s="31"/>
      <c r="D4392" s="37" t="s">
        <v>14</v>
      </c>
      <c r="E4392" s="38">
        <v>2.0</v>
      </c>
      <c r="F4392" s="40">
        <v>17.93</v>
      </c>
      <c r="G4392" s="11">
        <v>58865.0</v>
      </c>
      <c r="H4392" s="34" t="str">
        <f>IFERROR(__xludf.DUMMYFUNCTION("LOWER(REGEXREPLACE(B4392&amp;"" ""&amp;C4392,""[^а-яa-z0-9 ]"","" ""))")," тол подачи для мытья казана       100 80   ержавеющая сталь   азмер  1000x800x630мм ")</f>
        <v> тол подачи для мытья казана       100 80   ержавеющая сталь   азмер  1000x800x630мм </v>
      </c>
    </row>
    <row r="4393">
      <c r="A4393" s="35" t="s">
        <v>10621</v>
      </c>
      <c r="B4393" s="9" t="s">
        <v>10622</v>
      </c>
      <c r="C4393" s="31"/>
      <c r="D4393" s="37" t="s">
        <v>14</v>
      </c>
      <c r="E4393" s="38">
        <v>2.0</v>
      </c>
      <c r="F4393" s="40">
        <v>20.34</v>
      </c>
      <c r="G4393" s="11">
        <v>65295.0</v>
      </c>
      <c r="H4393" s="34" t="str">
        <f>IFERROR(__xludf.DUMMYFUNCTION("LOWER(REGEXREPLACE(B4393&amp;"" ""&amp;C4393,""[^а-яa-z0-9 ]"","" ""))")," тол подачи для мытья казана       120 80   ержавеющая сталь   азмер  1200x800x630мм ")</f>
        <v> тол подачи для мытья казана       120 80   ержавеющая сталь   азмер  1200x800x630мм </v>
      </c>
    </row>
    <row r="4394">
      <c r="A4394" s="35" t="s">
        <v>10623</v>
      </c>
      <c r="B4394" s="9" t="s">
        <v>10624</v>
      </c>
      <c r="C4394" s="31"/>
      <c r="D4394" s="37" t="s">
        <v>14</v>
      </c>
      <c r="E4394" s="38">
        <v>2.0</v>
      </c>
      <c r="F4394" s="40">
        <v>22.74</v>
      </c>
      <c r="G4394" s="11">
        <v>73076.0</v>
      </c>
      <c r="H4394" s="34" t="str">
        <f>IFERROR(__xludf.DUMMYFUNCTION("LOWER(REGEXREPLACE(B4394&amp;"" ""&amp;C4394,""[^а-яa-z0-9 ]"","" ""))")," тол подачи для мытья казана       140 80   ержавеющая сталь   азмер  1400x800x630мм ")</f>
        <v> тол подачи для мытья казана       140 80   ержавеющая сталь   азмер  1400x800x630мм </v>
      </c>
    </row>
    <row r="4395">
      <c r="A4395" s="35" t="s">
        <v>10625</v>
      </c>
      <c r="B4395" s="9" t="s">
        <v>10626</v>
      </c>
      <c r="C4395" s="31"/>
      <c r="D4395" s="37" t="s">
        <v>14</v>
      </c>
      <c r="E4395" s="38">
        <v>2.0</v>
      </c>
      <c r="F4395" s="40">
        <v>27.56</v>
      </c>
      <c r="G4395" s="11">
        <v>79853.0</v>
      </c>
      <c r="H4395" s="34" t="str">
        <f>IFERROR(__xludf.DUMMYFUNCTION("LOWER(REGEXREPLACE(B4395&amp;"" ""&amp;C4395,""[^а-яa-z0-9 ]"","" ""))")," тол подачи для мытья казана       180 80   ержавеющая сталь   азмер  1800x800x630мм ")</f>
        <v> тол подачи для мытья казана       180 80   ержавеющая сталь   азмер  1800x800x630мм </v>
      </c>
    </row>
    <row r="4396">
      <c r="A4396" s="35" t="s">
        <v>10627</v>
      </c>
      <c r="B4396" s="31" t="s">
        <v>10628</v>
      </c>
      <c r="C4396" s="31"/>
      <c r="D4396" s="37" t="s">
        <v>14</v>
      </c>
      <c r="E4396" s="38">
        <v>2.0</v>
      </c>
      <c r="F4396" s="38">
        <v>25.0</v>
      </c>
      <c r="G4396" s="11">
        <v>224195.0</v>
      </c>
      <c r="H4396" s="34" t="str">
        <f>IFERROR(__xludf.DUMMYFUNCTION("LOWER(REGEXREPLACE(B4396&amp;"" ""&amp;C4396,""[^а-яa-z0-9 ]"","" ""))"),"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f>
        <v>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v>
      </c>
    </row>
    <row r="4397">
      <c r="A4397" s="35" t="s">
        <v>10629</v>
      </c>
      <c r="B4397" s="31" t="s">
        <v>10630</v>
      </c>
      <c r="C4397" s="31"/>
      <c r="D4397" s="37" t="s">
        <v>14</v>
      </c>
      <c r="E4397" s="38">
        <v>2.0</v>
      </c>
      <c r="F4397" s="38">
        <v>23.0</v>
      </c>
      <c r="G4397" s="11">
        <v>258050.0</v>
      </c>
      <c r="H4397" s="34" t="str">
        <f>IFERROR(__xludf.DUMMYFUNCTION("LOWER(REGEXREPLACE(B4397&amp;"" ""&amp;C4397,""[^а-яa-z0-9 ]"","" ""))"),"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f>
        <v>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v>
      </c>
    </row>
    <row r="4398">
      <c r="A4398" s="35" t="s">
        <v>10631</v>
      </c>
      <c r="B4398" s="31" t="s">
        <v>10632</v>
      </c>
      <c r="C4398" s="31"/>
      <c r="D4398" s="37" t="s">
        <v>14</v>
      </c>
      <c r="E4398" s="10"/>
      <c r="F4398" s="39">
        <v>27.9</v>
      </c>
      <c r="G4398" s="11">
        <v>296704.0</v>
      </c>
      <c r="H4398" s="34" t="str">
        <f>IFERROR(__xludf.DUMMYFUNCTION("LOWER(REGEXREPLACE(B4398&amp;"" ""&amp;C4398,""[^а-яa-z0-9 ]"","" ""))")," онт вентиляционный пристенный           7 18 4 5  1800х700х450  ")</f>
        <v> онт вентиляционный пристенный           7 18 4 5  1800х700х450  </v>
      </c>
    </row>
    <row r="4399">
      <c r="A4399" s="35" t="s">
        <v>10633</v>
      </c>
      <c r="B4399" s="31" t="s">
        <v>10634</v>
      </c>
      <c r="C4399" s="31"/>
      <c r="D4399" s="37" t="s">
        <v>14</v>
      </c>
      <c r="E4399" s="10"/>
      <c r="F4399" s="36"/>
      <c r="G4399" s="11">
        <v>546704.0</v>
      </c>
      <c r="H4399" s="34" t="str">
        <f>IFERROR(__xludf.DUMMYFUNCTION("LOWER(REGEXREPLACE(B4399&amp;"" ""&amp;C4399,""[^а-яa-z0-9 ]"","" ""))")," онт вентиляционный пристенный 2000х900х450 ")</f>
        <v> онт вентиляционный пристенный 2000х900х450 </v>
      </c>
    </row>
    <row r="4400">
      <c r="A4400" s="35" t="s">
        <v>10635</v>
      </c>
      <c r="B4400" s="31" t="s">
        <v>10636</v>
      </c>
      <c r="C4400" s="31"/>
      <c r="D4400" s="37" t="s">
        <v>14</v>
      </c>
      <c r="E4400" s="10"/>
      <c r="F4400" s="36"/>
      <c r="G4400" s="11">
        <v>428571.0</v>
      </c>
      <c r="H4400" s="34" t="str">
        <f>IFERROR(__xludf.DUMMYFUNCTION("LOWER(REGEXREPLACE(B4400&amp;"" ""&amp;C4400,""[^а-яa-z0-9 ]"","" ""))")," онт вентиляционный     900 1300   ")</f>
        <v> онт вентиляционный     900 1300   </v>
      </c>
    </row>
    <row r="4401">
      <c r="A4401" s="35" t="s">
        <v>10637</v>
      </c>
      <c r="B4401" s="31" t="s">
        <v>10638</v>
      </c>
      <c r="C4401" s="31"/>
      <c r="D4401" s="37" t="s">
        <v>14</v>
      </c>
      <c r="E4401" s="10"/>
      <c r="F4401" s="36"/>
      <c r="G4401" s="11">
        <v>516484.0</v>
      </c>
      <c r="H4401" s="34" t="str">
        <f>IFERROR(__xludf.DUMMYFUNCTION("LOWER(REGEXREPLACE(B4401&amp;"" ""&amp;C4401,""[^а-яa-z0-9 ]"","" ""))")," онт вентиляционный пристенный     1300 1200   ")</f>
        <v> онт вентиляционный пристенный     1300 1200   </v>
      </c>
    </row>
    <row r="4402">
      <c r="A4402" s="35" t="s">
        <v>10639</v>
      </c>
      <c r="B4402" s="31" t="s">
        <v>10640</v>
      </c>
      <c r="C4402" s="31"/>
      <c r="D4402" s="37" t="s">
        <v>14</v>
      </c>
      <c r="E4402" s="10"/>
      <c r="F4402" s="38">
        <v>71.0</v>
      </c>
      <c r="G4402" s="11">
        <v>1071429.0</v>
      </c>
      <c r="H4402" s="34" t="str">
        <f>IFERROR(__xludf.DUMMYFUNCTION("LOWER(REGEXREPLACE(B4402&amp;"" ""&amp;C4402,""[^а-яa-z0-9 ]"","" ""))")," плит система среднетемпературная    222   ")</f>
        <v> плит система среднетемпературная    222   </v>
      </c>
    </row>
    <row r="4403">
      <c r="A4403" s="35" t="s">
        <v>10641</v>
      </c>
      <c r="B4403" s="31" t="s">
        <v>10642</v>
      </c>
      <c r="C4403" s="31"/>
      <c r="D4403" s="37" t="s">
        <v>14</v>
      </c>
      <c r="E4403" s="10"/>
      <c r="F4403" s="38">
        <v>64.0</v>
      </c>
      <c r="G4403" s="11">
        <v>859478.0</v>
      </c>
      <c r="H4403" s="34" t="str">
        <f>IFERROR(__xludf.DUMMYFUNCTION("LOWER(REGEXREPLACE(B4403&amp;"" ""&amp;C4403,""[^а-яa-z0-9 ]"","" ""))")," оноблок потолочный    109    ")</f>
        <v> оноблок потолочный    109    </v>
      </c>
    </row>
    <row r="4404">
      <c r="A4404" s="35" t="s">
        <v>10643</v>
      </c>
      <c r="B4404" s="31" t="s">
        <v>10644</v>
      </c>
      <c r="C4404" s="31"/>
      <c r="D4404" s="37" t="s">
        <v>14</v>
      </c>
      <c r="E4404" s="10"/>
      <c r="F4404" s="39">
        <v>33.3</v>
      </c>
      <c r="G4404" s="11">
        <v>195055.0</v>
      </c>
      <c r="H4404" s="34" t="str">
        <f>IFERROR(__xludf.DUMMYFUNCTION("LOWER(REGEXREPLACE(B4404&amp;"" ""&amp;C4404,""[^а-яa-z0-9 ]"","" ""))")," тол производственный       15 7  1500х700х850  ")</f>
        <v> тол производственный       15 7  1500х700х850  </v>
      </c>
    </row>
    <row r="4405">
      <c r="A4405" s="35" t="s">
        <v>10645</v>
      </c>
      <c r="B4405" s="31" t="s">
        <v>10646</v>
      </c>
      <c r="C4405" s="31"/>
      <c r="D4405" s="37" t="s">
        <v>14</v>
      </c>
      <c r="E4405" s="10"/>
      <c r="F4405" s="36"/>
      <c r="G4405" s="11">
        <v>189011.0</v>
      </c>
      <c r="H4405" s="34" t="str">
        <f>IFERROR(__xludf.DUMMYFUNCTION("LOWER(REGEXREPLACE(B4405&amp;"" ""&amp;C4405,""[^а-яa-z0-9 ]"","" ""))")," тол производственный      17 6  1700х600х850  ")</f>
        <v> тол производственный      17 6  1700х600х850  </v>
      </c>
    </row>
    <row r="4406">
      <c r="A4406" s="35" t="s">
        <v>10647</v>
      </c>
      <c r="B4406" s="31" t="s">
        <v>10648</v>
      </c>
      <c r="C4406" s="31"/>
      <c r="D4406" s="37" t="s">
        <v>14</v>
      </c>
      <c r="E4406" s="10"/>
      <c r="F4406" s="36"/>
      <c r="G4406" s="11">
        <v>193681.0</v>
      </c>
      <c r="H4406" s="34" t="str">
        <f>IFERROR(__xludf.DUMMYFUNCTION("LOWER(REGEXREPLACE(B4406&amp;"" ""&amp;C4406,""[^а-яa-z0-9 ]"","" ""))")," тол производственный       17 6  1700х600х850  ")</f>
        <v> тол производственный       17 6  1700х600х850  </v>
      </c>
    </row>
    <row r="4407">
      <c r="A4407" s="35" t="s">
        <v>10649</v>
      </c>
      <c r="B4407" s="31" t="s">
        <v>10650</v>
      </c>
      <c r="C4407" s="31"/>
      <c r="D4407" s="37" t="s">
        <v>14</v>
      </c>
      <c r="E4407" s="10"/>
      <c r="F4407" s="36"/>
      <c r="G4407" s="11">
        <v>223901.0</v>
      </c>
      <c r="H4407" s="34" t="str">
        <f>IFERROR(__xludf.DUMMYFUNCTION("LOWER(REGEXREPLACE(B4407&amp;"" ""&amp;C4407,""[^а-яa-z0-9 ]"","" ""))")," тол производственный       17 7  1700х700х850  ")</f>
        <v> тол производственный       17 7  1700х700х850  </v>
      </c>
    </row>
    <row r="4408">
      <c r="A4408" s="35" t="s">
        <v>10651</v>
      </c>
      <c r="B4408" s="31" t="s">
        <v>10652</v>
      </c>
      <c r="C4408" s="31"/>
      <c r="D4408" s="37" t="s">
        <v>14</v>
      </c>
      <c r="E4408" s="10"/>
      <c r="F4408" s="39">
        <v>36.5</v>
      </c>
      <c r="G4408" s="11">
        <v>225275.0</v>
      </c>
      <c r="H4408" s="34" t="str">
        <f>IFERROR(__xludf.DUMMYFUNCTION("LOWER(REGEXREPLACE(B4408&amp;"" ""&amp;C4408,""[^а-яa-z0-9 ]"","" ""))")," тол производственный       18 7  1800х700х850  ")</f>
        <v> тол производственный       18 7  1800х700х850  </v>
      </c>
    </row>
    <row r="4409">
      <c r="A4409" s="35" t="s">
        <v>10653</v>
      </c>
      <c r="B4409" s="31" t="s">
        <v>10654</v>
      </c>
      <c r="C4409" s="31"/>
      <c r="D4409" s="37" t="s">
        <v>14</v>
      </c>
      <c r="E4409" s="10"/>
      <c r="F4409" s="36"/>
      <c r="G4409" s="11"/>
      <c r="H4409" s="34" t="str">
        <f>IFERROR(__xludf.DUMMYFUNCTION("LOWER(REGEXREPLACE(B4409&amp;"" ""&amp;C4409,""[^а-яa-z0-9 ]"","" ""))")," тол производственный ")</f>
        <v> тол производственный </v>
      </c>
    </row>
    <row r="4410">
      <c r="A4410" s="35" t="s">
        <v>10655</v>
      </c>
      <c r="B4410" s="9" t="s">
        <v>10656</v>
      </c>
      <c r="C4410" s="31"/>
      <c r="D4410" s="37" t="s">
        <v>14</v>
      </c>
      <c r="E4410" s="10"/>
      <c r="F4410" s="39">
        <v>22.3</v>
      </c>
      <c r="G4410" s="11">
        <v>127968.0</v>
      </c>
      <c r="H4410" s="34" t="str">
        <f>IFERROR(__xludf.DUMMYFUNCTION("LOWER(REGEXREPLACE(B4410&amp;"" ""&amp;C4410,""[^а-яa-z0-9 ]"","" ""))")," тол производственный       10 6  1000х600х850  ")</f>
        <v> тол производственный       10 6  1000х600х850  </v>
      </c>
    </row>
    <row r="4411">
      <c r="A4411" s="35" t="s">
        <v>10657</v>
      </c>
      <c r="B4411" s="9" t="s">
        <v>10658</v>
      </c>
      <c r="C4411" s="31"/>
      <c r="D4411" s="37" t="s">
        <v>14</v>
      </c>
      <c r="E4411" s="10"/>
      <c r="F4411" s="38">
        <v>28.0</v>
      </c>
      <c r="G4411" s="11">
        <v>208845.0</v>
      </c>
      <c r="H4411" s="34" t="str">
        <f>IFERROR(__xludf.DUMMYFUNCTION("LOWER(REGEXREPLACE(B4411&amp;"" ""&amp;C4411,""[^а-яa-z0-9 ]"","" ""))")," тол производственный из нержавеющей стали 1000х600х850 мм  ножки труба 40х40  с  регулируемыми по высоте опорами    1000 600     ")</f>
        <v> тол производственный из нержавеющей стали 1000х600х850 мм  ножки труба 40х40  с  регулируемыми по высоте опорами    1000 600     </v>
      </c>
    </row>
    <row r="4412">
      <c r="A4412" s="35" t="s">
        <v>10659</v>
      </c>
      <c r="B4412" s="31" t="s">
        <v>10660</v>
      </c>
      <c r="C4412" s="31"/>
      <c r="D4412" s="37" t="s">
        <v>14</v>
      </c>
      <c r="E4412" s="10"/>
      <c r="F4412" s="38">
        <v>34.0</v>
      </c>
      <c r="G4412" s="11">
        <v>259254.0</v>
      </c>
      <c r="H4412" s="34" t="str">
        <f>IFERROR(__xludf.DUMMYFUNCTION("LOWER(REGEXREPLACE(B4412&amp;"" ""&amp;C4412,""[^а-яa-z0-9 ]"","" ""))")," тол производственный из нержавеющей стали 1200х700х850 мм  c подложкой     16мм  ножки труба 40х40  с  регулируемыми по высоте опорами    1200 700     ")</f>
        <v> тол производственный из нержавеющей стали 1200х700х850 мм  c подложкой     16мм  ножки труба 40х40  с  регулируемыми по высоте опорами    1200 700     </v>
      </c>
    </row>
    <row r="4413">
      <c r="A4413" s="35" t="s">
        <v>10661</v>
      </c>
      <c r="B4413" s="31" t="s">
        <v>10662</v>
      </c>
      <c r="C4413" s="31"/>
      <c r="D4413" s="37" t="s">
        <v>14</v>
      </c>
      <c r="E4413" s="10"/>
      <c r="F4413" s="38">
        <v>41.0</v>
      </c>
      <c r="G4413" s="11">
        <v>285670.0</v>
      </c>
      <c r="H4413" s="34" t="str">
        <f>IFERROR(__xludf.DUMMYFUNCTION("LOWER(REGEXREPLACE(B4413&amp;"" ""&amp;C4413,""[^а-яa-z0-9 ]"","" ""))")," тол производственный из нержавеющей стали 1600х600х850 мм  c подложкой     16мм  ножки труба 40х40 с  регулируемыми по высоте опорами    1600 600     ")</f>
        <v> тол производственный из нержавеющей стали 1600х600х850 мм  c подложкой     16мм  ножки труба 40х40 с  регулируемыми по высоте опорами    1600 600     </v>
      </c>
    </row>
    <row r="4414">
      <c r="A4414" s="35" t="s">
        <v>10663</v>
      </c>
      <c r="B4414" s="31" t="s">
        <v>10664</v>
      </c>
      <c r="C4414" s="31"/>
      <c r="D4414" s="37" t="s">
        <v>14</v>
      </c>
      <c r="E4414" s="10"/>
      <c r="F4414" s="38">
        <v>41.0</v>
      </c>
      <c r="G4414" s="11">
        <v>297668.0</v>
      </c>
      <c r="H4414" s="34" t="str">
        <f>IFERROR(__xludf.DUMMYFUNCTION("LOWER(REGEXREPLACE(B4414&amp;"" ""&amp;C4414,""[^а-яa-z0-9 ]"","" ""))")," тол производственный из нержавеющей стали 1700х600х850 мм  c подложкой     16мм  ножки труба 40х40 с  регулируемыми по высоте опорами    1700 600     ")</f>
        <v> тол производственный из нержавеющей стали 1700х600х850 мм  c подложкой     16мм  ножки труба 40х40 с  регулируемыми по высоте опорами    1700 600     </v>
      </c>
    </row>
    <row r="4415">
      <c r="A4415" s="35" t="s">
        <v>10665</v>
      </c>
      <c r="B4415" s="31" t="s">
        <v>10666</v>
      </c>
      <c r="C4415" s="31"/>
      <c r="D4415" s="37" t="s">
        <v>14</v>
      </c>
      <c r="E4415" s="10"/>
      <c r="F4415" s="38">
        <v>41.0</v>
      </c>
      <c r="G4415" s="11">
        <v>302467.0</v>
      </c>
      <c r="H4415" s="34" t="str">
        <f>IFERROR(__xludf.DUMMYFUNCTION("LOWER(REGEXREPLACE(B4415&amp;"" ""&amp;C4415,""[^а-яa-z0-9 ]"","" ""))")," тол производственный из нержавеющей стали 1500х700х850 мм  c подложкой     16мм  ножки труба 40х40  с  регулируемыми по высоте опорами    1500 700     ")</f>
        <v> тол производственный из нержавеющей стали 1500х700х850 мм  c подложкой     16мм  ножки труба 40х40  с  регулируемыми по высоте опорами    1500 700     </v>
      </c>
    </row>
    <row r="4416">
      <c r="A4416" s="35" t="s">
        <v>10667</v>
      </c>
      <c r="B4416" s="31" t="s">
        <v>10668</v>
      </c>
      <c r="C4416" s="31"/>
      <c r="D4416" s="37" t="s">
        <v>14</v>
      </c>
      <c r="E4416" s="10"/>
      <c r="F4416" s="38">
        <v>42.0</v>
      </c>
      <c r="G4416" s="11">
        <v>312068.0</v>
      </c>
      <c r="H4416" s="34" t="str">
        <f>IFERROR(__xludf.DUMMYFUNCTION("LOWER(REGEXREPLACE(B4416&amp;"" ""&amp;C4416,""[^а-яa-z0-9 ]"","" ""))")," тол производственный из нержавеющей стали 1800х600х850 мм  c подложкой     16мм  ножки труба 40х40  с  регулируемыми по высоте опорами    1800 600    ")</f>
        <v> тол производственный из нержавеющей стали 1800х600х850 мм  c подложкой     16мм  ножки труба 40х40  с  регулируемыми по высоте опорами    1800 600    </v>
      </c>
    </row>
    <row r="4417">
      <c r="A4417" s="35" t="s">
        <v>10669</v>
      </c>
      <c r="B4417" s="31" t="s">
        <v>10670</v>
      </c>
      <c r="C4417" s="31"/>
      <c r="D4417" s="37" t="s">
        <v>14</v>
      </c>
      <c r="E4417" s="10"/>
      <c r="F4417" s="38">
        <v>42.0</v>
      </c>
      <c r="G4417" s="11">
        <v>331264.0</v>
      </c>
      <c r="H4417" s="34" t="str">
        <f>IFERROR(__xludf.DUMMYFUNCTION("LOWER(REGEXREPLACE(B4417&amp;"" ""&amp;C4417,""[^а-яa-z0-9 ]"","" ""))")," тол производственный  из нержавеющей стали 1700х700х850 мм  c подложкой     16мм  ножки труба 40х40  с  регулируемыми по высоте опорами    1700 700    ")</f>
        <v> тол производственный  из нержавеющей стали 1700х700х850 мм  c подложкой     16мм  ножки труба 40х40  с  регулируемыми по высоте опорами    1700 700    </v>
      </c>
    </row>
    <row r="4418">
      <c r="A4418" s="35" t="s">
        <v>10671</v>
      </c>
      <c r="B4418" s="31" t="s">
        <v>10672</v>
      </c>
      <c r="C4418" s="31"/>
      <c r="D4418" s="37" t="s">
        <v>14</v>
      </c>
      <c r="E4418" s="10"/>
      <c r="F4418" s="38">
        <v>42.0</v>
      </c>
      <c r="G4418" s="11">
        <v>348062.0</v>
      </c>
      <c r="H4418" s="34" t="str">
        <f>IFERROR(__xludf.DUMMYFUNCTION("LOWER(REGEXREPLACE(B4418&amp;"" ""&amp;C4418,""[^а-яa-z0-9 ]"","" ""))")," тол производственный из нержавеющей стали 1800х700х850 мм  c подложкой     16мм  ножки труба 40х40  с  регулируемыми по высоте опорами    1800 700    ")</f>
        <v> тол производственный из нержавеющей стали 1800х700х850 мм  c подложкой     16мм  ножки труба 40х40  с  регулируемыми по высоте опорами    1800 700    </v>
      </c>
    </row>
    <row r="4419">
      <c r="A4419" s="35" t="s">
        <v>10673</v>
      </c>
      <c r="B4419" s="31" t="s">
        <v>10674</v>
      </c>
      <c r="C4419" s="31"/>
      <c r="D4419" s="37" t="s">
        <v>14</v>
      </c>
      <c r="E4419" s="10"/>
      <c r="F4419" s="38">
        <v>42.0</v>
      </c>
      <c r="G4419" s="11">
        <v>484837.0</v>
      </c>
      <c r="H4419" s="34" t="str">
        <f>IFERROR(__xludf.DUMMYFUNCTION("LOWER(REGEXREPLACE(B4419&amp;"" ""&amp;C4419,""[^а-яa-z0-9 ]"","" ""))")," тол производственный для обвалки мяса 1500х750х850 мм  столешница полипропилен толщиной 20 мм  ножки труба 40х40       1500 700 ")</f>
        <v> тол производственный для обвалки мяса 1500х750х850 мм  столешница полипропилен толщиной 20 мм  ножки труба 40х40       1500 700 </v>
      </c>
    </row>
    <row r="4420">
      <c r="A4420" s="35" t="s">
        <v>10675</v>
      </c>
      <c r="B4420" s="31" t="s">
        <v>10676</v>
      </c>
      <c r="C4420" s="31"/>
      <c r="D4420" s="37" t="s">
        <v>14</v>
      </c>
      <c r="E4420" s="38">
        <v>2.0</v>
      </c>
      <c r="F4420" s="38">
        <v>31.0</v>
      </c>
      <c r="G4420" s="11">
        <v>216260.0</v>
      </c>
      <c r="H4420" s="34" t="str">
        <f>IFERROR(__xludf.DUMMYFUNCTION("LOWER(REGEXREPLACE(B4420&amp;"" ""&amp;C4420,""[^а-яa-z0-9 ]"","" ""))"),"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"&amp;" 1200 600      ")</f>
        <v>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1200 600      </v>
      </c>
    </row>
    <row r="4421">
      <c r="A4421" s="35" t="s">
        <v>10677</v>
      </c>
      <c r="B4421" s="31" t="s">
        <v>10678</v>
      </c>
      <c r="C4421" s="31"/>
      <c r="D4421" s="37" t="s">
        <v>14</v>
      </c>
      <c r="E4421" s="38">
        <v>2.0</v>
      </c>
      <c r="F4421" s="38">
        <v>34.0</v>
      </c>
      <c r="G4421" s="11">
        <v>251961.0</v>
      </c>
      <c r="H4421" s="34" t="str">
        <f>IFERROR(__xludf.DUMMYFUNCTION("LOWER(REGEXREPLACE(B4421&amp;"" ""&amp;C4421,""[^а-яa-z0-9 ]"","" ""))"),"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1500 600      ")</f>
        <v>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 опоры     1500 600      </v>
      </c>
    </row>
    <row r="4422">
      <c r="A4422" s="35" t="s">
        <v>10679</v>
      </c>
      <c r="B4422" s="31" t="s">
        <v>10680</v>
      </c>
      <c r="C4422" s="31"/>
      <c r="D4422" s="37" t="s">
        <v>14</v>
      </c>
      <c r="E4422" s="38">
        <v>2.0</v>
      </c>
      <c r="F4422" s="38">
        <v>30.0</v>
      </c>
      <c r="G4422" s="11">
        <v>212410.0</v>
      </c>
      <c r="H4422" s="34" t="str">
        <f>IFERROR(__xludf.DUMMYFUNCTION("LOWER(REGEXREPLACE(B4422&amp;"" ""&amp;C4422,""[^а-яa-z0-9 ]"","" ""))"),"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1000 700      ")</f>
        <v>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 опоры     1000 700      </v>
      </c>
    </row>
    <row r="4423">
      <c r="A4423" s="35" t="s">
        <v>10681</v>
      </c>
      <c r="B4423" s="31" t="s">
        <v>10682</v>
      </c>
      <c r="C4423" s="31"/>
      <c r="D4423" s="37" t="s">
        <v>14</v>
      </c>
      <c r="E4423" s="38">
        <v>2.0</v>
      </c>
      <c r="F4423" s="38">
        <v>25.0</v>
      </c>
      <c r="G4423" s="11">
        <v>112904.0</v>
      </c>
      <c r="H4423" s="34" t="str">
        <f>IFERROR(__xludf.DUMMYFUNCTION("LOWER(REGEXREPLACE(B4423&amp;"" ""&amp;C4423,""[^а-яa-z0-9 ]"","" ""))"),"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f>
        <v>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v>
      </c>
    </row>
    <row r="4424">
      <c r="A4424" s="35" t="s">
        <v>10683</v>
      </c>
      <c r="B4424" s="9" t="s">
        <v>10684</v>
      </c>
      <c r="C4424" s="31"/>
      <c r="D4424" s="37" t="s">
        <v>14</v>
      </c>
      <c r="E4424" s="38">
        <v>2.0</v>
      </c>
      <c r="F4424" s="40">
        <v>13.44</v>
      </c>
      <c r="G4424" s="11">
        <v>46345.0</v>
      </c>
      <c r="H4424" s="34" t="str">
        <f>IFERROR(__xludf.DUMMYFUNCTION("LOWER(REGEXREPLACE(B4424&amp;"" ""&amp;C4424,""[^а-яa-z0-9 ]"","" ""))")," тол производственный рабочий      080 60   ержавеющая сталь    бортиком без полки   азмер  800x600x850мм ")</f>
        <v> тол производственный рабочий      080 60   ержавеющая сталь    бортиком без полки   азмер  800x600x850мм </v>
      </c>
    </row>
    <row r="4425">
      <c r="A4425" s="35" t="s">
        <v>10685</v>
      </c>
      <c r="B4425" s="9" t="s">
        <v>10686</v>
      </c>
      <c r="C4425" s="31"/>
      <c r="D4425" s="37" t="s">
        <v>14</v>
      </c>
      <c r="E4425" s="38">
        <v>2.0</v>
      </c>
      <c r="F4425" s="40">
        <v>15.26</v>
      </c>
      <c r="G4425" s="11">
        <v>51083.0</v>
      </c>
      <c r="H4425" s="34" t="str">
        <f>IFERROR(__xludf.DUMMYFUNCTION("LOWER(REGEXREPLACE(B4425&amp;"" ""&amp;C4425,""[^а-яa-z0-9 ]"","" ""))")," тол производственный рабочий      0100 60   ержавеющая сталь    бортиком без полки   азмер  1000x600x850мм ")</f>
        <v> тол производственный рабочий      0100 60   ержавеющая сталь    бортиком без полки   азмер  1000x600x850мм </v>
      </c>
    </row>
    <row r="4426">
      <c r="A4426" s="35" t="s">
        <v>10687</v>
      </c>
      <c r="B4426" s="9" t="s">
        <v>10688</v>
      </c>
      <c r="C4426" s="31"/>
      <c r="D4426" s="37" t="s">
        <v>14</v>
      </c>
      <c r="E4426" s="38">
        <v>2.0</v>
      </c>
      <c r="F4426" s="40">
        <v>17.08</v>
      </c>
      <c r="G4426" s="11">
        <v>55145.0</v>
      </c>
      <c r="H4426" s="34" t="str">
        <f>IFERROR(__xludf.DUMMYFUNCTION("LOWER(REGEXREPLACE(B4426&amp;"" ""&amp;C4426,""[^а-яa-z0-9 ]"","" ""))")," тол производственный рабочий      0120 60   ержавеющая сталь    бортиком без полки   азмер  1200x600x850мм ")</f>
        <v> тол производственный рабочий      0120 60   ержавеющая сталь    бортиком без полки   азмер  1200x600x850мм </v>
      </c>
    </row>
    <row r="4427">
      <c r="A4427" s="35" t="s">
        <v>10689</v>
      </c>
      <c r="B4427" s="9" t="s">
        <v>10690</v>
      </c>
      <c r="C4427" s="31"/>
      <c r="D4427" s="37" t="s">
        <v>14</v>
      </c>
      <c r="E4427" s="38">
        <v>2.0</v>
      </c>
      <c r="F4427" s="39">
        <v>18.9</v>
      </c>
      <c r="G4427" s="11">
        <v>59207.0</v>
      </c>
      <c r="H4427" s="34" t="str">
        <f>IFERROR(__xludf.DUMMYFUNCTION("LOWER(REGEXREPLACE(B4427&amp;"" ""&amp;C4427,""[^а-яa-z0-9 ]"","" ""))")," тол производственный рабочий      0140 60   ержавеющая сталь    бортиком без полки   азмер  1400x600x850мм ")</f>
        <v> тол производственный рабочий      0140 60   ержавеющая сталь    бортиком без полки   азмер  1400x600x850мм </v>
      </c>
    </row>
    <row r="4428">
      <c r="A4428" s="35" t="s">
        <v>10691</v>
      </c>
      <c r="B4428" s="9" t="s">
        <v>10692</v>
      </c>
      <c r="C4428" s="31"/>
      <c r="D4428" s="37" t="s">
        <v>14</v>
      </c>
      <c r="E4428" s="38">
        <v>2.0</v>
      </c>
      <c r="F4428" s="40">
        <v>20.72</v>
      </c>
      <c r="G4428" s="11">
        <v>63269.0</v>
      </c>
      <c r="H4428" s="34" t="str">
        <f>IFERROR(__xludf.DUMMYFUNCTION("LOWER(REGEXREPLACE(B4428&amp;"" ""&amp;C4428,""[^а-яa-z0-9 ]"","" ""))")," тол производственный рабочий      0160 60   ержавеющая сталь    бортиком без полки   азмер  1600x600x850мм ")</f>
        <v> тол производственный рабочий      0160 60   ержавеющая сталь    бортиком без полки   азмер  1600x600x850мм </v>
      </c>
    </row>
    <row r="4429">
      <c r="A4429" s="35" t="s">
        <v>10693</v>
      </c>
      <c r="B4429" s="9" t="s">
        <v>10694</v>
      </c>
      <c r="C4429" s="31"/>
      <c r="D4429" s="37" t="s">
        <v>14</v>
      </c>
      <c r="E4429" s="38">
        <v>2.0</v>
      </c>
      <c r="F4429" s="40">
        <v>22.54</v>
      </c>
      <c r="G4429" s="11">
        <v>67669.0</v>
      </c>
      <c r="H4429" s="34" t="str">
        <f>IFERROR(__xludf.DUMMYFUNCTION("LOWER(REGEXREPLACE(B4429&amp;"" ""&amp;C4429,""[^а-яa-z0-9 ]"","" ""))")," тол производственный рабочий      0180 60   ержавеющая сталь    бортиком без полки   азмер  1800x600x850мм ")</f>
        <v> тол производственный рабочий      0180 60   ержавеющая сталь    бортиком без полки   азмер  1800x600x850мм </v>
      </c>
    </row>
    <row r="4430">
      <c r="A4430" s="35" t="s">
        <v>10695</v>
      </c>
      <c r="B4430" s="9" t="s">
        <v>10696</v>
      </c>
      <c r="C4430" s="31"/>
      <c r="D4430" s="37" t="s">
        <v>14</v>
      </c>
      <c r="E4430" s="38">
        <v>2.0</v>
      </c>
      <c r="F4430" s="40">
        <v>12.55</v>
      </c>
      <c r="G4430" s="11">
        <v>44990.0</v>
      </c>
      <c r="H4430" s="34" t="str">
        <f>IFERROR(__xludf.DUMMYFUNCTION("LOWER(REGEXREPLACE(B4430&amp;"" ""&amp;C4430,""[^а-яa-z0-9 ]"","" ""))")," тол производственный рабочий      060 70   ержавеющая сталь    бортиком без полки   азмер  600x700x850мм ")</f>
        <v> тол производственный рабочий      060 70   ержавеющая сталь    бортиком без полки   азмер  600x700x850мм </v>
      </c>
    </row>
    <row r="4431">
      <c r="A4431" s="35" t="s">
        <v>10697</v>
      </c>
      <c r="B4431" s="9" t="s">
        <v>10698</v>
      </c>
      <c r="C4431" s="31"/>
      <c r="D4431" s="37" t="s">
        <v>14</v>
      </c>
      <c r="E4431" s="38">
        <v>2.0</v>
      </c>
      <c r="F4431" s="40">
        <v>13.54</v>
      </c>
      <c r="G4431" s="11">
        <v>50063.0</v>
      </c>
      <c r="H4431" s="34" t="str">
        <f>IFERROR(__xludf.DUMMYFUNCTION("LOWER(REGEXREPLACE(B4431&amp;"" ""&amp;C4431,""[^а-яa-z0-9 ]"","" ""))")," тол производственный рабочий      070 70   ержавеющая сталь    бортиком без полки   азмер  700x700x850мм ")</f>
        <v> тол производственный рабочий      070 70   ержавеющая сталь    бортиком без полки   азмер  700x700x850мм </v>
      </c>
    </row>
    <row r="4432">
      <c r="A4432" s="35" t="s">
        <v>10699</v>
      </c>
      <c r="B4432" s="9" t="s">
        <v>10700</v>
      </c>
      <c r="C4432" s="31"/>
      <c r="D4432" s="37" t="s">
        <v>14</v>
      </c>
      <c r="E4432" s="38">
        <v>2.0</v>
      </c>
      <c r="F4432" s="40">
        <v>14.53</v>
      </c>
      <c r="G4432" s="11">
        <v>55473.0</v>
      </c>
      <c r="H4432" s="34" t="str">
        <f>IFERROR(__xludf.DUMMYFUNCTION("LOWER(REGEXREPLACE(B4432&amp;"" ""&amp;C4432,""[^а-яa-z0-9 ]"","" ""))")," тол производственный рабочий      080 70   ержавеющая сталь    бортиком без полки   азмер  800x700x850мм ")</f>
        <v> тол производственный рабочий      080 70   ержавеющая сталь    бортиком без полки   азмер  800x700x850мм </v>
      </c>
    </row>
    <row r="4433">
      <c r="A4433" s="35" t="s">
        <v>10701</v>
      </c>
      <c r="B4433" s="9" t="s">
        <v>10702</v>
      </c>
      <c r="C4433" s="31"/>
      <c r="D4433" s="37" t="s">
        <v>14</v>
      </c>
      <c r="E4433" s="38">
        <v>2.0</v>
      </c>
      <c r="F4433" s="40">
        <v>16.53</v>
      </c>
      <c r="G4433" s="11">
        <v>61225.0</v>
      </c>
      <c r="H4433" s="34" t="str">
        <f>IFERROR(__xludf.DUMMYFUNCTION("LOWER(REGEXREPLACE(B4433&amp;"" ""&amp;C4433,""[^а-яa-z0-9 ]"","" ""))")," тол производственный рабочий      0100 70   ержавеющая сталь    бортиком без полки   азмер  1000x700x850мм ")</f>
        <v> тол производственный рабочий      0100 70   ержавеющая сталь    бортиком без полки   азмер  1000x700x850мм </v>
      </c>
    </row>
    <row r="4434">
      <c r="A4434" s="35" t="s">
        <v>10703</v>
      </c>
      <c r="B4434" s="9" t="s">
        <v>10704</v>
      </c>
      <c r="C4434" s="31"/>
      <c r="D4434" s="37" t="s">
        <v>14</v>
      </c>
      <c r="E4434" s="38">
        <v>2.0</v>
      </c>
      <c r="F4434" s="40">
        <v>18.51</v>
      </c>
      <c r="G4434" s="11">
        <v>66977.0</v>
      </c>
      <c r="H4434" s="34" t="str">
        <f>IFERROR(__xludf.DUMMYFUNCTION("LOWER(REGEXREPLACE(B4434&amp;"" ""&amp;C4434,""[^а-яa-z0-9 ]"","" ""))")," тол производственный рабочий      0120 70   ержавеющая сталь    бортиком без полки   азмер  1200x700x850мм ")</f>
        <v> тол производственный рабочий      0120 70   ержавеющая сталь    бортиком без полки   азмер  1200x700x850мм </v>
      </c>
    </row>
    <row r="4435">
      <c r="A4435" s="35" t="s">
        <v>10705</v>
      </c>
      <c r="B4435" s="9" t="s">
        <v>10706</v>
      </c>
      <c r="C4435" s="31"/>
      <c r="D4435" s="37" t="s">
        <v>14</v>
      </c>
      <c r="E4435" s="38">
        <v>2.0</v>
      </c>
      <c r="F4435" s="40">
        <v>20.49</v>
      </c>
      <c r="G4435" s="11">
        <v>72054.0</v>
      </c>
      <c r="H4435" s="34" t="str">
        <f>IFERROR(__xludf.DUMMYFUNCTION("LOWER(REGEXREPLACE(B4435&amp;"" ""&amp;C4435,""[^а-яa-z0-9 ]"","" ""))")," тол производственный рабочий      0140 70   ержавеющая сталь    бортиком без полки   азмер  1400x700x850мм ")</f>
        <v> тол производственный рабочий      0140 70   ержавеющая сталь    бортиком без полки   азмер  1400x700x850мм </v>
      </c>
    </row>
    <row r="4436">
      <c r="A4436" s="35" t="s">
        <v>10707</v>
      </c>
      <c r="B4436" s="9" t="s">
        <v>10708</v>
      </c>
      <c r="C4436" s="31"/>
      <c r="D4436" s="37" t="s">
        <v>14</v>
      </c>
      <c r="E4436" s="38">
        <v>2.0</v>
      </c>
      <c r="F4436" s="40">
        <v>22.47</v>
      </c>
      <c r="G4436" s="11">
        <v>78144.0</v>
      </c>
      <c r="H4436" s="34" t="str">
        <f>IFERROR(__xludf.DUMMYFUNCTION("LOWER(REGEXREPLACE(B4436&amp;"" ""&amp;C4436,""[^а-яa-z0-9 ]"","" ""))")," тол производственный рабочий      0160 70   ержавеющая сталь    бортиком без полки   азмер  1600x700x850мм ")</f>
        <v> тол производственный рабочий      0160 70   ержавеющая сталь    бортиком без полки   азмер  1600x700x850мм </v>
      </c>
    </row>
    <row r="4437">
      <c r="A4437" s="35" t="s">
        <v>10709</v>
      </c>
      <c r="B4437" s="9" t="s">
        <v>10710</v>
      </c>
      <c r="C4437" s="31"/>
      <c r="D4437" s="37" t="s">
        <v>14</v>
      </c>
      <c r="E4437" s="38">
        <v>2.0</v>
      </c>
      <c r="F4437" s="40">
        <v>24.45</v>
      </c>
      <c r="G4437" s="11">
        <v>82882.0</v>
      </c>
      <c r="H4437" s="34" t="str">
        <f>IFERROR(__xludf.DUMMYFUNCTION("LOWER(REGEXREPLACE(B4437&amp;"" ""&amp;C4437,""[^а-яa-z0-9 ]"","" ""))")," тол производственный рабочий      0180 70   ержавеющая сталь    бортиком без полки   азмер  1800x700x850мм ")</f>
        <v> тол производственный рабочий      0180 70   ержавеющая сталь    бортиком без полки   азмер  1800x700x850мм </v>
      </c>
    </row>
    <row r="4438">
      <c r="A4438" s="35" t="s">
        <v>10711</v>
      </c>
      <c r="B4438" s="9" t="s">
        <v>10712</v>
      </c>
      <c r="C4438" s="31"/>
      <c r="D4438" s="37" t="s">
        <v>14</v>
      </c>
      <c r="E4438" s="38">
        <v>2.0</v>
      </c>
      <c r="F4438" s="40">
        <v>17.75</v>
      </c>
      <c r="G4438" s="11">
        <v>62582.0</v>
      </c>
      <c r="H4438" s="34" t="str">
        <f>IFERROR(__xludf.DUMMYFUNCTION("LOWER(REGEXREPLACE(B4438&amp;"" ""&amp;C4438,""[^а-яa-z0-9 ]"","" ""))")," тол производственный рабочий      1100 60   ержавеющая сталь    одной полкой и бортиком   азмер  1000x600x850мм ")</f>
        <v> тол производственный рабочий      1100 60   ержавеющая сталь    одной полкой и бортиком   азмер  1000x600x850мм </v>
      </c>
    </row>
    <row r="4439">
      <c r="A4439" s="35" t="s">
        <v>10713</v>
      </c>
      <c r="B4439" s="9" t="s">
        <v>10714</v>
      </c>
      <c r="C4439" s="31"/>
      <c r="D4439" s="37" t="s">
        <v>14</v>
      </c>
      <c r="E4439" s="38">
        <v>2.0</v>
      </c>
      <c r="F4439" s="40">
        <v>20.22</v>
      </c>
      <c r="G4439" s="11">
        <v>66984.0</v>
      </c>
      <c r="H4439" s="34" t="str">
        <f>IFERROR(__xludf.DUMMYFUNCTION("LOWER(REGEXREPLACE(B4439&amp;"" ""&amp;C4439,""[^а-яa-z0-9 ]"","" ""))")," тол производственный рабочий      1120 60   ержавеющая сталь    одной полкой и бортиком   азмер  1200x600x850мм ")</f>
        <v> тол производственный рабочий      1120 60   ержавеющая сталь    одной полкой и бортиком   азмер  1200x600x850мм </v>
      </c>
    </row>
    <row r="4440">
      <c r="A4440" s="35" t="s">
        <v>10715</v>
      </c>
      <c r="B4440" s="9" t="s">
        <v>10716</v>
      </c>
      <c r="C4440" s="31"/>
      <c r="D4440" s="37" t="s">
        <v>14</v>
      </c>
      <c r="E4440" s="38">
        <v>2.0</v>
      </c>
      <c r="F4440" s="40">
        <v>22.69</v>
      </c>
      <c r="G4440" s="11">
        <v>70711.0</v>
      </c>
      <c r="H4440" s="34" t="str">
        <f>IFERROR(__xludf.DUMMYFUNCTION("LOWER(REGEXREPLACE(B4440&amp;"" ""&amp;C4440,""[^а-яa-z0-9 ]"","" ""))")," тол производственный рабочий      1140 60   ержавеющая сталь    одной полкой и бортиком   азмер 1400x600x850мм ")</f>
        <v> тол производственный рабочий      1140 60   ержавеющая сталь    одной полкой и бортиком   азмер 1400x600x850мм </v>
      </c>
    </row>
    <row r="4441">
      <c r="A4441" s="35" t="s">
        <v>10717</v>
      </c>
      <c r="B4441" s="9" t="s">
        <v>10718</v>
      </c>
      <c r="C4441" s="31"/>
      <c r="D4441" s="37" t="s">
        <v>14</v>
      </c>
      <c r="E4441" s="38">
        <v>2.0</v>
      </c>
      <c r="F4441" s="40">
        <v>25.16</v>
      </c>
      <c r="G4441" s="11">
        <v>75451.0</v>
      </c>
      <c r="H4441" s="34" t="str">
        <f>IFERROR(__xludf.DUMMYFUNCTION("LOWER(REGEXREPLACE(B4441&amp;"" ""&amp;C4441,""[^а-яa-z0-9 ]"","" ""))"),"  тол производственный рабочий      1160 60   ержавеющая сталь    одной полкой и бортиком   азмер  1600x600x850мм  ")</f>
        <v>  тол производственный рабочий      1160 60   ержавеющая сталь    одной полкой и бортиком   азмер  1600x600x850мм  </v>
      </c>
    </row>
    <row r="4442">
      <c r="A4442" s="35" t="s">
        <v>10719</v>
      </c>
      <c r="B4442" s="9" t="s">
        <v>10720</v>
      </c>
      <c r="C4442" s="31"/>
      <c r="D4442" s="37" t="s">
        <v>14</v>
      </c>
      <c r="E4442" s="38">
        <v>2.0</v>
      </c>
      <c r="F4442" s="40">
        <v>27.63</v>
      </c>
      <c r="G4442" s="11">
        <v>79853.0</v>
      </c>
      <c r="H4442" s="34" t="str">
        <f>IFERROR(__xludf.DUMMYFUNCTION("LOWER(REGEXREPLACE(B4442&amp;"" ""&amp;C4442,""[^а-яa-z0-9 ]"","" ""))")," тол производственный рабочий      1180 60   ержавеющая сталь    одной полкой и бортиком   азмер  1800x600x850мм ")</f>
        <v> тол производственный рабочий      1180 60   ержавеющая сталь    одной полкой и бортиком   азмер  1800x600x850мм </v>
      </c>
    </row>
    <row r="4443">
      <c r="A4443" s="35" t="s">
        <v>10721</v>
      </c>
      <c r="B4443" s="9" t="s">
        <v>10722</v>
      </c>
      <c r="C4443" s="31"/>
      <c r="D4443" s="37" t="s">
        <v>14</v>
      </c>
      <c r="E4443" s="38">
        <v>2.0</v>
      </c>
      <c r="F4443" s="40">
        <v>19.53</v>
      </c>
      <c r="G4443" s="11">
        <v>66644.0</v>
      </c>
      <c r="H4443" s="34" t="str">
        <f>IFERROR(__xludf.DUMMYFUNCTION("LOWER(REGEXREPLACE(B4443&amp;"" ""&amp;C4443,""[^а-яa-z0-9 ]"","" ""))")," тол производственный рабочий      1100 70   ержавеющая сталь    одной полкой и бортиком   азмер  1000x700x850мм ")</f>
        <v> тол производственный рабочий      1100 70   ержавеющая сталь    одной полкой и бортиком   азмер  1000x700x850мм </v>
      </c>
    </row>
    <row r="4444">
      <c r="A4444" s="35" t="s">
        <v>10723</v>
      </c>
      <c r="B4444" s="9" t="s">
        <v>10724</v>
      </c>
      <c r="C4444" s="31"/>
      <c r="D4444" s="37" t="s">
        <v>14</v>
      </c>
      <c r="E4444" s="38">
        <v>2.0</v>
      </c>
      <c r="F4444" s="40">
        <v>22.26</v>
      </c>
      <c r="G4444" s="11">
        <v>70709.0</v>
      </c>
      <c r="H4444" s="34" t="str">
        <f>IFERROR(__xludf.DUMMYFUNCTION("LOWER(REGEXREPLACE(B4444&amp;"" ""&amp;C4444,""[^а-яa-z0-9 ]"","" ""))")," тол производственный рабочий      1120 70   ержавеющая сталь    одной полкой и бортиком   азмер  1200x700x850мм ")</f>
        <v> тол производственный рабочий      1120 70   ержавеющая сталь    одной полкой и бортиком   азмер  1200x700x850мм </v>
      </c>
    </row>
    <row r="4445">
      <c r="A4445" s="35" t="s">
        <v>10725</v>
      </c>
      <c r="B4445" s="9" t="s">
        <v>10726</v>
      </c>
      <c r="C4445" s="31"/>
      <c r="D4445" s="37" t="s">
        <v>14</v>
      </c>
      <c r="E4445" s="38">
        <v>2.0</v>
      </c>
      <c r="F4445" s="40">
        <v>24.99</v>
      </c>
      <c r="G4445" s="11">
        <v>75788.0</v>
      </c>
      <c r="H4445" s="34" t="str">
        <f>IFERROR(__xludf.DUMMYFUNCTION("LOWER(REGEXREPLACE(B4445&amp;"" ""&amp;C4445,""[^а-яa-z0-9 ]"","" ""))")," тол производственный рабочий      1140 70   ержавеющая сталь    одной полкой и бортиком   азмер  1400x700x850мм ")</f>
        <v> тол производственный рабочий      1140 70   ержавеющая сталь    одной полкой и бортиком   азмер  1400x700x850мм </v>
      </c>
    </row>
    <row r="4446">
      <c r="A4446" s="35" t="s">
        <v>10727</v>
      </c>
      <c r="B4446" s="9" t="s">
        <v>10728</v>
      </c>
      <c r="C4446" s="31"/>
      <c r="D4446" s="37" t="s">
        <v>14</v>
      </c>
      <c r="E4446" s="38">
        <v>2.0</v>
      </c>
      <c r="F4446" s="40">
        <v>27.72</v>
      </c>
      <c r="G4446" s="11">
        <v>81205.0</v>
      </c>
      <c r="H4446" s="34" t="str">
        <f>IFERROR(__xludf.DUMMYFUNCTION("LOWER(REGEXREPLACE(B4446&amp;"" ""&amp;C4446,""[^а-яa-z0-9 ]"","" ""))")," тол производственный рабочий      1160 70   ержавеющая сталь    одной полкой и бортиком   азмер  1600x700x850мм ")</f>
        <v> тол производственный рабочий      1160 70   ержавеющая сталь    одной полкой и бортиком   азмер  1600x700x850мм </v>
      </c>
    </row>
    <row r="4447">
      <c r="A4447" s="35" t="s">
        <v>10729</v>
      </c>
      <c r="B4447" s="9" t="s">
        <v>10730</v>
      </c>
      <c r="C4447" s="31"/>
      <c r="D4447" s="37" t="s">
        <v>14</v>
      </c>
      <c r="E4447" s="38">
        <v>2.0</v>
      </c>
      <c r="F4447" s="40">
        <v>30.45</v>
      </c>
      <c r="G4447" s="11">
        <v>85947.0</v>
      </c>
      <c r="H4447" s="34" t="str">
        <f>IFERROR(__xludf.DUMMYFUNCTION("LOWER(REGEXREPLACE(B4447&amp;"" ""&amp;C4447,""[^а-яa-z0-9 ]"","" ""))")," тол производственный рабочий      1180 70   ержавеющая сталь    одной полкой и бортиком   азмер  1800x700x850мм ")</f>
        <v> тол производственный рабочий      1180 70   ержавеющая сталь    одной полкой и бортиком   азмер  1800x700x850мм </v>
      </c>
    </row>
    <row r="4448">
      <c r="A4448" s="35" t="s">
        <v>10731</v>
      </c>
      <c r="B4448" s="9" t="s">
        <v>10732</v>
      </c>
      <c r="C4448" s="31"/>
      <c r="D4448" s="37" t="s">
        <v>14</v>
      </c>
      <c r="E4448" s="38">
        <v>2.0</v>
      </c>
      <c r="F4448" s="40">
        <v>23.19</v>
      </c>
      <c r="G4448" s="11">
        <v>75781.0</v>
      </c>
      <c r="H4448" s="34" t="str">
        <f>IFERROR(__xludf.DUMMYFUNCTION("LOWER(REGEXREPLACE(B4448&amp;"" ""&amp;C4448,""[^а-яa-z0-9 ]"","" ""))")," тол производственный рабочий      2100 60   ержавеющая сталь    двумя полками и бортиком   азмер  1000x600x850мм ")</f>
        <v> тол производственный рабочий      2100 60   ержавеющая сталь    двумя полками и бортиком   азмер  1000x600x850мм </v>
      </c>
    </row>
    <row r="4449">
      <c r="A4449" s="35" t="s">
        <v>10733</v>
      </c>
      <c r="B4449" s="9" t="s">
        <v>10734</v>
      </c>
      <c r="C4449" s="31"/>
      <c r="D4449" s="37" t="s">
        <v>14</v>
      </c>
      <c r="E4449" s="38">
        <v>2.0</v>
      </c>
      <c r="F4449" s="40">
        <v>26.68</v>
      </c>
      <c r="G4449" s="11">
        <v>81877.0</v>
      </c>
      <c r="H4449" s="34" t="str">
        <f>IFERROR(__xludf.DUMMYFUNCTION("LOWER(REGEXREPLACE(B4449&amp;"" ""&amp;C4449,""[^а-яa-z0-9 ]"","" ""))")," тол производственный рабочий      2120 60   ержавеющая сталь    двумя полками и бортиком   азмер  1200x600x850мм ")</f>
        <v> тол производственный рабочий      2120 60   ержавеющая сталь    двумя полками и бортиком   азмер  1200x600x850мм </v>
      </c>
    </row>
    <row r="4450">
      <c r="A4450" s="35" t="s">
        <v>10735</v>
      </c>
      <c r="B4450" s="9" t="s">
        <v>10736</v>
      </c>
      <c r="C4450" s="31"/>
      <c r="D4450" s="37" t="s">
        <v>14</v>
      </c>
      <c r="E4450" s="38">
        <v>2.0</v>
      </c>
      <c r="F4450" s="40">
        <v>30.17</v>
      </c>
      <c r="G4450" s="11">
        <v>88311.0</v>
      </c>
      <c r="H4450" s="34" t="str">
        <f>IFERROR(__xludf.DUMMYFUNCTION("LOWER(REGEXREPLACE(B4450&amp;"" ""&amp;C4450,""[^а-яa-z0-9 ]"","" ""))")," тол производственный рабочий      2140 60   ержавеющая сталь    двумя полками и бортиком   азмер  1400x600x850мм ")</f>
        <v> тол производственный рабочий      2140 60   ержавеющая сталь    двумя полками и бортиком   азмер  1400x600x850мм </v>
      </c>
    </row>
    <row r="4451">
      <c r="A4451" s="35" t="s">
        <v>10737</v>
      </c>
      <c r="B4451" s="9" t="s">
        <v>10738</v>
      </c>
      <c r="C4451" s="31"/>
      <c r="D4451" s="37" t="s">
        <v>14</v>
      </c>
      <c r="E4451" s="38">
        <v>2.0</v>
      </c>
      <c r="F4451" s="40">
        <v>33.66</v>
      </c>
      <c r="G4451" s="11">
        <v>94069.0</v>
      </c>
      <c r="H4451" s="34" t="str">
        <f>IFERROR(__xludf.DUMMYFUNCTION("LOWER(REGEXREPLACE(B4451&amp;"" ""&amp;C4451,""[^а-яa-z0-9 ]"","" ""))")," тол производственный рабочий      2160 60   ержавеющая сталь    двумя полками и бортиком   азмер  1600x600x850мм ")</f>
        <v> тол производственный рабочий      2160 60   ержавеющая сталь    двумя полками и бортиком   азмер  1600x600x850мм </v>
      </c>
    </row>
    <row r="4452">
      <c r="A4452" s="35" t="s">
        <v>10739</v>
      </c>
      <c r="B4452" s="9" t="s">
        <v>10740</v>
      </c>
      <c r="C4452" s="31"/>
      <c r="D4452" s="37" t="s">
        <v>14</v>
      </c>
      <c r="E4452" s="38">
        <v>2.0</v>
      </c>
      <c r="F4452" s="40">
        <v>37.15</v>
      </c>
      <c r="G4452" s="11">
        <v>99827.0</v>
      </c>
      <c r="H4452" s="34" t="str">
        <f>IFERROR(__xludf.DUMMYFUNCTION("LOWER(REGEXREPLACE(B4452&amp;"" ""&amp;C4452,""[^а-яa-z0-9 ]"","" ""))")," тол производственный рабочий      2180 60   ержавеющая сталь    двумя полками и бортиком   азмер  1800x600x850мм ")</f>
        <v> тол производственный рабочий      2180 60   ержавеющая сталь    двумя полками и бортиком   азмер  1800x600x850мм </v>
      </c>
    </row>
    <row r="4453">
      <c r="A4453" s="35" t="s">
        <v>10741</v>
      </c>
      <c r="B4453" s="9" t="s">
        <v>10742</v>
      </c>
      <c r="C4453" s="31"/>
      <c r="D4453" s="37" t="s">
        <v>14</v>
      </c>
      <c r="E4453" s="38">
        <v>2.0</v>
      </c>
      <c r="F4453" s="40">
        <v>25.72</v>
      </c>
      <c r="G4453" s="11">
        <v>81873.0</v>
      </c>
      <c r="H4453" s="34" t="str">
        <f>IFERROR(__xludf.DUMMYFUNCTION("LOWER(REGEXREPLACE(B4453&amp;"" ""&amp;C4453,""[^а-яa-z0-9 ]"","" ""))")," тол производственный рабочий      2100 70   ержавеющая сталь    двумя полками и бортиком   азмер  1000x700x850мм ")</f>
        <v> тол производственный рабочий      2100 70   ержавеющая сталь    двумя полками и бортиком   азмер  1000x700x850мм </v>
      </c>
    </row>
    <row r="4454">
      <c r="A4454" s="35" t="s">
        <v>10743</v>
      </c>
      <c r="B4454" s="9" t="s">
        <v>10744</v>
      </c>
      <c r="C4454" s="31"/>
      <c r="D4454" s="37" t="s">
        <v>14</v>
      </c>
      <c r="E4454" s="38">
        <v>2.0</v>
      </c>
      <c r="F4454" s="40">
        <v>29.62</v>
      </c>
      <c r="G4454" s="11">
        <v>88309.0</v>
      </c>
      <c r="H4454" s="34" t="str">
        <f>IFERROR(__xludf.DUMMYFUNCTION("LOWER(REGEXREPLACE(B4454&amp;"" ""&amp;C4454,""[^а-яa-z0-9 ]"","" ""))")," тол производственный рабочий      2120 70   ержавеющая сталь    двумя полками и бортиком   азмер  1200x700x850мм ")</f>
        <v> тол производственный рабочий      2120 70   ержавеющая сталь    двумя полками и бортиком   азмер  1200x700x850мм </v>
      </c>
    </row>
    <row r="4455">
      <c r="A4455" s="35" t="s">
        <v>10745</v>
      </c>
      <c r="B4455" s="9" t="s">
        <v>10746</v>
      </c>
      <c r="C4455" s="31"/>
      <c r="D4455" s="37" t="s">
        <v>14</v>
      </c>
      <c r="E4455" s="38">
        <v>2.0</v>
      </c>
      <c r="F4455" s="40">
        <v>33.52</v>
      </c>
      <c r="G4455" s="11">
        <v>95082.0</v>
      </c>
      <c r="H4455" s="34" t="str">
        <f>IFERROR(__xludf.DUMMYFUNCTION("LOWER(REGEXREPLACE(B4455&amp;"" ""&amp;C4455,""[^а-яa-z0-9 ]"","" ""))")," тол производственный рабочий      2140 70   ержавеющая сталь    двумя полками и бортиком   азмер  1400x700x850мм ")</f>
        <v> тол производственный рабочий      2140 70   ержавеющая сталь    двумя полками и бортиком   азмер  1400x700x850мм </v>
      </c>
    </row>
    <row r="4456">
      <c r="A4456" s="35" t="s">
        <v>10747</v>
      </c>
      <c r="B4456" s="9" t="s">
        <v>10748</v>
      </c>
      <c r="C4456" s="31"/>
      <c r="D4456" s="37" t="s">
        <v>14</v>
      </c>
      <c r="E4456" s="38">
        <v>2.0</v>
      </c>
      <c r="F4456" s="40">
        <v>37.42</v>
      </c>
      <c r="G4456" s="11">
        <v>101855.0</v>
      </c>
      <c r="H4456" s="34" t="str">
        <f>IFERROR(__xludf.DUMMYFUNCTION("LOWER(REGEXREPLACE(B4456&amp;"" ""&amp;C4456,""[^а-яa-z0-9 ]"","" ""))")," тол производственный рабочий      2160 70   ержавеющая сталь    двумя полками и бортиком   азмер  1600x700x850мм ")</f>
        <v> тол производственный рабочий      2160 70   ержавеющая сталь    двумя полками и бортиком   азмер  1600x700x850мм </v>
      </c>
    </row>
    <row r="4457">
      <c r="A4457" s="35" t="s">
        <v>10749</v>
      </c>
      <c r="B4457" s="9" t="s">
        <v>10750</v>
      </c>
      <c r="C4457" s="31"/>
      <c r="D4457" s="37" t="s">
        <v>14</v>
      </c>
      <c r="E4457" s="38">
        <v>2.0</v>
      </c>
      <c r="F4457" s="40">
        <v>41.32</v>
      </c>
      <c r="G4457" s="11">
        <v>108967.0</v>
      </c>
      <c r="H4457" s="34" t="str">
        <f>IFERROR(__xludf.DUMMYFUNCTION("LOWER(REGEXREPLACE(B4457&amp;"" ""&amp;C4457,""[^а-яa-z0-9 ]"","" ""))")," тол производственный рабочий      2180 70   ержавеющая сталь    двумя полками и бортиком   азмер  1800x700x850мм ")</f>
        <v> тол производственный рабочий      2180 70   ержавеющая сталь    двумя полками и бортиком   азмер  1800x700x850мм </v>
      </c>
    </row>
    <row r="4458">
      <c r="A4458" s="35" t="s">
        <v>10751</v>
      </c>
      <c r="B4458" s="31" t="s">
        <v>10752</v>
      </c>
      <c r="C4458" s="31"/>
      <c r="D4458" s="37" t="s">
        <v>14</v>
      </c>
      <c r="E4458" s="38">
        <v>2.0</v>
      </c>
      <c r="F4458" s="38">
        <v>28.0</v>
      </c>
      <c r="G4458" s="11">
        <v>30133.0</v>
      </c>
      <c r="H4458" s="34" t="str">
        <f>IFERROR(__xludf.DUMMYFUNCTION("LOWER(REGEXREPLACE(B4458&amp;"" ""&amp;C4458,""[^а-яa-z0-9 ]"","" ""))")," тол производственный       10 6 с бортом  столешница из нержавеющей стали с подложкой из       каркас оцинкованая сталь  полка решетчатая   азмер 1000х600х850мм ")</f>
        <v> тол производственный       10 6 с бортом  столешница из нержавеющей стали с подложкой из       каркас оцинкованая сталь  полка решетчатая   азмер 1000х600х850мм </v>
      </c>
    </row>
    <row r="4459">
      <c r="A4459" s="35" t="s">
        <v>10753</v>
      </c>
      <c r="B4459" s="31" t="s">
        <v>10754</v>
      </c>
      <c r="C4459" s="31"/>
      <c r="D4459" s="37" t="s">
        <v>14</v>
      </c>
      <c r="E4459" s="38">
        <v>2.0</v>
      </c>
      <c r="F4459" s="38">
        <v>31.0</v>
      </c>
      <c r="G4459" s="11">
        <v>34560.0</v>
      </c>
      <c r="H4459" s="34" t="str">
        <f>IFERROR(__xludf.DUMMYFUNCTION("LOWER(REGEXREPLACE(B4459&amp;"" ""&amp;C4459,""[^а-яa-z0-9 ]"","" ""))")," тол производственный       12 6 с бортом  столешница из нержавеющей стали с подложкой из       каркас оцинкованая сталь  полка решетчатая   азмер 1200х600х850мм ")</f>
        <v> тол производственный       12 6 с бортом  столешница из нержавеющей стали с подложкой из       каркас оцинкованая сталь  полка решетчатая   азмер 1200х600х850мм </v>
      </c>
    </row>
    <row r="4460">
      <c r="A4460" s="35" t="s">
        <v>10755</v>
      </c>
      <c r="B4460" s="31" t="s">
        <v>10756</v>
      </c>
      <c r="C4460" s="31"/>
      <c r="D4460" s="37" t="s">
        <v>14</v>
      </c>
      <c r="E4460" s="38">
        <v>2.0</v>
      </c>
      <c r="F4460" s="38">
        <v>35.0</v>
      </c>
      <c r="G4460" s="11">
        <v>39874.0</v>
      </c>
      <c r="H4460" s="34" t="str">
        <f>IFERROR(__xludf.DUMMYFUNCTION("LOWER(REGEXREPLACE(B4460&amp;"" ""&amp;C4460,""[^а-яa-z0-9 ]"","" ""))")," тол производственный       15 6 с бортом  столешница из нержавеющей стали с подложкой из       каркас оцинкованая сталь  полка решетчатая   азмер 1500х600х850мм ")</f>
        <v> тол производственный       15 6 с бортом  столешница из нержавеющей стали с подложкой из       каркас оцинкованая сталь  полка решетчатая   азмер 1500х600х850мм </v>
      </c>
    </row>
    <row r="4461">
      <c r="A4461" s="35" t="s">
        <v>10757</v>
      </c>
      <c r="B4461" s="31" t="s">
        <v>10758</v>
      </c>
      <c r="C4461" s="31"/>
      <c r="D4461" s="37" t="s">
        <v>14</v>
      </c>
      <c r="E4461" s="38">
        <v>2.0</v>
      </c>
      <c r="F4461" s="38">
        <v>38.0</v>
      </c>
      <c r="G4461" s="11">
        <v>45184.0</v>
      </c>
      <c r="H4461" s="34" t="str">
        <f>IFERROR(__xludf.DUMMYFUNCTION("LOWER(REGEXREPLACE(B4461&amp;"" ""&amp;C4461,""[^а-яa-z0-9 ]"","" ""))")," тол производственный       18 6 с бортом  столешница из нержавеющей стали с подложкой из       каркас оцинкованая сталь  полка решетчатая   азмер 1800х600х850мм ")</f>
        <v> тол производственный       18 6 с бортом  столешница из нержавеющей стали с подложкой из       каркас оцинкованая сталь  полка решетчатая   азмер 1800х600х850мм </v>
      </c>
    </row>
    <row r="4462">
      <c r="A4462" s="35" t="s">
        <v>10759</v>
      </c>
      <c r="B4462" s="31" t="s">
        <v>10760</v>
      </c>
      <c r="C4462" s="31"/>
      <c r="D4462" s="37" t="s">
        <v>14</v>
      </c>
      <c r="E4462" s="38">
        <v>2.0</v>
      </c>
      <c r="F4462" s="38">
        <v>28.0</v>
      </c>
      <c r="G4462" s="11">
        <v>29250.0</v>
      </c>
      <c r="H4462" s="34" t="str">
        <f>IFERROR(__xludf.DUMMYFUNCTION("LOWER(REGEXREPLACE(B4462&amp;"" ""&amp;C4462,""[^а-яa-z0-9 ]"","" ""))")," тол производственный      10 6 без борта  столешница из нержавеющей стали с подложкой из       каркас оцинкованая сталь  полка решетчатая   азмер 1000х600х850мм ")</f>
        <v> тол производственный      10 6 без борта  столешница из нержавеющей стали с подложкой из       каркас оцинкованая сталь  полка решетчатая   азмер 1000х600х850мм </v>
      </c>
    </row>
    <row r="4463">
      <c r="A4463" s="35" t="s">
        <v>10761</v>
      </c>
      <c r="B4463" s="31" t="s">
        <v>10762</v>
      </c>
      <c r="C4463" s="31"/>
      <c r="D4463" s="37" t="s">
        <v>14</v>
      </c>
      <c r="E4463" s="38">
        <v>2.0</v>
      </c>
      <c r="F4463" s="38">
        <v>31.0</v>
      </c>
      <c r="G4463" s="11">
        <v>33324.0</v>
      </c>
      <c r="H4463" s="34" t="str">
        <f>IFERROR(__xludf.DUMMYFUNCTION("LOWER(REGEXREPLACE(B4463&amp;"" ""&amp;C4463,""[^а-яa-z0-9 ]"","" ""))")," тол производственный      12 6 без борта  столешница из нержавеющей стали с подложкой из       каркас оцинкованая сталь  полка решетчатая   азмер 1200х600х850мм ")</f>
        <v> тол производственный      12 6 без борта  столешница из нержавеющей стали с подложкой из       каркас оцинкованая сталь  полка решетчатая   азмер 1200х600х850мм </v>
      </c>
    </row>
    <row r="4464">
      <c r="A4464" s="35" t="s">
        <v>10763</v>
      </c>
      <c r="B4464" s="31" t="s">
        <v>10764</v>
      </c>
      <c r="C4464" s="31"/>
      <c r="D4464" s="37" t="s">
        <v>14</v>
      </c>
      <c r="E4464" s="38">
        <v>2.0</v>
      </c>
      <c r="F4464" s="38">
        <v>35.0</v>
      </c>
      <c r="G4464" s="11">
        <v>38108.0</v>
      </c>
      <c r="H4464" s="34" t="str">
        <f>IFERROR(__xludf.DUMMYFUNCTION("LOWER(REGEXREPLACE(B4464&amp;"" ""&amp;C4464,""[^а-яa-z0-9 ]"","" ""))")," тол производственный      15 6 без борта  столешница из нержавеющей стали с подложкой из       каркас оцинкованая сталь  полка решетчатая   азмер 1500х600х850мм ")</f>
        <v> тол производственный      15 6 без борта  столешница из нержавеющей стали с подложкой из       каркас оцинкованая сталь  полка решетчатая   азмер 1500х600х850мм </v>
      </c>
    </row>
    <row r="4465">
      <c r="A4465" s="35" t="s">
        <v>10765</v>
      </c>
      <c r="B4465" s="31" t="s">
        <v>10766</v>
      </c>
      <c r="C4465" s="31"/>
      <c r="D4465" s="37" t="s">
        <v>14</v>
      </c>
      <c r="E4465" s="38">
        <v>2.0</v>
      </c>
      <c r="F4465" s="38">
        <v>38.0</v>
      </c>
      <c r="G4465" s="11">
        <v>43418.0</v>
      </c>
      <c r="H4465" s="34" t="str">
        <f>IFERROR(__xludf.DUMMYFUNCTION("LOWER(REGEXREPLACE(B4465&amp;"" ""&amp;C4465,""[^а-яa-z0-9 ]"","" ""))")," тол производственный      18 6 без борта  столешница из нержавеющей стали с подложкой из       каркас оцинкованая сталь  полка решетчатая   азмер 1800х600х850мм ")</f>
        <v> тол производственный      18 6 без борта  столешница из нержавеющей стали с подложкой из       каркас оцинкованая сталь  полка решетчатая   азмер 1800х600х850мм </v>
      </c>
    </row>
    <row r="4466">
      <c r="A4466" s="35" t="s">
        <v>10767</v>
      </c>
      <c r="B4466" s="31" t="s">
        <v>10768</v>
      </c>
      <c r="C4466" s="31"/>
      <c r="D4466" s="37" t="s">
        <v>14</v>
      </c>
      <c r="E4466" s="10"/>
      <c r="F4466" s="36"/>
      <c r="G4466" s="11"/>
      <c r="H4466" s="34" t="str">
        <f>IFERROR(__xludf.DUMMYFUNCTION("LOWER(REGEXREPLACE(B4466&amp;"" ""&amp;C4466,""[^а-яa-z0-9 ]"","" ""))")," тол специализированный кондитерский ")</f>
        <v> тол специализированный кондитерский </v>
      </c>
    </row>
    <row r="4467">
      <c r="A4467" s="35" t="s">
        <v>10769</v>
      </c>
      <c r="B4467" s="9" t="s">
        <v>10770</v>
      </c>
      <c r="C4467" s="31"/>
      <c r="D4467" s="37" t="s">
        <v>14</v>
      </c>
      <c r="E4467" s="10"/>
      <c r="F4467" s="38">
        <v>52.0</v>
      </c>
      <c r="G4467" s="11">
        <v>287935.0</v>
      </c>
      <c r="H4467" s="34" t="str">
        <f>IFERROR(__xludf.DUMMYFUNCTION("LOWER(REGEXREPLACE(B4467&amp;"" ""&amp;C4467,""[^а-яa-z0-9 ]"","" ""))")," тол специализированный кондитерский     15 7  1500х700х850  ")</f>
        <v> тол специализированный кондитерский     15 7  1500х700х850  </v>
      </c>
    </row>
    <row r="4468">
      <c r="A4468" s="35" t="s">
        <v>10771</v>
      </c>
      <c r="B4468" s="9" t="s">
        <v>10772</v>
      </c>
      <c r="C4468" s="31"/>
      <c r="D4468" s="37" t="s">
        <v>14</v>
      </c>
      <c r="E4468" s="10"/>
      <c r="F4468" s="38">
        <v>50.0</v>
      </c>
      <c r="G4468" s="11">
        <v>691224.0</v>
      </c>
      <c r="H4468" s="34" t="str">
        <f>IFERROR(__xludf.DUMMYFUNCTION("LOWER(REGEXREPLACE(B4468&amp;"" ""&amp;C4468,""[^а-яa-z0-9 ]"","" ""))")," тол специализированный кондитерский 1500х700х850 мм  каркас из нержавеющей стали  материал столешницы дерево      1500 700 ")</f>
        <v> тол специализированный кондитерский 1500х700х850 мм  каркас из нержавеющей стали  материал столешницы дерево      1500 700 </v>
      </c>
    </row>
    <row r="4469">
      <c r="A4469" s="35" t="s">
        <v>10773</v>
      </c>
      <c r="B4469" s="31" t="s">
        <v>10774</v>
      </c>
      <c r="C4469" s="31"/>
      <c r="D4469" s="37" t="s">
        <v>14</v>
      </c>
      <c r="E4469" s="38">
        <v>2.0</v>
      </c>
      <c r="F4469" s="38">
        <v>25.0</v>
      </c>
      <c r="G4469" s="11">
        <v>307857.0</v>
      </c>
      <c r="H4469" s="34" t="str">
        <f>IFERROR(__xludf.DUMMYFUNCTION("LOWER(REGEXREPLACE(B4469&amp;"" ""&amp;C4469,""[^а-яa-z0-9 ]"","" ""))"),"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f>
        <v>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v>
      </c>
    </row>
    <row r="4470">
      <c r="A4470" s="35" t="s">
        <v>10775</v>
      </c>
      <c r="B4470" s="31" t="s">
        <v>10776</v>
      </c>
      <c r="C4470" s="31"/>
      <c r="D4470" s="37" t="s">
        <v>14</v>
      </c>
      <c r="E4470" s="10"/>
      <c r="F4470" s="36"/>
      <c r="G4470" s="11"/>
      <c r="H4470" s="34" t="str">
        <f>IFERROR(__xludf.DUMMYFUNCTION("LOWER(REGEXREPLACE(B4470&amp;"" ""&amp;C4470,""[^а-яa-z0-9 ]"","" ""))")," одтоварник ")</f>
        <v> одтоварник </v>
      </c>
    </row>
    <row r="4471">
      <c r="A4471" s="35" t="s">
        <v>10777</v>
      </c>
      <c r="B4471" s="31" t="s">
        <v>10778</v>
      </c>
      <c r="C4471" s="31" t="s">
        <v>10779</v>
      </c>
      <c r="D4471" s="37" t="s">
        <v>14</v>
      </c>
      <c r="E4471" s="10"/>
      <c r="F4471" s="38">
        <v>20.0</v>
      </c>
      <c r="G4471" s="11">
        <v>103980.0</v>
      </c>
      <c r="H4471" s="34" t="str">
        <f>IFERROR(__xludf.DUMMYFUNCTION("LOWER(REGEXREPLACE(B4471&amp;"" ""&amp;C4471,""[^а-яa-z0-9 ]"","" ""))")," одтоварник  размеры не менее 1200х600х300мм  атериал каркаса из нержавеющей стали ")</f>
        <v> одтоварник  размеры не менее 1200х600х300мм  атериал каркаса из нержавеющей стали </v>
      </c>
    </row>
    <row r="4472">
      <c r="A4472" s="35" t="s">
        <v>10780</v>
      </c>
      <c r="B4472" s="31" t="s">
        <v>10781</v>
      </c>
      <c r="C4472" s="31"/>
      <c r="D4472" s="37" t="s">
        <v>14</v>
      </c>
      <c r="E4472" s="10"/>
      <c r="F4472" s="38">
        <v>16.0</v>
      </c>
      <c r="G4472" s="11">
        <v>92710.0</v>
      </c>
      <c r="H4472" s="34" t="str">
        <f>IFERROR(__xludf.DUMMYFUNCTION("LOWER(REGEXREPLACE(B4472&amp;"" ""&amp;C4472,""[^а-яa-z0-9 ]"","" ""))")," одтоварник из нержавеющей стали 1200х600х300 мм  с лагами усиления    1 ")</f>
        <v> одтоварник из нержавеющей стали 1200х600х300 мм  с лагами усиления    1 </v>
      </c>
    </row>
    <row r="4473">
      <c r="A4473" s="35" t="s">
        <v>10782</v>
      </c>
      <c r="B4473" s="31" t="s">
        <v>10783</v>
      </c>
      <c r="C4473" s="31" t="s">
        <v>10784</v>
      </c>
      <c r="D4473" s="37" t="s">
        <v>14</v>
      </c>
      <c r="E4473" s="38">
        <v>2.0</v>
      </c>
      <c r="F4473" s="38">
        <v>15.0</v>
      </c>
      <c r="G4473" s="11">
        <v>99326.0</v>
      </c>
      <c r="H4473" s="34" t="str">
        <f>IFERROR(__xludf.DUMMYFUNCTION("LOWER(REGEXREPLACE(B4473&amp;"" ""&amp;C4473,""[^а-яa-z0-9 ]"","" ""))"),"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ра"&amp;"мка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разбор"&amp;"ная ")</f>
        <v>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разборная </v>
      </c>
    </row>
    <row r="4474">
      <c r="A4474" s="35" t="s">
        <v>10785</v>
      </c>
      <c r="B4474" s="31" t="s">
        <v>10786</v>
      </c>
      <c r="C4474" s="31" t="s">
        <v>10787</v>
      </c>
      <c r="D4474" s="37" t="s">
        <v>14</v>
      </c>
      <c r="E4474" s="38">
        <v>2.0</v>
      </c>
      <c r="F4474" s="38">
        <v>10.0</v>
      </c>
      <c r="G4474" s="11">
        <v>118008.0</v>
      </c>
      <c r="H4474" s="34" t="str">
        <f>IFERROR(__xludf.DUMMYFUNCTION("LOWER(REGEXREPLACE(B4474&amp;"" ""&amp;C4474,""[^а-яa-z0-9 ]"","" ""))"),"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5">
      <c r="A4475" s="35" t="s">
        <v>10788</v>
      </c>
      <c r="B4475" s="31" t="s">
        <v>10789</v>
      </c>
      <c r="C4475" s="31" t="s">
        <v>10787</v>
      </c>
      <c r="D4475" s="37" t="s">
        <v>14</v>
      </c>
      <c r="E4475" s="38">
        <v>2.0</v>
      </c>
      <c r="F4475" s="38">
        <v>12.0</v>
      </c>
      <c r="G4475" s="11">
        <v>136718.0</v>
      </c>
      <c r="H4475" s="34" t="str">
        <f>IFERROR(__xludf.DUMMYFUNCTION("LOWER(REGEXREPLACE(B4475&amp;"" ""&amp;C4475,""[^а-яa-z0-9 ]"","" ""))"),"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6">
      <c r="A4476" s="35" t="s">
        <v>10790</v>
      </c>
      <c r="B4476" s="31" t="s">
        <v>10791</v>
      </c>
      <c r="C4476" s="31" t="s">
        <v>10792</v>
      </c>
      <c r="D4476" s="37" t="s">
        <v>14</v>
      </c>
      <c r="E4476" s="38">
        <v>2.0</v>
      </c>
      <c r="F4476" s="38">
        <v>11.0</v>
      </c>
      <c r="G4476" s="11">
        <v>136714.0</v>
      </c>
      <c r="H4476" s="34" t="str">
        <f>IFERROR(__xludf.DUMMYFUNCTION("LOWER(REGEXREPLACE(B4476&amp;"" ""&amp;C4476,""[^а-яa-z0-9 ]"","" ""))"),"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f>
        <v>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v>
      </c>
    </row>
    <row r="4477">
      <c r="A4477" s="35" t="s">
        <v>10793</v>
      </c>
      <c r="B4477" s="31" t="s">
        <v>10794</v>
      </c>
      <c r="C4477" s="31"/>
      <c r="D4477" s="37" t="s">
        <v>14</v>
      </c>
      <c r="E4477" s="10"/>
      <c r="F4477" s="36"/>
      <c r="G4477" s="11"/>
      <c r="H4477" s="34" t="str">
        <f>IFERROR(__xludf.DUMMYFUNCTION("LOWER(REGEXREPLACE(B4477&amp;"" ""&amp;C4477,""[^а-яa-z0-9 ]"","" ""))")," астроемкость из нержавеющей стали ")</f>
        <v> астроемкость из нержавеющей стали </v>
      </c>
    </row>
    <row r="4478">
      <c r="A4478" s="35" t="s">
        <v>10795</v>
      </c>
      <c r="B4478" s="9" t="s">
        <v>10796</v>
      </c>
      <c r="C4478" s="31"/>
      <c r="D4478" s="37" t="s">
        <v>14</v>
      </c>
      <c r="E4478" s="10"/>
      <c r="F4478" s="39">
        <v>1.2</v>
      </c>
      <c r="G4478" s="11">
        <v>12349.0</v>
      </c>
      <c r="H4478" s="34" t="str">
        <f>IFERROR(__xludf.DUMMYFUNCTION("LOWER(REGEXREPLACE(B4478&amp;"" ""&amp;C4478,""[^а-яa-z0-9 ]"","" ""))")," астроемкость из нержавеющей стали   01 12  размеры 530х325х65 мм ")</f>
        <v> астроемкость из нержавеющей стали   01 12  размеры 530х325х65 мм </v>
      </c>
    </row>
    <row r="4479">
      <c r="A4479" s="35" t="s">
        <v>10797</v>
      </c>
      <c r="B4479" s="9" t="s">
        <v>10798</v>
      </c>
      <c r="C4479" s="31"/>
      <c r="D4479" s="37" t="s">
        <v>14</v>
      </c>
      <c r="E4479" s="10"/>
      <c r="F4479" s="40">
        <v>1.33</v>
      </c>
      <c r="G4479" s="11">
        <v>16066.0</v>
      </c>
      <c r="H4479" s="34" t="str">
        <f>IFERROR(__xludf.DUMMYFUNCTION("LOWER(REGEXREPLACE(B4479&amp;"" ""&amp;C4479,""[^а-яa-z0-9 ]"","" ""))")," астроемкость из нержавеющей стали   01 14  размеры 530х325х100 мм ")</f>
        <v> астроемкость из нержавеющей стали   01 14  размеры 530х325х100 мм </v>
      </c>
    </row>
    <row r="4480">
      <c r="A4480" s="35" t="s">
        <v>10799</v>
      </c>
      <c r="B4480" s="9" t="s">
        <v>10800</v>
      </c>
      <c r="C4480" s="31"/>
      <c r="D4480" s="37" t="s">
        <v>14</v>
      </c>
      <c r="E4480" s="10"/>
      <c r="F4480" s="39">
        <v>1.6</v>
      </c>
      <c r="G4480" s="11">
        <v>26193.0</v>
      </c>
      <c r="H4480" s="34" t="str">
        <f>IFERROR(__xludf.DUMMYFUNCTION("LOWER(REGEXREPLACE(B4480&amp;"" ""&amp;C4480,""[^а-яa-z0-9 ]"","" ""))")," астроемкость из нержавеющей стали   01 16  размеры 530х325х150 мм ")</f>
        <v> астроемкость из нержавеющей стали   01 16  размеры 530х325х150 мм </v>
      </c>
    </row>
    <row r="4481">
      <c r="A4481" s="35" t="s">
        <v>10801</v>
      </c>
      <c r="B4481" s="9" t="s">
        <v>10802</v>
      </c>
      <c r="C4481" s="31"/>
      <c r="D4481" s="37" t="s">
        <v>14</v>
      </c>
      <c r="E4481" s="10"/>
      <c r="F4481" s="39">
        <v>0.6</v>
      </c>
      <c r="G4481" s="11">
        <v>8507.0</v>
      </c>
      <c r="H4481" s="34" t="str">
        <f>IFERROR(__xludf.DUMMYFUNCTION("LOWER(REGEXREPLACE(B4481&amp;"" ""&amp;C4481,""[^а-яa-z0-9 ]"","" ""))")," астроемкость из нержавеющей стали   02 12  размеры 325х265 65 мм ")</f>
        <v> астроемкость из нержавеющей стали   02 12  размеры 325х265 65 мм </v>
      </c>
    </row>
    <row r="4482">
      <c r="A4482" s="35" t="s">
        <v>10803</v>
      </c>
      <c r="B4482" s="9" t="s">
        <v>10804</v>
      </c>
      <c r="C4482" s="31"/>
      <c r="D4482" s="37" t="s">
        <v>14</v>
      </c>
      <c r="E4482" s="10"/>
      <c r="F4482" s="39">
        <v>0.7</v>
      </c>
      <c r="G4482" s="11">
        <v>10328.0</v>
      </c>
      <c r="H4482" s="34" t="str">
        <f>IFERROR(__xludf.DUMMYFUNCTION("LOWER(REGEXREPLACE(B4482&amp;"" ""&amp;C4482,""[^а-яa-z0-9 ]"","" ""))")," астроемкость из нержавеющей стали   02 14  размеры 325х265 100 мм ")</f>
        <v> астроемкость из нержавеющей стали   02 14  размеры 325х265 100 мм </v>
      </c>
    </row>
    <row r="4483">
      <c r="A4483" s="35" t="s">
        <v>10805</v>
      </c>
      <c r="B4483" s="9" t="s">
        <v>10806</v>
      </c>
      <c r="C4483" s="31"/>
      <c r="D4483" s="37" t="s">
        <v>14</v>
      </c>
      <c r="E4483" s="10"/>
      <c r="F4483" s="40">
        <v>0.85</v>
      </c>
      <c r="G4483" s="11">
        <v>16813.0</v>
      </c>
      <c r="H4483" s="34" t="str">
        <f>IFERROR(__xludf.DUMMYFUNCTION("LOWER(REGEXREPLACE(B4483&amp;"" ""&amp;C4483,""[^а-яa-z0-9 ]"","" ""))")," астроемкость из нержавеющей стали   02 16  размеры 325х265 150 мм ")</f>
        <v> астроемкость из нержавеющей стали   02 16  размеры 325х265 150 мм </v>
      </c>
    </row>
    <row r="4484">
      <c r="A4484" s="35" t="s">
        <v>10807</v>
      </c>
      <c r="B4484" s="9" t="s">
        <v>10808</v>
      </c>
      <c r="C4484" s="31"/>
      <c r="D4484" s="37" t="s">
        <v>14</v>
      </c>
      <c r="E4484" s="10"/>
      <c r="F4484" s="40">
        <v>0.39</v>
      </c>
      <c r="G4484" s="11">
        <v>7159.0</v>
      </c>
      <c r="H4484" s="34" t="str">
        <f>IFERROR(__xludf.DUMMYFUNCTION("LOWER(REGEXREPLACE(B4484&amp;"" ""&amp;C4484,""[^а-яa-z0-9 ]"","" ""))")," астроемкость из нержавеющей стали   03 12  размеры 325х176х65 мм ")</f>
        <v> астроемкость из нержавеющей стали   03 12  размеры 325х176х65 мм </v>
      </c>
    </row>
    <row r="4485">
      <c r="A4485" s="35" t="s">
        <v>10809</v>
      </c>
      <c r="B4485" s="9" t="s">
        <v>10810</v>
      </c>
      <c r="C4485" s="31"/>
      <c r="D4485" s="37" t="s">
        <v>14</v>
      </c>
      <c r="E4485" s="10"/>
      <c r="F4485" s="40">
        <v>0.44</v>
      </c>
      <c r="G4485" s="11">
        <v>9354.0</v>
      </c>
      <c r="H4485" s="34" t="str">
        <f>IFERROR(__xludf.DUMMYFUNCTION("LOWER(REGEXREPLACE(B4485&amp;"" ""&amp;C4485,""[^а-яa-z0-9 ]"","" ""))")," астроемкость из нержавеющей стали   03 14  размеры 325х176х100 мм ")</f>
        <v> астроемкость из нержавеющей стали   03 14  размеры 325х176х100 мм </v>
      </c>
    </row>
    <row r="4486">
      <c r="A4486" s="35" t="s">
        <v>10811</v>
      </c>
      <c r="B4486" s="9" t="s">
        <v>10812</v>
      </c>
      <c r="C4486" s="31"/>
      <c r="D4486" s="37" t="s">
        <v>14</v>
      </c>
      <c r="E4486" s="10"/>
      <c r="F4486" s="40">
        <v>0.61</v>
      </c>
      <c r="G4486" s="11">
        <v>13769.0</v>
      </c>
      <c r="H4486" s="34" t="str">
        <f>IFERROR(__xludf.DUMMYFUNCTION("LOWER(REGEXREPLACE(B4486&amp;"" ""&amp;C4486,""[^а-яa-z0-9 ]"","" ""))")," астроемкость из нержавеющей стали   03 16  размеры 325х176х150 мм ")</f>
        <v> астроемкость из нержавеющей стали   03 16  размеры 325х176х150 мм </v>
      </c>
    </row>
    <row r="4487">
      <c r="A4487" s="35" t="s">
        <v>10813</v>
      </c>
      <c r="B4487" s="9" t="s">
        <v>10814</v>
      </c>
      <c r="C4487" s="31"/>
      <c r="D4487" s="37" t="s">
        <v>14</v>
      </c>
      <c r="E4487" s="10"/>
      <c r="F4487" s="40">
        <v>0.29</v>
      </c>
      <c r="G4487" s="11">
        <v>6386.0</v>
      </c>
      <c r="H4487" s="34" t="str">
        <f>IFERROR(__xludf.DUMMYFUNCTION("LOWER(REGEXREPLACE(B4487&amp;"" ""&amp;C4487,""[^а-яa-z0-9 ]"","" ""))")," астроемкость из нержавеющей стали   04 12  размеры 265х162х65 мм ")</f>
        <v> астроемкость из нержавеющей стали   04 12  размеры 265х162х65 мм </v>
      </c>
    </row>
    <row r="4488">
      <c r="A4488" s="35" t="s">
        <v>10815</v>
      </c>
      <c r="B4488" s="9" t="s">
        <v>10816</v>
      </c>
      <c r="C4488" s="31"/>
      <c r="D4488" s="37" t="s">
        <v>14</v>
      </c>
      <c r="E4488" s="10"/>
      <c r="F4488" s="40">
        <v>0.33</v>
      </c>
      <c r="G4488" s="11">
        <v>7982.0</v>
      </c>
      <c r="H4488" s="34" t="str">
        <f>IFERROR(__xludf.DUMMYFUNCTION("LOWER(REGEXREPLACE(B4488&amp;"" ""&amp;C4488,""[^а-яa-z0-9 ]"","" ""))")," астроемкость из нержавеющей стали   04 14  размеры 265х162х100 мм ")</f>
        <v> астроемкость из нержавеющей стали   04 14  размеры 265х162х100 мм </v>
      </c>
    </row>
    <row r="4489">
      <c r="A4489" s="35" t="s">
        <v>10817</v>
      </c>
      <c r="B4489" s="9" t="s">
        <v>10818</v>
      </c>
      <c r="C4489" s="31"/>
      <c r="D4489" s="37" t="s">
        <v>14</v>
      </c>
      <c r="E4489" s="10"/>
      <c r="F4489" s="40">
        <v>0.46</v>
      </c>
      <c r="G4489" s="11">
        <v>11225.0</v>
      </c>
      <c r="H4489" s="34" t="str">
        <f>IFERROR(__xludf.DUMMYFUNCTION("LOWER(REGEXREPLACE(B4489&amp;"" ""&amp;C4489,""[^а-яa-z0-9 ]"","" ""))")," астроемкость из нержавеющей стали   04 16  размеры 265х162х150 мм ")</f>
        <v> астроемкость из нержавеющей стали   04 16  размеры 265х162х150 мм </v>
      </c>
    </row>
    <row r="4490">
      <c r="A4490" s="35" t="s">
        <v>10819</v>
      </c>
      <c r="B4490" s="9" t="s">
        <v>10820</v>
      </c>
      <c r="C4490" s="31"/>
      <c r="D4490" s="37" t="s">
        <v>14</v>
      </c>
      <c r="E4490" s="10"/>
      <c r="F4490" s="40">
        <v>0.19</v>
      </c>
      <c r="G4490" s="11">
        <v>5363.0</v>
      </c>
      <c r="H4490" s="34" t="str">
        <f>IFERROR(__xludf.DUMMYFUNCTION("LOWER(REGEXREPLACE(B4490&amp;"" ""&amp;C4490,""[^а-яa-z0-9 ]"","" ""))")," астроемкость из нержавеющей стали   06 12  размеры 176х164х65 мм ")</f>
        <v> астроемкость из нержавеющей стали   06 12  размеры 176х164х65 мм </v>
      </c>
    </row>
    <row r="4491">
      <c r="A4491" s="35" t="s">
        <v>10821</v>
      </c>
      <c r="B4491" s="9" t="s">
        <v>10822</v>
      </c>
      <c r="C4491" s="31"/>
      <c r="D4491" s="37" t="s">
        <v>14</v>
      </c>
      <c r="E4491" s="10"/>
      <c r="F4491" s="40">
        <v>0.29</v>
      </c>
      <c r="G4491" s="11">
        <v>6535.0</v>
      </c>
      <c r="H4491" s="34" t="str">
        <f>IFERROR(__xludf.DUMMYFUNCTION("LOWER(REGEXREPLACE(B4491&amp;"" ""&amp;C4491,""[^а-яa-z0-9 ]"","" ""))")," астроемкость из нержавеющей стали   06 14  размеры 176х164х100 мм ")</f>
        <v> астроемкость из нержавеющей стали   06 14  размеры 176х164х100 мм </v>
      </c>
    </row>
    <row r="4492">
      <c r="A4492" s="35" t="s">
        <v>10823</v>
      </c>
      <c r="B4492" s="9" t="s">
        <v>10824</v>
      </c>
      <c r="C4492" s="31"/>
      <c r="D4492" s="37" t="s">
        <v>14</v>
      </c>
      <c r="E4492" s="10"/>
      <c r="F4492" s="40">
        <v>0.31</v>
      </c>
      <c r="G4492" s="11">
        <v>10052.0</v>
      </c>
      <c r="H4492" s="34" t="str">
        <f>IFERROR(__xludf.DUMMYFUNCTION("LOWER(REGEXREPLACE(B4492&amp;"" ""&amp;C4492,""[^а-яa-z0-9 ]"","" ""))")," астроемкость из нержавеющей стали   06 16  размеры 176х164х150 мм ")</f>
        <v> астроемкость из нержавеющей стали   06 16  размеры 176х164х150 мм </v>
      </c>
    </row>
    <row r="4493">
      <c r="A4493" s="35" t="s">
        <v>10825</v>
      </c>
      <c r="B4493" s="9" t="s">
        <v>10826</v>
      </c>
      <c r="C4493" s="31"/>
      <c r="D4493" s="37" t="s">
        <v>14</v>
      </c>
      <c r="E4493" s="10"/>
      <c r="F4493" s="36"/>
      <c r="G4493" s="11"/>
      <c r="H4493" s="34" t="str">
        <f>IFERROR(__xludf.DUMMYFUNCTION("LOWER(REGEXREPLACE(B4493&amp;"" ""&amp;C4493,""[^а-яa-z0-9 ]"","" ""))")," рышка для гастроемкостей из нержавеющей стали ")</f>
        <v> рышка для гастроемкостей из нержавеющей стали </v>
      </c>
    </row>
    <row r="4494">
      <c r="A4494" s="35" t="s">
        <v>10827</v>
      </c>
      <c r="B4494" s="31" t="s">
        <v>10828</v>
      </c>
      <c r="C4494" s="31"/>
      <c r="D4494" s="37" t="s">
        <v>14</v>
      </c>
      <c r="E4494" s="10"/>
      <c r="F4494" s="40">
        <v>1.17</v>
      </c>
      <c r="G4494" s="11">
        <v>9830.0</v>
      </c>
      <c r="H4494" s="34" t="str">
        <f>IFERROR(__xludf.DUMMYFUNCTION("LOWER(REGEXREPLACE(B4494&amp;"" ""&amp;C4494,""[^а-яa-z0-9 ]"","" ""))")," рышка для гастроемкостей из нержавеющей стали 1 1     размеры 530х325х20 мм ")</f>
        <v> рышка для гастроемкостей из нержавеющей стали 1 1     размеры 530х325х20 мм </v>
      </c>
    </row>
    <row r="4495">
      <c r="A4495" s="35" t="s">
        <v>10829</v>
      </c>
      <c r="B4495" s="31" t="s">
        <v>10830</v>
      </c>
      <c r="C4495" s="31"/>
      <c r="D4495" s="37" t="s">
        <v>14</v>
      </c>
      <c r="E4495" s="10"/>
      <c r="F4495" s="40">
        <v>0.58</v>
      </c>
      <c r="G4495" s="11">
        <v>6387.0</v>
      </c>
      <c r="H4495" s="34" t="str">
        <f>IFERROR(__xludf.DUMMYFUNCTION("LOWER(REGEXREPLACE(B4495&amp;"" ""&amp;C4495,""[^а-яa-z0-9 ]"","" ""))")," рышка для гастроемкостей из нержавеющей стали1 2     размеры 325х265х20 мм ")</f>
        <v> рышка для гастроемкостей из нержавеющей стали1 2     размеры 325х265х20 мм </v>
      </c>
    </row>
    <row r="4496">
      <c r="A4496" s="35" t="s">
        <v>10831</v>
      </c>
      <c r="B4496" s="31" t="s">
        <v>10832</v>
      </c>
      <c r="C4496" s="31"/>
      <c r="D4496" s="37" t="s">
        <v>14</v>
      </c>
      <c r="E4496" s="10"/>
      <c r="F4496" s="40">
        <v>0.39</v>
      </c>
      <c r="G4496" s="11">
        <v>4863.0</v>
      </c>
      <c r="H4496" s="34" t="str">
        <f>IFERROR(__xludf.DUMMYFUNCTION("LOWER(REGEXREPLACE(B4496&amp;"" ""&amp;C4496,""[^а-яa-z0-9 ]"","" ""))")," рышка для гастроемкостей из нержавеющей стали 1 3     размеры 325х176х20 мм ")</f>
        <v> рышка для гастроемкостей из нержавеющей стали 1 3     размеры 325х176х20 мм </v>
      </c>
    </row>
    <row r="4497">
      <c r="A4497" s="35" t="s">
        <v>10833</v>
      </c>
      <c r="B4497" s="31" t="s">
        <v>10834</v>
      </c>
      <c r="C4497" s="31"/>
      <c r="D4497" s="37" t="s">
        <v>14</v>
      </c>
      <c r="E4497" s="10"/>
      <c r="F4497" s="40">
        <v>0.29</v>
      </c>
      <c r="G4497" s="11">
        <v>3975.0</v>
      </c>
      <c r="H4497" s="34" t="str">
        <f>IFERROR(__xludf.DUMMYFUNCTION("LOWER(REGEXREPLACE(B4497&amp;"" ""&amp;C4497,""[^а-яa-z0-9 ]"","" ""))")," рышка для гастроемкостей из нержавеющей стали 1 4     размеры 236х162х20 мм ")</f>
        <v> рышка для гастроемкостей из нержавеющей стали 1 4     размеры 236х162х20 мм </v>
      </c>
    </row>
    <row r="4498">
      <c r="A4498" s="35" t="s">
        <v>10835</v>
      </c>
      <c r="B4498" s="31" t="s">
        <v>10836</v>
      </c>
      <c r="C4498" s="31"/>
      <c r="D4498" s="37" t="s">
        <v>14</v>
      </c>
      <c r="E4498" s="10"/>
      <c r="F4498" s="40">
        <v>0.17</v>
      </c>
      <c r="G4498" s="11">
        <v>2938.0</v>
      </c>
      <c r="H4498" s="34" t="str">
        <f>IFERROR(__xludf.DUMMYFUNCTION("LOWER(REGEXREPLACE(B4498&amp;"" ""&amp;C4498,""[^а-яa-z0-9 ]"","" ""))")," рышка для гастроемкостей из нержавеющей стали 1 6     размеры 176х164х20 мм ")</f>
        <v> рышка для гастроемкостей из нержавеющей стали 1 6     размеры 176х164х20 мм </v>
      </c>
    </row>
    <row r="4499">
      <c r="A4499" s="35" t="s">
        <v>10837</v>
      </c>
      <c r="B4499" s="31" t="s">
        <v>10838</v>
      </c>
      <c r="C4499" s="31"/>
      <c r="D4499" s="37" t="s">
        <v>14</v>
      </c>
      <c r="E4499" s="10"/>
      <c r="F4499" s="36"/>
      <c r="G4499" s="11"/>
      <c r="H4499" s="34" t="str">
        <f>IFERROR(__xludf.DUMMYFUNCTION("LOWER(REGEXREPLACE(B4499&amp;"" ""&amp;C4499,""[^а-яa-z0-9 ]"","" ""))")," ележка выдвижная для пароконвектоматов ")</f>
        <v> ележка выдвижная для пароконвектоматов </v>
      </c>
    </row>
    <row r="4500">
      <c r="A4500" s="35" t="s">
        <v>10839</v>
      </c>
      <c r="B4500" s="31" t="s">
        <v>10840</v>
      </c>
      <c r="C4500" s="31"/>
      <c r="D4500" s="37" t="s">
        <v>14</v>
      </c>
      <c r="E4500" s="10"/>
      <c r="F4500" s="38">
        <v>35.0</v>
      </c>
      <c r="G4500" s="11">
        <v>3402015.0</v>
      </c>
      <c r="H4500" s="34" t="str">
        <f>IFERROR(__xludf.DUMMYFUNCTION("LOWER(REGEXREPLACE(B4500&amp;"" ""&amp;C4500,""[^а-яa-z0-9 ]"","" ""))")," ележка выдвижная для пароконвектоматов      20   на 20 противней    1 1 ")</f>
        <v> ележка выдвижная для пароконвектоматов      20   на 20 противней    1 1 </v>
      </c>
    </row>
    <row r="4501">
      <c r="A4501" s="35" t="s">
        <v>10841</v>
      </c>
      <c r="B4501" s="31" t="s">
        <v>10842</v>
      </c>
      <c r="C4501" s="31"/>
      <c r="D4501" s="37" t="s">
        <v>14</v>
      </c>
      <c r="E4501" s="10"/>
      <c r="F4501" s="36"/>
      <c r="G4501" s="11"/>
      <c r="H4501" s="34" t="str">
        <f>IFERROR(__xludf.DUMMYFUNCTION("LOWER(REGEXREPLACE(B4501&amp;"" ""&amp;C4501,""[^а-яa-z0-9 ]"","" ""))")," тол производственный рабочий с ящиком  шкафом ")</f>
        <v> тол производственный рабочий с ящиком  шкафом </v>
      </c>
    </row>
    <row r="4502">
      <c r="A4502" s="35" t="s">
        <v>10843</v>
      </c>
      <c r="B4502" s="9" t="s">
        <v>10844</v>
      </c>
      <c r="C4502" s="31"/>
      <c r="D4502" s="37" t="s">
        <v>14</v>
      </c>
      <c r="E4502" s="38">
        <v>2.0</v>
      </c>
      <c r="F4502" s="39">
        <v>22.6</v>
      </c>
      <c r="G4502" s="11">
        <v>93350.0</v>
      </c>
      <c r="H4502" s="34" t="str">
        <f>IFERROR(__xludf.DUMMYFUNCTION("LOWER(REGEXREPLACE(B4502&amp;"" ""&amp;C4502,""[^а-яa-z0-9 ]"","" ""))")," тол производственный рабочий      3100 60   ержавеющая сталь    одним ящиком и бортиком   азмер  1000x600x850мм ")</f>
        <v> тол производственный рабочий      3100 60   ержавеющая сталь    одним ящиком и бортиком   азмер  1000x600x850мм </v>
      </c>
    </row>
    <row r="4503">
      <c r="A4503" s="35" t="s">
        <v>10845</v>
      </c>
      <c r="B4503" s="9" t="s">
        <v>10846</v>
      </c>
      <c r="C4503" s="31"/>
      <c r="D4503" s="37" t="s">
        <v>14</v>
      </c>
      <c r="E4503" s="38">
        <v>2.0</v>
      </c>
      <c r="F4503" s="40">
        <v>24.56</v>
      </c>
      <c r="G4503" s="11">
        <v>97750.0</v>
      </c>
      <c r="H4503" s="34" t="str">
        <f>IFERROR(__xludf.DUMMYFUNCTION("LOWER(REGEXREPLACE(B4503&amp;"" ""&amp;C4503,""[^а-яa-z0-9 ]"","" ""))")," тол производственный рабочий      3120 60   ержавеющая сталь    одним ящиком и бортиком   азмер  1200x600x850мм ")</f>
        <v> тол производственный рабочий      3120 60   ержавеющая сталь    одним ящиком и бортиком   азмер  1200x600x850мм </v>
      </c>
    </row>
    <row r="4504">
      <c r="A4504" s="35" t="s">
        <v>10847</v>
      </c>
      <c r="B4504" s="9" t="s">
        <v>10848</v>
      </c>
      <c r="C4504" s="31"/>
      <c r="D4504" s="37" t="s">
        <v>14</v>
      </c>
      <c r="E4504" s="38">
        <v>2.0</v>
      </c>
      <c r="F4504" s="40">
        <v>26.52</v>
      </c>
      <c r="G4504" s="11">
        <v>102827.0</v>
      </c>
      <c r="H4504" s="34" t="str">
        <f>IFERROR(__xludf.DUMMYFUNCTION("LOWER(REGEXREPLACE(B4504&amp;"" ""&amp;C4504,""[^а-яa-z0-9 ]"","" ""))")," тол производственный рабочий      3140 60   ержавеющая сталь    одним ящиком и бортиком   азмер  1400x600x850мм ")</f>
        <v> тол производственный рабочий      3140 60   ержавеющая сталь    одним ящиком и бортиком   азмер  1400x600x850мм </v>
      </c>
    </row>
    <row r="4505">
      <c r="A4505" s="35" t="s">
        <v>10849</v>
      </c>
      <c r="B4505" s="9" t="s">
        <v>10850</v>
      </c>
      <c r="C4505" s="31"/>
      <c r="D4505" s="37" t="s">
        <v>14</v>
      </c>
      <c r="E4505" s="38">
        <v>2.0</v>
      </c>
      <c r="F4505" s="40">
        <v>28.48</v>
      </c>
      <c r="G4505" s="11">
        <v>106551.0</v>
      </c>
      <c r="H4505" s="34" t="str">
        <f>IFERROR(__xludf.DUMMYFUNCTION("LOWER(REGEXREPLACE(B4505&amp;"" ""&amp;C4505,""[^а-яa-z0-9 ]"","" ""))")," тол производственный рабочий      3160 60   ержавеющая сталь    одним ящиком и бортиком   азмер  1600x600x850мм ")</f>
        <v> тол производственный рабочий      3160 60   ержавеющая сталь    одним ящиком и бортиком   азмер  1600x600x850мм </v>
      </c>
    </row>
    <row r="4506">
      <c r="A4506" s="35" t="s">
        <v>10851</v>
      </c>
      <c r="B4506" s="9" t="s">
        <v>10852</v>
      </c>
      <c r="C4506" s="31"/>
      <c r="D4506" s="37" t="s">
        <v>14</v>
      </c>
      <c r="E4506" s="38">
        <v>2.0</v>
      </c>
      <c r="F4506" s="40">
        <v>30.44</v>
      </c>
      <c r="G4506" s="11">
        <v>110952.0</v>
      </c>
      <c r="H4506" s="34" t="str">
        <f>IFERROR(__xludf.DUMMYFUNCTION("LOWER(REGEXREPLACE(B4506&amp;"" ""&amp;C4506,""[^а-яa-z0-9 ]"","" ""))")," тол производственный рабочий      3180 60   ержавеющая сталь    одним ящиком и бортиком   азмер  1800x600x850мм ")</f>
        <v> тол производственный рабочий      3180 60   ержавеющая сталь    одним ящиком и бортиком   азмер  1800x600x850мм </v>
      </c>
    </row>
    <row r="4507">
      <c r="A4507" s="35" t="s">
        <v>10853</v>
      </c>
      <c r="B4507" s="9" t="s">
        <v>10854</v>
      </c>
      <c r="C4507" s="31"/>
      <c r="D4507" s="37" t="s">
        <v>14</v>
      </c>
      <c r="E4507" s="38">
        <v>2.0</v>
      </c>
      <c r="F4507" s="38">
        <v>24.0</v>
      </c>
      <c r="G4507" s="11">
        <v>96397.0</v>
      </c>
      <c r="H4507" s="34" t="str">
        <f>IFERROR(__xludf.DUMMYFUNCTION("LOWER(REGEXREPLACE(B4507&amp;"" ""&amp;C4507,""[^а-яa-z0-9 ]"","" ""))")," тол производственный рабочий      3100 70   ержавеющая сталь    одним ящиком и бортиком   азмер  1000x700x850мм ")</f>
        <v> тол производственный рабочий      3100 70   ержавеющая сталь    одним ящиком и бортиком   азмер  1000x700x850мм </v>
      </c>
    </row>
    <row r="4508">
      <c r="A4508" s="35" t="s">
        <v>10855</v>
      </c>
      <c r="B4508" s="9" t="s">
        <v>10856</v>
      </c>
      <c r="C4508" s="31"/>
      <c r="D4508" s="37" t="s">
        <v>14</v>
      </c>
      <c r="E4508" s="38">
        <v>2.0</v>
      </c>
      <c r="F4508" s="40">
        <v>26.12</v>
      </c>
      <c r="G4508" s="11">
        <v>101811.0</v>
      </c>
      <c r="H4508" s="34" t="str">
        <f>IFERROR(__xludf.DUMMYFUNCTION("LOWER(REGEXREPLACE(B4508&amp;"" ""&amp;C4508,""[^а-яa-z0-9 ]"","" ""))")," тол производственный рабочий      3120 70   ержавеющая сталь    одним ящиком и бортиком   азмер  1200x700x850мм ")</f>
        <v> тол производственный рабочий      3120 70   ержавеющая сталь    одним ящиком и бортиком   азмер  1200x700x850мм </v>
      </c>
    </row>
    <row r="4509">
      <c r="A4509" s="35" t="s">
        <v>10857</v>
      </c>
      <c r="B4509" s="9" t="s">
        <v>10858</v>
      </c>
      <c r="C4509" s="31"/>
      <c r="D4509" s="37" t="s">
        <v>14</v>
      </c>
      <c r="E4509" s="38">
        <v>2.0</v>
      </c>
      <c r="F4509" s="40">
        <v>28.24</v>
      </c>
      <c r="G4509" s="11">
        <v>106550.0</v>
      </c>
      <c r="H4509" s="34" t="str">
        <f>IFERROR(__xludf.DUMMYFUNCTION("LOWER(REGEXREPLACE(B4509&amp;"" ""&amp;C4509,""[^а-яa-z0-9 ]"","" ""))")," тол производственный рабочий      3140 70   ержавеющая сталь    одним ящиком и бортиком   азмер  1400x700x850мм ")</f>
        <v> тол производственный рабочий      3140 70   ержавеющая сталь    одним ящиком и бортиком   азмер  1400x700x850мм </v>
      </c>
    </row>
    <row r="4510">
      <c r="A4510" s="35" t="s">
        <v>10859</v>
      </c>
      <c r="B4510" s="9" t="s">
        <v>10860</v>
      </c>
      <c r="C4510" s="31"/>
      <c r="D4510" s="37" t="s">
        <v>14</v>
      </c>
      <c r="E4510" s="38">
        <v>2.0</v>
      </c>
      <c r="F4510" s="40">
        <v>30.36</v>
      </c>
      <c r="G4510" s="11">
        <v>110951.0</v>
      </c>
      <c r="H4510" s="34" t="str">
        <f>IFERROR(__xludf.DUMMYFUNCTION("LOWER(REGEXREPLACE(B4510&amp;"" ""&amp;C4510,""[^а-яa-z0-9 ]"","" ""))")," тол производственный рабочий      3160 70   ержавеющая сталь    одним ящиком и бортиком   азмер  1600x700x850мм ")</f>
        <v> тол производственный рабочий      3160 70   ержавеющая сталь    одним ящиком и бортиком   азмер  1600x700x850мм </v>
      </c>
    </row>
    <row r="4511">
      <c r="A4511" s="35" t="s">
        <v>10861</v>
      </c>
      <c r="B4511" s="9" t="s">
        <v>10862</v>
      </c>
      <c r="C4511" s="31"/>
      <c r="D4511" s="37" t="s">
        <v>14</v>
      </c>
      <c r="E4511" s="38">
        <v>2.0</v>
      </c>
      <c r="F4511" s="40">
        <v>32.48</v>
      </c>
      <c r="G4511" s="11">
        <v>116366.0</v>
      </c>
      <c r="H4511" s="34" t="str">
        <f>IFERROR(__xludf.DUMMYFUNCTION("LOWER(REGEXREPLACE(B4511&amp;"" ""&amp;C4511,""[^а-яa-z0-9 ]"","" ""))")," тол производственный рабочий      3180 70   ержавеющая сталь    одним ящиком и бортиком   азмер  1800x700x850мм ")</f>
        <v> тол производственный рабочий      3180 70   ержавеющая сталь    одним ящиком и бортиком   азмер  1800x700x850мм </v>
      </c>
    </row>
    <row r="4512">
      <c r="A4512" s="35" t="s">
        <v>10863</v>
      </c>
      <c r="B4512" s="9" t="s">
        <v>10864</v>
      </c>
      <c r="C4512" s="31"/>
      <c r="D4512" s="37" t="s">
        <v>14</v>
      </c>
      <c r="E4512" s="38">
        <v>2.0</v>
      </c>
      <c r="F4512" s="40">
        <v>38.38</v>
      </c>
      <c r="G4512" s="11">
        <v>222154.0</v>
      </c>
      <c r="H4512" s="34" t="str">
        <f>IFERROR(__xludf.DUMMYFUNCTION("LOWER(REGEXREPLACE(B4512&amp;"" ""&amp;C4512,""[^а-яa-z0-9 ]"","" ""))")," тол производственный рабочий      4140 60   ержавеющая сталь    полкой  3 ящиками и бортиком   азмер  1400x600x850мм ")</f>
        <v> тол производственный рабочий      4140 60   ержавеющая сталь    полкой  3 ящиками и бортиком   азмер  1400x600x850мм </v>
      </c>
    </row>
    <row r="4513">
      <c r="A4513" s="35" t="s">
        <v>10865</v>
      </c>
      <c r="B4513" s="9" t="s">
        <v>10866</v>
      </c>
      <c r="C4513" s="31"/>
      <c r="D4513" s="37" t="s">
        <v>14</v>
      </c>
      <c r="E4513" s="38">
        <v>2.0</v>
      </c>
      <c r="F4513" s="40">
        <v>41.03</v>
      </c>
      <c r="G4513" s="11">
        <v>233653.0</v>
      </c>
      <c r="H4513" s="34" t="str">
        <f>IFERROR(__xludf.DUMMYFUNCTION("LOWER(REGEXREPLACE(B4513&amp;"" ""&amp;C4513,""[^а-яa-z0-9 ]"","" ""))")," тол производственный рабочий      4160 60   ержавеющая сталь    полкой  3 ящиками и бортиком   азмер  1600x600x850мм ")</f>
        <v> тол производственный рабочий      4160 60   ержавеющая сталь    полкой  3 ящиками и бортиком   азмер  1600x600x850мм </v>
      </c>
    </row>
    <row r="4514">
      <c r="A4514" s="35" t="s">
        <v>10867</v>
      </c>
      <c r="B4514" s="9" t="s">
        <v>10868</v>
      </c>
      <c r="C4514" s="31"/>
      <c r="D4514" s="37" t="s">
        <v>14</v>
      </c>
      <c r="E4514" s="38">
        <v>2.0</v>
      </c>
      <c r="F4514" s="40">
        <v>41.28</v>
      </c>
      <c r="G4514" s="11">
        <v>234330.0</v>
      </c>
      <c r="H4514" s="34" t="str">
        <f>IFERROR(__xludf.DUMMYFUNCTION("LOWER(REGEXREPLACE(B4514&amp;"" ""&amp;C4514,""[^а-яa-z0-9 ]"","" ""))")," тол производственный рабочий      4140 70   ержавеющая сталь    полкой  3 ящиками и бортиком   азмер  1400x700x850мм ")</f>
        <v> тол производственный рабочий      4140 70   ержавеющая сталь    полкой  3 ящиками и бортиком   азмер  1400x700x850мм </v>
      </c>
    </row>
    <row r="4515">
      <c r="A4515" s="35" t="s">
        <v>10869</v>
      </c>
      <c r="B4515" s="9" t="s">
        <v>10870</v>
      </c>
      <c r="C4515" s="31"/>
      <c r="D4515" s="37" t="s">
        <v>14</v>
      </c>
      <c r="E4515" s="38">
        <v>2.0</v>
      </c>
      <c r="F4515" s="40">
        <v>44.23</v>
      </c>
      <c r="G4515" s="11">
        <v>248533.0</v>
      </c>
      <c r="H4515" s="34" t="str">
        <f>IFERROR(__xludf.DUMMYFUNCTION("LOWER(REGEXREPLACE(B4515&amp;"" ""&amp;C4515,""[^а-яa-z0-9 ]"","" ""))")," тол производственный рабочий      4160 70   ержавеющая сталь    полкой  3 ящиками и бортиком   азмер  1600x700x850мм ")</f>
        <v> тол производственный рабочий      4160 70   ержавеющая сталь    полкой  3 ящиками и бортиком   азмер  1600x700x850мм </v>
      </c>
    </row>
    <row r="4516">
      <c r="A4516" s="35" t="s">
        <v>10871</v>
      </c>
      <c r="B4516" s="31" t="s">
        <v>10872</v>
      </c>
      <c r="C4516" s="31"/>
      <c r="D4516" s="37" t="s">
        <v>14</v>
      </c>
      <c r="E4516" s="38">
        <v>2.0</v>
      </c>
      <c r="F4516" s="40">
        <v>44.48</v>
      </c>
      <c r="G4516" s="11">
        <v>143783.0</v>
      </c>
      <c r="H4516" s="34" t="str">
        <f>IFERROR(__xludf.DUMMYFUNCTION("LOWER(REGEXREPLACE(B4516&amp;"" ""&amp;C4516,""[^а-яa-z0-9 ]"","" ""))")," тол производственный рабочий с раздвижным шкафом        140 60   ержавеющая сталь    шкафом из двух полок  с раздвижными дверями и бортиком   азмер  1400x600x850мм ")</f>
        <v> тол производственный рабочий с раздвижным шкафом        140 60   ержавеющая сталь    шкафом из двух полок  с раздвижными дверями и бортиком   азмер  1400x600x850мм </v>
      </c>
    </row>
    <row r="4517">
      <c r="A4517" s="35" t="s">
        <v>10873</v>
      </c>
      <c r="B4517" s="31" t="s">
        <v>10874</v>
      </c>
      <c r="C4517" s="31"/>
      <c r="D4517" s="37" t="s">
        <v>14</v>
      </c>
      <c r="E4517" s="38">
        <v>2.0</v>
      </c>
      <c r="F4517" s="40">
        <v>49.95</v>
      </c>
      <c r="G4517" s="11">
        <v>154955.0</v>
      </c>
      <c r="H4517" s="34" t="str">
        <f>IFERROR(__xludf.DUMMYFUNCTION("LOWER(REGEXREPLACE(B4517&amp;"" ""&amp;C4517,""[^а-яa-z0-9 ]"","" ""))")," тол производственный рабочий с раздвижным шкафом        160 60   ержавеющая сталь    шкафом из двух полок  с раздвижными дверями и бортиком   азмер  1600x600x850мм ")</f>
        <v> тол производственный рабочий с раздвижным шкафом        160 60   ержавеющая сталь    шкафом из двух полок  с раздвижными дверями и бортиком   азмер  1600x600x850мм </v>
      </c>
    </row>
    <row r="4518">
      <c r="A4518" s="35" t="s">
        <v>10875</v>
      </c>
      <c r="B4518" s="31" t="s">
        <v>10876</v>
      </c>
      <c r="C4518" s="31"/>
      <c r="D4518" s="37" t="s">
        <v>14</v>
      </c>
      <c r="E4518" s="38">
        <v>2.0</v>
      </c>
      <c r="F4518" s="40">
        <v>55.42</v>
      </c>
      <c r="G4518" s="11">
        <v>165790.0</v>
      </c>
      <c r="H4518" s="34" t="str">
        <f>IFERROR(__xludf.DUMMYFUNCTION("LOWER(REGEXREPLACE(B4518&amp;"" ""&amp;C4518,""[^а-яa-z0-9 ]"","" ""))")," тол производственный рабочий с раздвижным шкафом        180 60   ержавеющая сталь    шкафом из двух полок  с раздвижными дверями и бортиком   азмер  1800x600x850мм ")</f>
        <v> тол производственный рабочий с раздвижным шкафом        180 60   ержавеющая сталь    шкафом из двух полок  с раздвижными дверями и бортиком   азмер  1800x600x850мм </v>
      </c>
    </row>
    <row r="4519">
      <c r="A4519" s="35" t="s">
        <v>10877</v>
      </c>
      <c r="B4519" s="31" t="s">
        <v>10878</v>
      </c>
      <c r="C4519" s="31"/>
      <c r="D4519" s="37" t="s">
        <v>14</v>
      </c>
      <c r="E4519" s="38">
        <v>2.0</v>
      </c>
      <c r="F4519" s="40">
        <v>47.64</v>
      </c>
      <c r="G4519" s="11">
        <v>154271.0</v>
      </c>
      <c r="H4519" s="34" t="str">
        <f>IFERROR(__xludf.DUMMYFUNCTION("LOWER(REGEXREPLACE(B4519&amp;"" ""&amp;C4519,""[^а-яa-z0-9 ]"","" ""))")," тол производственный рабочий с раздвижным шкафом        140 70   ержавеющая сталь    шкафом из двух полок  с раздвижными дверями и бортиком   азмер  1400x700x850мм ")</f>
        <v> тол производственный рабочий с раздвижным шкафом        140 70   ержавеющая сталь    шкафом из двух полок  с раздвижными дверями и бортиком   азмер  1400x700x850мм </v>
      </c>
    </row>
    <row r="4520">
      <c r="A4520" s="35" t="s">
        <v>10879</v>
      </c>
      <c r="B4520" s="31" t="s">
        <v>10880</v>
      </c>
      <c r="C4520" s="31"/>
      <c r="D4520" s="37" t="s">
        <v>14</v>
      </c>
      <c r="E4520" s="38">
        <v>2.0</v>
      </c>
      <c r="F4520" s="40">
        <v>53.31</v>
      </c>
      <c r="G4520" s="11">
        <v>164092.0</v>
      </c>
      <c r="H4520" s="34" t="str">
        <f>IFERROR(__xludf.DUMMYFUNCTION("LOWER(REGEXREPLACE(B4520&amp;"" ""&amp;C4520,""[^а-яa-z0-9 ]"","" ""))")," тол производственный рабочий с раздвижным шкафом        160 70   ержавеющая сталь    шкафом из двух полок  с раздвижными дверями и бортиком   азмер  1600x700x850мм ")</f>
        <v> тол производственный рабочий с раздвижным шкафом        160 70   ержавеющая сталь    шкафом из двух полок  с раздвижными дверями и бортиком   азмер  1600x700x850мм </v>
      </c>
    </row>
    <row r="4521">
      <c r="A4521" s="35" t="s">
        <v>10881</v>
      </c>
      <c r="B4521" s="31" t="s">
        <v>10882</v>
      </c>
      <c r="C4521" s="31"/>
      <c r="D4521" s="37" t="s">
        <v>14</v>
      </c>
      <c r="E4521" s="38">
        <v>2.0</v>
      </c>
      <c r="F4521" s="40">
        <v>58.98</v>
      </c>
      <c r="G4521" s="11">
        <v>174589.0</v>
      </c>
      <c r="H4521" s="34" t="str">
        <f>IFERROR(__xludf.DUMMYFUNCTION("LOWER(REGEXREPLACE(B4521&amp;"" ""&amp;C4521,""[^а-яa-z0-9 ]"","" ""))")," тол производственный рабочий с раздвижным шкафом        180 70   ержавеющая сталь    шкафом из двух полок с раздвижными дверями и бортиком   азмер  1800x700x850мм ")</f>
        <v> тол производственный рабочий с раздвижным шкафом        180 70   ержавеющая сталь    шкафом из двух полок с раздвижными дверями и бортиком   азмер  1800x700x850мм </v>
      </c>
    </row>
    <row r="4522">
      <c r="A4522" s="35" t="s">
        <v>10883</v>
      </c>
      <c r="B4522" s="31" t="s">
        <v>10884</v>
      </c>
      <c r="C4522" s="31"/>
      <c r="D4522" s="37" t="s">
        <v>14</v>
      </c>
      <c r="E4522" s="38">
        <v>2.0</v>
      </c>
      <c r="F4522" s="38">
        <v>30.0</v>
      </c>
      <c r="G4522" s="11">
        <v>264054.0</v>
      </c>
      <c r="H4522" s="34" t="str">
        <f>IFERROR(__xludf.DUMMYFUNCTION("LOWER(REGEXREPLACE(B4522&amp;"" ""&amp;C4522,""[^а-яa-z0-9 ]"","" ""))"),"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f>
        <v>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3">
      <c r="A4523" s="35" t="s">
        <v>10885</v>
      </c>
      <c r="B4523" s="9" t="s">
        <v>10886</v>
      </c>
      <c r="C4523" s="31"/>
      <c r="D4523" s="37" t="s">
        <v>14</v>
      </c>
      <c r="E4523" s="38">
        <v>2.0</v>
      </c>
      <c r="F4523" s="38">
        <v>33.0</v>
      </c>
      <c r="G4523" s="11">
        <v>295606.0</v>
      </c>
      <c r="H4523" s="34" t="str">
        <f>IFERROR(__xludf.DUMMYFUNCTION("LOWER(REGEXREPLACE(B4523&amp;"" ""&amp;C4523,""[^а-яa-z0-9 ]"","" ""))"),"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f>
        <v>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4">
      <c r="A4524" s="35" t="s">
        <v>10887</v>
      </c>
      <c r="B4524" s="31" t="s">
        <v>10888</v>
      </c>
      <c r="C4524" s="31"/>
      <c r="D4524" s="37" t="s">
        <v>14</v>
      </c>
      <c r="E4524" s="38">
        <v>2.0</v>
      </c>
      <c r="F4524" s="38">
        <v>40.0</v>
      </c>
      <c r="G4524" s="11">
        <v>352073.0</v>
      </c>
      <c r="H4524" s="34" t="str">
        <f>IFERROR(__xludf.DUMMYFUNCTION("LOWER(REGEXREPLACE(B4524&amp;"" ""&amp;C4524,""[^а-яa-z0-9 ]"","" ""))"),"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f>
        <v>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5">
      <c r="A4525" s="35" t="s">
        <v>10889</v>
      </c>
      <c r="B4525" s="31" t="s">
        <v>10890</v>
      </c>
      <c r="C4525" s="31"/>
      <c r="D4525" s="37" t="s">
        <v>14</v>
      </c>
      <c r="E4525" s="38">
        <v>2.0</v>
      </c>
      <c r="F4525" s="38">
        <v>43.0</v>
      </c>
      <c r="G4525" s="11">
        <v>381964.0</v>
      </c>
      <c r="H4525" s="34" t="str">
        <f>IFERROR(__xludf.DUMMYFUNCTION("LOWER(REGEXREPLACE(B4525&amp;"" ""&amp;C4525,""[^а-яa-z0-9 ]"","" ""))"),"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f>
        <v>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6">
      <c r="A4526" s="35" t="s">
        <v>10891</v>
      </c>
      <c r="B4526" s="31" t="s">
        <v>10892</v>
      </c>
      <c r="C4526" s="31"/>
      <c r="D4526" s="37" t="s">
        <v>14</v>
      </c>
      <c r="E4526" s="38">
        <v>2.0</v>
      </c>
      <c r="F4526" s="38">
        <v>50.0</v>
      </c>
      <c r="G4526" s="11">
        <v>440091.0</v>
      </c>
      <c r="H4526" s="34" t="str">
        <f>IFERROR(__xludf.DUMMYFUNCTION("LOWER(REGEXREPLACE(B4526&amp;"" ""&amp;C4526,""[^а-яa-z0-9 ]"","" ""))"),"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f>
        <v>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7">
      <c r="A4527" s="35" t="s">
        <v>10893</v>
      </c>
      <c r="B4527" s="31" t="s">
        <v>10894</v>
      </c>
      <c r="C4527" s="31"/>
      <c r="D4527" s="37" t="s">
        <v>14</v>
      </c>
      <c r="E4527" s="10"/>
      <c r="F4527" s="36"/>
      <c r="G4527" s="11"/>
      <c r="H4527" s="34" t="str">
        <f>IFERROR(__xludf.DUMMYFUNCTION("LOWER(REGEXREPLACE(B4527&amp;"" ""&amp;C4527,""[^а-яa-z0-9 ]"","" ""))")," тол разделочный ")</f>
        <v> тол разделочный </v>
      </c>
    </row>
    <row r="4528">
      <c r="A4528" s="35" t="s">
        <v>10895</v>
      </c>
      <c r="B4528" s="31" t="s">
        <v>10896</v>
      </c>
      <c r="C4528" s="31"/>
      <c r="D4528" s="37" t="s">
        <v>14</v>
      </c>
      <c r="E4528" s="38">
        <v>2.0</v>
      </c>
      <c r="F4528" s="38">
        <v>33.0</v>
      </c>
      <c r="G4528" s="11">
        <v>373623.0</v>
      </c>
      <c r="H4528" s="34" t="str">
        <f>IFERROR(__xludf.DUMMYFUNCTION("LOWER(REGEXREPLACE(B4528&amp;"" ""&amp;C4528,""[^а-яa-z0-9 ]"","" ""))"),"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f>
        <v>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v>
      </c>
    </row>
    <row r="4529">
      <c r="A4529" s="35" t="s">
        <v>10897</v>
      </c>
      <c r="B4529" s="31" t="s">
        <v>10898</v>
      </c>
      <c r="C4529" s="31"/>
      <c r="D4529" s="37" t="s">
        <v>14</v>
      </c>
      <c r="E4529" s="38">
        <v>2.0</v>
      </c>
      <c r="F4529" s="38">
        <v>37.0</v>
      </c>
      <c r="G4529" s="11">
        <v>423438.0</v>
      </c>
      <c r="H4529" s="34" t="str">
        <f>IFERROR(__xludf.DUMMYFUNCTION("LOWER(REGEXREPLACE(B4529&amp;"" ""&amp;C4529,""[^а-яa-z0-9 ]"","" ""))"),"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f>
        <v>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v>
      </c>
    </row>
    <row r="4530">
      <c r="A4530" s="35" t="s">
        <v>10899</v>
      </c>
      <c r="B4530" s="31" t="s">
        <v>10900</v>
      </c>
      <c r="C4530" s="31"/>
      <c r="D4530" s="37" t="s">
        <v>14</v>
      </c>
      <c r="E4530" s="38">
        <v>2.0</v>
      </c>
      <c r="F4530" s="38">
        <v>39.0</v>
      </c>
      <c r="G4530" s="11">
        <v>448345.0</v>
      </c>
      <c r="H4530" s="34" t="str">
        <f>IFERROR(__xludf.DUMMYFUNCTION("LOWER(REGEXREPLACE(B4530&amp;"" ""&amp;C4530,""[^а-яa-z0-9 ]"","" ""))"),"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f>
        <v>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v>
      </c>
    </row>
    <row r="4531">
      <c r="A4531" s="35" t="s">
        <v>10901</v>
      </c>
      <c r="B4531" s="31" t="s">
        <v>10902</v>
      </c>
      <c r="C4531" s="31"/>
      <c r="D4531" s="37" t="s">
        <v>14</v>
      </c>
      <c r="E4531" s="38">
        <v>2.0</v>
      </c>
      <c r="F4531" s="38">
        <v>40.0</v>
      </c>
      <c r="G4531" s="11">
        <v>464949.0</v>
      </c>
      <c r="H4531" s="34" t="str">
        <f>IFERROR(__xludf.DUMMYFUNCTION("LOWER(REGEXREPLACE(B4531&amp;"" ""&amp;C4531,""[^а-яa-z0-9 ]"","" ""))"),"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f>
        <v>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v>
      </c>
    </row>
    <row r="4532">
      <c r="A4532" s="35" t="s">
        <v>10903</v>
      </c>
      <c r="B4532" s="31" t="s">
        <v>10904</v>
      </c>
      <c r="C4532" s="31"/>
      <c r="D4532" s="37" t="s">
        <v>14</v>
      </c>
      <c r="E4532" s="38">
        <v>2.0</v>
      </c>
      <c r="F4532" s="38">
        <v>31.0</v>
      </c>
      <c r="G4532" s="11">
        <v>357016.0</v>
      </c>
      <c r="H4532" s="34" t="str">
        <f>IFERROR(__xludf.DUMMYFUNCTION("LOWER(REGEXREPLACE(B4532&amp;"" ""&amp;C4532,""[^а-яa-z0-9 ]"","" ""))"),"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f>
        <v>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v>
      </c>
    </row>
    <row r="4533">
      <c r="A4533" s="35" t="s">
        <v>10905</v>
      </c>
      <c r="B4533" s="31" t="s">
        <v>10906</v>
      </c>
      <c r="C4533" s="31"/>
      <c r="D4533" s="37" t="s">
        <v>14</v>
      </c>
      <c r="E4533" s="10"/>
      <c r="F4533" s="36"/>
      <c r="G4533" s="11"/>
      <c r="H4533" s="34" t="str">
        <f>IFERROR(__xludf.DUMMYFUNCTION("LOWER(REGEXREPLACE(B4533&amp;"" ""&amp;C4533,""[^а-яa-z0-9 ]"","" ""))")," тол для кухонных работ ")</f>
        <v> тол для кухонных работ </v>
      </c>
    </row>
    <row r="4534">
      <c r="A4534" s="35" t="s">
        <v>10907</v>
      </c>
      <c r="B4534" s="31" t="s">
        <v>10908</v>
      </c>
      <c r="C4534" s="31" t="s">
        <v>10909</v>
      </c>
      <c r="D4534" s="37" t="s">
        <v>14</v>
      </c>
      <c r="E4534" s="38">
        <v>2.0</v>
      </c>
      <c r="F4534" s="38">
        <v>28.0</v>
      </c>
      <c r="G4534" s="11">
        <v>305545.0</v>
      </c>
      <c r="H4534" s="34" t="str">
        <f>IFERROR(__xludf.DUMMYFUNCTION("LOWER(REGEXREPLACE(B4534&amp;"" ""&amp;C4534,""[^а-яa-z0-9 ]"","" ""))"),"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внутр"&amp;"енней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f>
        <v>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v>
      </c>
    </row>
    <row r="4535">
      <c r="A4535" s="35" t="s">
        <v>10910</v>
      </c>
      <c r="B4535" s="31" t="s">
        <v>10911</v>
      </c>
      <c r="C4535" s="31"/>
      <c r="D4535" s="37" t="s">
        <v>14</v>
      </c>
      <c r="E4535" s="10"/>
      <c r="F4535" s="36"/>
      <c r="G4535" s="11"/>
      <c r="H4535" s="34" t="str">
        <f>IFERROR(__xludf.DUMMYFUNCTION("LOWER(REGEXREPLACE(B4535&amp;"" ""&amp;C4535,""[^а-яa-z0-9 ]"","" ""))")," арь для овощей ")</f>
        <v> арь для овощей </v>
      </c>
    </row>
    <row r="4536">
      <c r="A4536" s="35" t="s">
        <v>10912</v>
      </c>
      <c r="B4536" s="31" t="s">
        <v>10913</v>
      </c>
      <c r="C4536" s="31" t="s">
        <v>10914</v>
      </c>
      <c r="D4536" s="37" t="s">
        <v>14</v>
      </c>
      <c r="E4536" s="38">
        <v>2.0</v>
      </c>
      <c r="F4536" s="38">
        <v>29.0</v>
      </c>
      <c r="G4536" s="11">
        <v>174413.0</v>
      </c>
      <c r="H4536" s="34" t="str">
        <f>IFERROR(__xludf.DUMMYFUNCTION("LOWER(REGEXREPLACE(B4536&amp;"" ""&amp;C4536,""[^а-яa-z0-9 ]"","" ""))"),"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оцинко"&amp;"ванная сталь толщиной не менее 1 5 мм   ередняя и задняя стенки  крыша и основание усилены ребрами жесткости ")</f>
        <v>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7">
      <c r="A4537" s="35" t="s">
        <v>10915</v>
      </c>
      <c r="B4537" s="31" t="s">
        <v>10916</v>
      </c>
      <c r="C4537" s="31" t="s">
        <v>10917</v>
      </c>
      <c r="D4537" s="37" t="s">
        <v>14</v>
      </c>
      <c r="E4537" s="38">
        <v>2.0</v>
      </c>
      <c r="F4537" s="38">
        <v>35.0</v>
      </c>
      <c r="G4537" s="11">
        <v>209297.0</v>
      </c>
      <c r="H4537" s="34" t="str">
        <f>IFERROR(__xludf.DUMMYFUNCTION("LOWER(REGEXREPLACE(B4537&amp;"" ""&amp;C4537,""[^а-яa-z0-9 ]"","" ""))"),"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оцинк"&amp;"ованная сталь толщиной не менее 1 5 мм   ередняя и задняя стенки  крыша и основание усилены ребрами жесткости ")</f>
        <v>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8">
      <c r="A4538" s="35" t="s">
        <v>10918</v>
      </c>
      <c r="B4538" s="31" t="s">
        <v>10919</v>
      </c>
      <c r="C4538" s="31"/>
      <c r="D4538" s="37" t="s">
        <v>14</v>
      </c>
      <c r="E4538" s="10"/>
      <c r="F4538" s="36"/>
      <c r="G4538" s="11"/>
      <c r="H4538" s="34" t="str">
        <f>IFERROR(__xludf.DUMMYFUNCTION("LOWER(REGEXREPLACE(B4538&amp;"" ""&amp;C4538,""[^а-яa-z0-9 ]"","" ""))")," тол производственный с бортом ")</f>
        <v> тол производственный с бортом </v>
      </c>
    </row>
    <row r="4539">
      <c r="A4539" s="35" t="s">
        <v>10920</v>
      </c>
      <c r="B4539" s="9" t="s">
        <v>10921</v>
      </c>
      <c r="C4539" s="31" t="s">
        <v>10922</v>
      </c>
      <c r="D4539" s="37" t="s">
        <v>14</v>
      </c>
      <c r="E4539" s="38">
        <v>2.0</v>
      </c>
      <c r="F4539" s="38">
        <v>17.0</v>
      </c>
      <c r="G4539" s="11">
        <v>124566.0</v>
      </c>
      <c r="H4539" s="34" t="str">
        <f>IFERROR(__xludf.DUMMYFUNCTION("LOWER(REGEXREPLACE(B4539&amp;"" ""&amp;C4539,""[^а-яa-z0-9 ]"","" ""))"),"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и"&amp;"з нержавеющей стали  толщиной не менее 1 5 мм  4 регулируемые по высоте опоры ")</f>
        <v>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из нержавеющей стали  толщиной не менее 1 5 мм  4 регулируемые по высоте опоры </v>
      </c>
    </row>
    <row r="4540">
      <c r="A4540" s="35" t="s">
        <v>10923</v>
      </c>
      <c r="B4540" s="9" t="s">
        <v>10924</v>
      </c>
      <c r="C4540" s="31" t="s">
        <v>10925</v>
      </c>
      <c r="D4540" s="37" t="s">
        <v>14</v>
      </c>
      <c r="E4540" s="38">
        <v>2.0</v>
      </c>
      <c r="F4540" s="38">
        <v>21.0</v>
      </c>
      <c r="G4540" s="11">
        <v>171061.0</v>
      </c>
      <c r="H4540" s="34" t="str">
        <f>IFERROR(__xludf.DUMMYFUNCTION("LOWER(REGEXREPLACE(B4540&amp;"" ""&amp;C4540,""[^а-яa-z0-9 ]"","" ""))"),"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1">
      <c r="A4541" s="35" t="s">
        <v>10926</v>
      </c>
      <c r="B4541" s="9" t="s">
        <v>10927</v>
      </c>
      <c r="C4541" s="31" t="s">
        <v>10925</v>
      </c>
      <c r="D4541" s="37" t="s">
        <v>14</v>
      </c>
      <c r="E4541" s="38">
        <v>2.0</v>
      </c>
      <c r="F4541" s="38">
        <v>23.0</v>
      </c>
      <c r="G4541" s="11">
        <v>194308.0</v>
      </c>
      <c r="H4541" s="34" t="str">
        <f>IFERROR(__xludf.DUMMYFUNCTION("LOWER(REGEXREPLACE(B4541&amp;"" ""&amp;C4541,""[^а-яa-z0-9 ]"","" ""))"),"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2">
      <c r="A4542" s="35" t="s">
        <v>10928</v>
      </c>
      <c r="B4542" s="9" t="s">
        <v>10929</v>
      </c>
      <c r="C4542" s="31" t="s">
        <v>10925</v>
      </c>
      <c r="D4542" s="37" t="s">
        <v>14</v>
      </c>
      <c r="E4542" s="38">
        <v>2.0</v>
      </c>
      <c r="F4542" s="38">
        <v>29.0</v>
      </c>
      <c r="G4542" s="11">
        <v>229191.0</v>
      </c>
      <c r="H4542" s="34" t="str">
        <f>IFERROR(__xludf.DUMMYFUNCTION("LOWER(REGEXREPLACE(B4542&amp;"" ""&amp;C4542,""[^а-яa-z0-9 ]"",""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3">
      <c r="A4543" s="35" t="s">
        <v>10930</v>
      </c>
      <c r="B4543" s="9" t="s">
        <v>10931</v>
      </c>
      <c r="C4543" s="31" t="s">
        <v>10925</v>
      </c>
      <c r="D4543" s="37" t="s">
        <v>14</v>
      </c>
      <c r="E4543" s="38">
        <v>2.0</v>
      </c>
      <c r="F4543" s="38">
        <v>31.0</v>
      </c>
      <c r="G4543" s="11">
        <v>252439.0</v>
      </c>
      <c r="H4543" s="34" t="str">
        <f>IFERROR(__xludf.DUMMYFUNCTION("LOWER(REGEXREPLACE(B4543&amp;"" ""&amp;C4543,""[^а-яa-z0-9 ]"","" ""))"),"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4">
      <c r="A4544" s="35" t="s">
        <v>10932</v>
      </c>
      <c r="B4544" s="9" t="s">
        <v>10933</v>
      </c>
      <c r="C4544" s="31" t="s">
        <v>10925</v>
      </c>
      <c r="D4544" s="37" t="s">
        <v>14</v>
      </c>
      <c r="E4544" s="38">
        <v>2.0</v>
      </c>
      <c r="F4544" s="38">
        <v>29.0</v>
      </c>
      <c r="G4544" s="11">
        <v>225872.0</v>
      </c>
      <c r="H4544" s="34" t="str">
        <f>IFERROR(__xludf.DUMMYFUNCTION("LOWER(REGEXREPLACE(B4544&amp;"" ""&amp;C4544,""[^а-яa-z0-9 ]"",""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5">
      <c r="A4545" s="35" t="s">
        <v>10934</v>
      </c>
      <c r="B4545" s="9" t="s">
        <v>10935</v>
      </c>
      <c r="C4545" s="31" t="s">
        <v>10925</v>
      </c>
      <c r="D4545" s="37" t="s">
        <v>14</v>
      </c>
      <c r="E4545" s="38">
        <v>2.0</v>
      </c>
      <c r="F4545" s="38">
        <v>32.0</v>
      </c>
      <c r="G4545" s="11">
        <v>272362.0</v>
      </c>
      <c r="H4545" s="34" t="str">
        <f>IFERROR(__xludf.DUMMYFUNCTION("LOWER(REGEXREPLACE(B4545&amp;"" ""&amp;C4545,""[^а-яa-z0-9 ]"","" ""))"),"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6">
      <c r="A4546" s="35" t="s">
        <v>10936</v>
      </c>
      <c r="B4546" s="9" t="s">
        <v>10937</v>
      </c>
      <c r="C4546" s="31" t="s">
        <v>10925</v>
      </c>
      <c r="D4546" s="37" t="s">
        <v>14</v>
      </c>
      <c r="E4546" s="38">
        <v>2.0</v>
      </c>
      <c r="F4546" s="38">
        <v>33.0</v>
      </c>
      <c r="G4546" s="11">
        <v>283986.0</v>
      </c>
      <c r="H4546" s="34" t="str">
        <f>IFERROR(__xludf.DUMMYFUNCTION("LOWER(REGEXREPLACE(B4546&amp;"" ""&amp;C4546,""[^а-яa-z0-9 ]"","" ""))"),"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7">
      <c r="A4547" s="35" t="s">
        <v>10938</v>
      </c>
      <c r="B4547" s="9" t="s">
        <v>10939</v>
      </c>
      <c r="C4547" s="31" t="s">
        <v>10940</v>
      </c>
      <c r="D4547" s="37" t="s">
        <v>14</v>
      </c>
      <c r="E4547" s="38">
        <v>2.0</v>
      </c>
      <c r="F4547" s="38">
        <v>22.0</v>
      </c>
      <c r="G4547" s="11">
        <v>179364.0</v>
      </c>
      <c r="H4547" s="34" t="str">
        <f>IFERROR(__xludf.DUMMYFUNCTION("LOWER(REGEXREPLACE(B4547&amp;"" ""&amp;C4547,""[^а-яa-z0-9 ]"","" ""))"),"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8">
      <c r="A4548" s="35" t="s">
        <v>10941</v>
      </c>
      <c r="B4548" s="9" t="s">
        <v>10942</v>
      </c>
      <c r="C4548" s="31" t="s">
        <v>10940</v>
      </c>
      <c r="D4548" s="37" t="s">
        <v>14</v>
      </c>
      <c r="E4548" s="38">
        <v>2.0</v>
      </c>
      <c r="F4548" s="38">
        <v>27.0</v>
      </c>
      <c r="G4548" s="11">
        <v>202624.0</v>
      </c>
      <c r="H4548" s="34" t="str">
        <f>IFERROR(__xludf.DUMMYFUNCTION("LOWER(REGEXREPLACE(B4548&amp;"" ""&amp;C4548,""[^а-яa-z0-9 ]"","" ""))"),"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9">
      <c r="A4549" s="35" t="s">
        <v>10943</v>
      </c>
      <c r="B4549" s="9" t="s">
        <v>10944</v>
      </c>
      <c r="C4549" s="31" t="s">
        <v>10940</v>
      </c>
      <c r="D4549" s="37" t="s">
        <v>14</v>
      </c>
      <c r="E4549" s="38">
        <v>2.0</v>
      </c>
      <c r="F4549" s="38">
        <v>30.0</v>
      </c>
      <c r="G4549" s="11">
        <v>214256.0</v>
      </c>
      <c r="H4549" s="34" t="str">
        <f>IFERROR(__xludf.DUMMYFUNCTION("LOWER(REGEXREPLACE(B4549&amp;"" ""&amp;C4549,""[^а-яa-z0-9 ]"","" ""))"),"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0">
      <c r="A4550" s="35" t="s">
        <v>10945</v>
      </c>
      <c r="B4550" s="9" t="s">
        <v>10946</v>
      </c>
      <c r="C4550" s="31" t="s">
        <v>10940</v>
      </c>
      <c r="D4550" s="37" t="s">
        <v>14</v>
      </c>
      <c r="E4550" s="38">
        <v>2.0</v>
      </c>
      <c r="F4550" s="38">
        <v>30.0</v>
      </c>
      <c r="G4550" s="11">
        <v>237495.0</v>
      </c>
      <c r="H4550" s="34" t="str">
        <f>IFERROR(__xludf.DUMMYFUNCTION("LOWER(REGEXREPLACE(B4550&amp;"" ""&amp;C4550,""[^а-яa-z0-9 ]"",""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1">
      <c r="A4551" s="35" t="s">
        <v>10947</v>
      </c>
      <c r="B4551" s="9" t="s">
        <v>10948</v>
      </c>
      <c r="C4551" s="31" t="s">
        <v>10940</v>
      </c>
      <c r="D4551" s="37" t="s">
        <v>14</v>
      </c>
      <c r="E4551" s="38">
        <v>2.0</v>
      </c>
      <c r="F4551" s="38">
        <v>31.0</v>
      </c>
      <c r="G4551" s="11">
        <v>249119.0</v>
      </c>
      <c r="H4551" s="34" t="str">
        <f>IFERROR(__xludf.DUMMYFUNCTION("LOWER(REGEXREPLACE(B4551&amp;"" ""&amp;C4551,""[^а-яa-z0-9 ]"","" ""))"),"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2">
      <c r="A4552" s="35" t="s">
        <v>10949</v>
      </c>
      <c r="B4552" s="9" t="s">
        <v>10950</v>
      </c>
      <c r="C4552" s="31" t="s">
        <v>10940</v>
      </c>
      <c r="D4552" s="37" t="s">
        <v>14</v>
      </c>
      <c r="E4552" s="38">
        <v>2.0</v>
      </c>
      <c r="F4552" s="38">
        <v>32.0</v>
      </c>
      <c r="G4552" s="11">
        <v>260743.0</v>
      </c>
      <c r="H4552" s="34" t="str">
        <f>IFERROR(__xludf.DUMMYFUNCTION("LOWER(REGEXREPLACE(B4552&amp;"" ""&amp;C4552,""[^а-яa-z0-9 ]"","" ""))"),"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3">
      <c r="A4553" s="35" t="s">
        <v>10951</v>
      </c>
      <c r="B4553" s="9" t="s">
        <v>10952</v>
      </c>
      <c r="C4553" s="31" t="s">
        <v>10940</v>
      </c>
      <c r="D4553" s="37" t="s">
        <v>14</v>
      </c>
      <c r="E4553" s="38">
        <v>2.0</v>
      </c>
      <c r="F4553" s="38">
        <v>19.0</v>
      </c>
      <c r="G4553" s="11">
        <v>164413.0</v>
      </c>
      <c r="H4553" s="34" t="str">
        <f>IFERROR(__xludf.DUMMYFUNCTION("LOWER(REGEXREPLACE(B4553&amp;"" ""&amp;C4553,""[^а-яa-z0-9 ]"","" ""))"),"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коммуникации"&amp;" 100 мм  4 ножки труба 40х40 мм из нержавеющей стали  толщиной не менее 1 2 мм  4 регулируемые по высоте опоры ")</f>
        <v>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4">
      <c r="A4554" s="35" t="s">
        <v>10953</v>
      </c>
      <c r="B4554" s="9" t="s">
        <v>10954</v>
      </c>
      <c r="C4554" s="31" t="s">
        <v>10940</v>
      </c>
      <c r="D4554" s="37" t="s">
        <v>14</v>
      </c>
      <c r="E4554" s="38">
        <v>2.0</v>
      </c>
      <c r="F4554" s="38">
        <v>23.0</v>
      </c>
      <c r="G4554" s="11">
        <v>199288.0</v>
      </c>
      <c r="H4554" s="34" t="str">
        <f>IFERROR(__xludf.DUMMYFUNCTION("LOWER(REGEXREPLACE(B4554&amp;"" ""&amp;C4554,""[^а-яa-z0-9 ]"","" ""))"),"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5">
      <c r="A4555" s="35" t="s">
        <v>10955</v>
      </c>
      <c r="B4555" s="9" t="s">
        <v>10956</v>
      </c>
      <c r="C4555" s="31" t="s">
        <v>10940</v>
      </c>
      <c r="D4555" s="37" t="s">
        <v>14</v>
      </c>
      <c r="E4555" s="38">
        <v>2.0</v>
      </c>
      <c r="F4555" s="38">
        <v>28.0</v>
      </c>
      <c r="G4555" s="11">
        <v>222548.0</v>
      </c>
      <c r="H4555" s="34" t="str">
        <f>IFERROR(__xludf.DUMMYFUNCTION("LOWER(REGEXREPLACE(B4555&amp;"" ""&amp;C4555,""[^а-яa-z0-9 ]"","" ""))"),"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6">
      <c r="A4556" s="35" t="s">
        <v>10957</v>
      </c>
      <c r="B4556" s="9" t="s">
        <v>10958</v>
      </c>
      <c r="C4556" s="31" t="s">
        <v>10940</v>
      </c>
      <c r="D4556" s="37" t="s">
        <v>14</v>
      </c>
      <c r="E4556" s="38">
        <v>2.0</v>
      </c>
      <c r="F4556" s="38">
        <v>31.0</v>
      </c>
      <c r="G4556" s="11">
        <v>234180.0</v>
      </c>
      <c r="H4556" s="34" t="str">
        <f>IFERROR(__xludf.DUMMYFUNCTION("LOWER(REGEXREPLACE(B4556&amp;"" ""&amp;C4556,""[^а-яa-z0-9 ]"",""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7">
      <c r="A4557" s="35" t="s">
        <v>10959</v>
      </c>
      <c r="B4557" s="9" t="s">
        <v>10960</v>
      </c>
      <c r="C4557" s="31" t="s">
        <v>10940</v>
      </c>
      <c r="D4557" s="37" t="s">
        <v>14</v>
      </c>
      <c r="E4557" s="38">
        <v>2.0</v>
      </c>
      <c r="F4557" s="38">
        <v>33.0</v>
      </c>
      <c r="G4557" s="11">
        <v>257427.0</v>
      </c>
      <c r="H4557" s="34" t="str">
        <f>IFERROR(__xludf.DUMMYFUNCTION("LOWER(REGEXREPLACE(B4557&amp;"" ""&amp;C4557,""[^а-яa-z0-9 ]"","" ""))"),"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8">
      <c r="A4558" s="35" t="s">
        <v>10961</v>
      </c>
      <c r="B4558" s="9" t="s">
        <v>10962</v>
      </c>
      <c r="C4558" s="31" t="s">
        <v>10940</v>
      </c>
      <c r="D4558" s="37" t="s">
        <v>14</v>
      </c>
      <c r="E4558" s="38">
        <v>2.0</v>
      </c>
      <c r="F4558" s="38">
        <v>37.0</v>
      </c>
      <c r="G4558" s="11">
        <v>280683.0</v>
      </c>
      <c r="H4558" s="34" t="str">
        <f>IFERROR(__xludf.DUMMYFUNCTION("LOWER(REGEXREPLACE(B4558&amp;"" ""&amp;C4558,""[^а-яa-z0-9 ]"","" ""))"),"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9">
      <c r="A4559" s="35" t="s">
        <v>10963</v>
      </c>
      <c r="B4559" s="9" t="s">
        <v>10964</v>
      </c>
      <c r="C4559" s="31" t="s">
        <v>10940</v>
      </c>
      <c r="D4559" s="37" t="s">
        <v>14</v>
      </c>
      <c r="E4559" s="38">
        <v>2.0</v>
      </c>
      <c r="F4559" s="38">
        <v>39.0</v>
      </c>
      <c r="G4559" s="11">
        <v>292310.0</v>
      </c>
      <c r="H4559" s="34" t="str">
        <f>IFERROR(__xludf.DUMMYFUNCTION("LOWER(REGEXREPLACE(B4559&amp;"" ""&amp;C4559,""[^а-яa-z0-9 ]"","" ""))"),"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0">
      <c r="A4560" s="35" t="s">
        <v>10965</v>
      </c>
      <c r="B4560" s="9" t="s">
        <v>10966</v>
      </c>
      <c r="C4560" s="31" t="s">
        <v>10940</v>
      </c>
      <c r="D4560" s="37" t="s">
        <v>14</v>
      </c>
      <c r="E4560" s="38">
        <v>2.0</v>
      </c>
      <c r="F4560" s="38">
        <v>41.0</v>
      </c>
      <c r="G4560" s="11">
        <v>315558.0</v>
      </c>
      <c r="H4560" s="34" t="str">
        <f>IFERROR(__xludf.DUMMYFUNCTION("LOWER(REGEXREPLACE(B4560&amp;"" ""&amp;C4560,""[^а-яa-z0-9 ]"","" ""))"),"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1">
      <c r="A4561" s="35" t="s">
        <v>10967</v>
      </c>
      <c r="B4561" s="9" t="s">
        <v>10968</v>
      </c>
      <c r="C4561" s="31" t="s">
        <v>10940</v>
      </c>
      <c r="D4561" s="37" t="s">
        <v>14</v>
      </c>
      <c r="E4561" s="38">
        <v>2.0</v>
      </c>
      <c r="F4561" s="38">
        <v>29.0</v>
      </c>
      <c r="G4561" s="11">
        <v>239151.0</v>
      </c>
      <c r="H4561" s="34" t="str">
        <f>IFERROR(__xludf.DUMMYFUNCTION("LOWER(REGEXREPLACE(B4561&amp;"" ""&amp;C4561,""[^а-яa-z0-9 ]"","" ""))"),"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2">
      <c r="A4562" s="35" t="s">
        <v>10969</v>
      </c>
      <c r="B4562" s="9" t="s">
        <v>10970</v>
      </c>
      <c r="C4562" s="31" t="s">
        <v>10940</v>
      </c>
      <c r="D4562" s="37" t="s">
        <v>14</v>
      </c>
      <c r="E4562" s="38">
        <v>2.0</v>
      </c>
      <c r="F4562" s="38">
        <v>29.0</v>
      </c>
      <c r="G4562" s="11">
        <v>247451.0</v>
      </c>
      <c r="H4562" s="34" t="str">
        <f>IFERROR(__xludf.DUMMYFUNCTION("LOWER(REGEXREPLACE(B4562&amp;"" ""&amp;C4562,""[^а-яa-z0-9 ]"","" ""))"),"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коммуник"&amp;"ации 100 мм  4 ножки труба 40х40 мм из нержавеющей стали  толщиной не менее 1 2 мм  4 регулируемые по высоте опоры ")</f>
        <v>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3">
      <c r="A4563" s="35" t="s">
        <v>10971</v>
      </c>
      <c r="B4563" s="9" t="s">
        <v>10972</v>
      </c>
      <c r="C4563" s="31" t="s">
        <v>10940</v>
      </c>
      <c r="D4563" s="37" t="s">
        <v>14</v>
      </c>
      <c r="E4563" s="38">
        <v>2.0</v>
      </c>
      <c r="F4563" s="38">
        <v>40.0</v>
      </c>
      <c r="G4563" s="11">
        <v>338793.0</v>
      </c>
      <c r="H4563" s="34" t="str">
        <f>IFERROR(__xludf.DUMMYFUNCTION("LOWER(REGEXREPLACE(B4563&amp;"" ""&amp;C4563,""[^а-яa-z0-9 ]"","" ""))"),"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4">
      <c r="A4564" s="35" t="s">
        <v>10973</v>
      </c>
      <c r="B4564" s="9" t="s">
        <v>10974</v>
      </c>
      <c r="C4564" s="31" t="s">
        <v>10975</v>
      </c>
      <c r="D4564" s="37" t="s">
        <v>14</v>
      </c>
      <c r="E4564" s="38">
        <v>2.0</v>
      </c>
      <c r="F4564" s="38">
        <v>22.0</v>
      </c>
      <c r="G4564" s="11">
        <v>112967.0</v>
      </c>
      <c r="H4564" s="34" t="str">
        <f>IFERROR(__xludf.DUMMYFUNCTION("LOWER(REGEXREPLACE(B4564&amp;"" ""&amp;C4564,""[^а-яa-z0-9 ]"","" ""))"),"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5">
      <c r="A4565" s="35" t="s">
        <v>10976</v>
      </c>
      <c r="B4565" s="9" t="s">
        <v>10977</v>
      </c>
      <c r="C4565" s="31" t="s">
        <v>10975</v>
      </c>
      <c r="D4565" s="37" t="s">
        <v>14</v>
      </c>
      <c r="E4565" s="38">
        <v>2.0</v>
      </c>
      <c r="F4565" s="38">
        <v>26.0</v>
      </c>
      <c r="G4565" s="11">
        <v>127922.0</v>
      </c>
      <c r="H4565" s="34" t="str">
        <f>IFERROR(__xludf.DUMMYFUNCTION("LOWER(REGEXREPLACE(B4565&amp;"" ""&amp;C4565,""[^а-яa-z0-9 ]"","" ""))"),"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6">
      <c r="A4566" s="35" t="s">
        <v>10978</v>
      </c>
      <c r="B4566" s="9" t="s">
        <v>10979</v>
      </c>
      <c r="C4566" s="31" t="s">
        <v>10975</v>
      </c>
      <c r="D4566" s="37" t="s">
        <v>14</v>
      </c>
      <c r="E4566" s="38">
        <v>2.0</v>
      </c>
      <c r="F4566" s="38">
        <v>28.0</v>
      </c>
      <c r="G4566" s="11">
        <v>135400.0</v>
      </c>
      <c r="H4566" s="34" t="str">
        <f>IFERROR(__xludf.DUMMYFUNCTION("LOWER(REGEXREPLACE(B4566&amp;"" ""&amp;C4566,""[^а-яa-z0-9 ]"","" ""))"),"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7">
      <c r="A4567" s="35" t="s">
        <v>10980</v>
      </c>
      <c r="B4567" s="9" t="s">
        <v>10981</v>
      </c>
      <c r="C4567" s="31" t="s">
        <v>10975</v>
      </c>
      <c r="D4567" s="37" t="s">
        <v>14</v>
      </c>
      <c r="E4567" s="38">
        <v>2.0</v>
      </c>
      <c r="F4567" s="38">
        <v>29.0</v>
      </c>
      <c r="G4567" s="11">
        <v>149514.0</v>
      </c>
      <c r="H4567" s="34" t="str">
        <f>IFERROR(__xludf.DUMMYFUNCTION("LOWER(REGEXREPLACE(B4567&amp;"" ""&amp;C4567,""[^а-яa-z0-9 ]"","" ""))"),"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5"&amp;"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8">
      <c r="A4568" s="35" t="s">
        <v>10982</v>
      </c>
      <c r="B4568" s="9" t="s">
        <v>10983</v>
      </c>
      <c r="C4568" s="31" t="s">
        <v>10975</v>
      </c>
      <c r="D4568" s="37" t="s">
        <v>14</v>
      </c>
      <c r="E4568" s="38">
        <v>2.0</v>
      </c>
      <c r="F4568" s="38">
        <v>27.0</v>
      </c>
      <c r="G4568" s="11">
        <v>139546.0</v>
      </c>
      <c r="H4568" s="34" t="str">
        <f>IFERROR(__xludf.DUMMYFUNCTION("LOWER(REGEXREPLACE(B4568&amp;"" ""&amp;C4568,""[^а-яa-z0-9 ]"","" ""))"),"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9">
      <c r="A4569" s="35" t="s">
        <v>10984</v>
      </c>
      <c r="B4569" s="9" t="s">
        <v>10985</v>
      </c>
      <c r="C4569" s="31" t="s">
        <v>10975</v>
      </c>
      <c r="D4569" s="37" t="s">
        <v>14</v>
      </c>
      <c r="E4569" s="38">
        <v>2.0</v>
      </c>
      <c r="F4569" s="38">
        <v>28.0</v>
      </c>
      <c r="G4569" s="11">
        <v>154490.0</v>
      </c>
      <c r="H4569" s="34" t="str">
        <f>IFERROR(__xludf.DUMMYFUNCTION("LOWER(REGEXREPLACE(B4569&amp;"" ""&amp;C4569,""[^а-яa-z0-9 ]"","" ""))"),"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0">
      <c r="A4570" s="35" t="s">
        <v>10986</v>
      </c>
      <c r="B4570" s="9" t="s">
        <v>10987</v>
      </c>
      <c r="C4570" s="31" t="s">
        <v>10975</v>
      </c>
      <c r="D4570" s="37" t="s">
        <v>14</v>
      </c>
      <c r="E4570" s="38">
        <v>2.0</v>
      </c>
      <c r="F4570" s="38">
        <v>30.0</v>
      </c>
      <c r="G4570" s="11">
        <v>161968.0</v>
      </c>
      <c r="H4570" s="34" t="str">
        <f>IFERROR(__xludf.DUMMYFUNCTION("LOWER(REGEXREPLACE(B4570&amp;"" ""&amp;C4570,""[^а-яa-z0-9 ]"","" ""))"),"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1">
      <c r="A4571" s="35" t="s">
        <v>10988</v>
      </c>
      <c r="B4571" s="31" t="s">
        <v>10989</v>
      </c>
      <c r="C4571" s="31"/>
      <c r="D4571" s="37" t="s">
        <v>14</v>
      </c>
      <c r="E4571" s="10"/>
      <c r="F4571" s="36"/>
      <c r="G4571" s="11"/>
      <c r="H4571" s="34" t="str">
        <f>IFERROR(__xludf.DUMMYFUNCTION("LOWER(REGEXREPLACE(B4571&amp;"" ""&amp;C4571,""[^а-яa-z0-9 ]"","" ""))")," тол производственный без борта ")</f>
        <v> тол производственный без борта </v>
      </c>
    </row>
    <row r="4572">
      <c r="A4572" s="35" t="s">
        <v>10990</v>
      </c>
      <c r="B4572" s="9" t="s">
        <v>10991</v>
      </c>
      <c r="C4572" s="31" t="s">
        <v>10992</v>
      </c>
      <c r="D4572" s="37" t="s">
        <v>14</v>
      </c>
      <c r="E4572" s="38">
        <v>2.0</v>
      </c>
      <c r="F4572" s="38">
        <v>18.0</v>
      </c>
      <c r="G4572" s="11">
        <v>103820.0</v>
      </c>
      <c r="H4572" s="34" t="str">
        <f>IFERROR(__xludf.DUMMYFUNCTION("LOWER(REGEXREPLACE(B4572&amp;"" ""&amp;C4572,""[^а-яa-z0-9 ]"","" ""))"),"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толщ"&amp;"иной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мм"&amp;" ")</f>
        <v>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 </v>
      </c>
    </row>
    <row r="4573">
      <c r="A4573" s="35" t="s">
        <v>10993</v>
      </c>
      <c r="B4573" s="31" t="s">
        <v>10994</v>
      </c>
      <c r="C4573" s="31" t="s">
        <v>10995</v>
      </c>
      <c r="D4573" s="37" t="s">
        <v>14</v>
      </c>
      <c r="E4573" s="38">
        <v>2.0</v>
      </c>
      <c r="F4573" s="38">
        <v>35.0</v>
      </c>
      <c r="G4573" s="11">
        <v>176928.0</v>
      </c>
      <c r="H4573" s="34" t="str">
        <f>IFERROR(__xludf.DUMMYFUNCTION("LOWER(REGEXREPLACE(B4573&amp;"" ""&amp;C4573,""[^а-яa-z0-9 ]"","" ""))"),"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"&amp;"толщиной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"&amp;"коммуникаций 50 мм ")</f>
        <v>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4">
      <c r="A4574" s="35" t="s">
        <v>10996</v>
      </c>
      <c r="B4574" s="31" t="s">
        <v>10997</v>
      </c>
      <c r="C4574" s="31" t="s">
        <v>10998</v>
      </c>
      <c r="D4574" s="37" t="s">
        <v>14</v>
      </c>
      <c r="E4574" s="38">
        <v>2.0</v>
      </c>
      <c r="F4574" s="38">
        <v>24.0</v>
      </c>
      <c r="G4574" s="11">
        <v>136214.0</v>
      </c>
      <c r="H4574" s="34" t="str">
        <f>IFERROR(__xludf.DUMMYFUNCTION("LOWER(REGEXREPLACE(B4574&amp;"" ""&amp;C4574,""[^а-яa-z0-9 ]"","" ""))"),"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5">
      <c r="A4575" s="35" t="s">
        <v>10999</v>
      </c>
      <c r="B4575" s="31" t="s">
        <v>11000</v>
      </c>
      <c r="C4575" s="31" t="s">
        <v>10998</v>
      </c>
      <c r="D4575" s="37" t="s">
        <v>14</v>
      </c>
      <c r="E4575" s="38">
        <v>2.0</v>
      </c>
      <c r="F4575" s="38">
        <v>24.0</v>
      </c>
      <c r="G4575" s="11">
        <v>146174.0</v>
      </c>
      <c r="H4575" s="34" t="str">
        <f>IFERROR(__xludf.DUMMYFUNCTION("LOWER(REGEXREPLACE(B4575&amp;"" ""&amp;C4575,""[^а-яa-z0-9 ]"","" ""))"),"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6">
      <c r="A4576" s="35" t="s">
        <v>11001</v>
      </c>
      <c r="B4576" s="31" t="s">
        <v>11002</v>
      </c>
      <c r="C4576" s="31" t="s">
        <v>11003</v>
      </c>
      <c r="D4576" s="37" t="s">
        <v>14</v>
      </c>
      <c r="E4576" s="38">
        <v>2.0</v>
      </c>
      <c r="F4576" s="38">
        <v>25.0</v>
      </c>
      <c r="G4576" s="11">
        <v>202616.0</v>
      </c>
      <c r="H4576" s="34" t="str">
        <f>IFERROR(__xludf.DUMMYFUNCTION("LOWER(REGEXREPLACE(B4576&amp;"" ""&amp;C4576,""[^а-яa-z0-9 ]"","" ""))"),"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нижняя"&amp;"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f>
        <v>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7">
      <c r="A4577" s="35" t="s">
        <v>11004</v>
      </c>
      <c r="B4577" s="31" t="s">
        <v>11005</v>
      </c>
      <c r="C4577" s="31" t="s">
        <v>11006</v>
      </c>
      <c r="D4577" s="37" t="s">
        <v>14</v>
      </c>
      <c r="E4577" s="38">
        <v>2.0</v>
      </c>
      <c r="F4577" s="38">
        <v>37.0</v>
      </c>
      <c r="G4577" s="11">
        <v>272383.0</v>
      </c>
      <c r="H4577" s="34" t="str">
        <f>IFERROR(__xludf.DUMMYFUNCTION("LOWER(REGEXREPLACE(B4577&amp;"" ""&amp;C4577,""[^а-яa-z0-9 ]"","" ""))"),"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40х40"&amp;" мм из нержавеющей стали  толщиной не менее 1 2 мм  4 регулируемые по высоте опоры ")</f>
        <v>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 мм из нержавеющей стали  толщиной не менее 1 2 мм  4 регулируемые по высоте опоры </v>
      </c>
    </row>
    <row r="4578">
      <c r="A4578" s="35" t="s">
        <v>11007</v>
      </c>
      <c r="B4578" s="31" t="s">
        <v>11008</v>
      </c>
      <c r="C4578" s="31" t="s">
        <v>11009</v>
      </c>
      <c r="D4578" s="37" t="s">
        <v>14</v>
      </c>
      <c r="E4578" s="38">
        <v>2.0</v>
      </c>
      <c r="F4578" s="38">
        <v>37.0</v>
      </c>
      <c r="G4578" s="11">
        <v>280683.0</v>
      </c>
      <c r="H4578" s="34" t="str">
        <f>IFERROR(__xludf.DUMMYFUNCTION("LOWER(REGEXREPLACE(B4578&amp;"" ""&amp;C4578,""[^а-яa-z0-9 ]"","" ""))"),"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9">
      <c r="A4579" s="35" t="s">
        <v>11010</v>
      </c>
      <c r="B4579" s="9" t="s">
        <v>11011</v>
      </c>
      <c r="C4579" s="31" t="s">
        <v>10940</v>
      </c>
      <c r="D4579" s="37" t="s">
        <v>14</v>
      </c>
      <c r="E4579" s="38">
        <v>2.0</v>
      </c>
      <c r="F4579" s="38">
        <v>39.0</v>
      </c>
      <c r="G4579" s="11">
        <v>292310.0</v>
      </c>
      <c r="H4579" s="34" t="str">
        <f>IFERROR(__xludf.DUMMYFUNCTION("LOWER(REGEXREPLACE(B4579&amp;"" ""&amp;C4579,""[^а-яa-z0-9 ]"","" ""))"),"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80">
      <c r="A4580" s="35" t="s">
        <v>11012</v>
      </c>
      <c r="B4580" s="9" t="s">
        <v>11013</v>
      </c>
      <c r="C4580" s="31" t="s">
        <v>10925</v>
      </c>
      <c r="D4580" s="37" t="s">
        <v>14</v>
      </c>
      <c r="E4580" s="38">
        <v>2.0</v>
      </c>
      <c r="F4580" s="38">
        <v>32.0</v>
      </c>
      <c r="G4580" s="11">
        <v>264063.0</v>
      </c>
      <c r="H4580" s="34" t="str">
        <f>IFERROR(__xludf.DUMMYFUNCTION("LOWER(REGEXREPLACE(B4580&amp;"" ""&amp;C4580,""[^а-яa-z0-9 ]"","" ""))"),"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40х4"&amp;"0 мм из нержавеющей стали  толщиной не менее 1 2 мм  4 регулируемые по высоте опоры ")</f>
        <v>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81">
      <c r="A4581" s="35" t="s">
        <v>11014</v>
      </c>
      <c r="B4581" s="9" t="s">
        <v>11015</v>
      </c>
      <c r="C4581" s="31" t="s">
        <v>11016</v>
      </c>
      <c r="D4581" s="37" t="s">
        <v>14</v>
      </c>
      <c r="E4581" s="38">
        <v>2.0</v>
      </c>
      <c r="F4581" s="38">
        <v>43.0</v>
      </c>
      <c r="G4581" s="11">
        <v>406863.0</v>
      </c>
      <c r="H4581" s="34" t="str">
        <f>IFERROR(__xludf.DUMMYFUNCTION("LOWER(REGEXREPLACE(B4581&amp;"" ""&amp;C4581,""[^а-яa-z0-9 ]"","" ""))"),"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40х40"&amp;" мм из нержавеющей стали  толщиной не менее 1 2 мм  4 регулируемые по высоте опоры ")</f>
        <v>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2">
      <c r="A4582" s="35" t="s">
        <v>11017</v>
      </c>
      <c r="B4582" s="9" t="s">
        <v>11018</v>
      </c>
      <c r="C4582" s="31" t="s">
        <v>11016</v>
      </c>
      <c r="D4582" s="37" t="s">
        <v>14</v>
      </c>
      <c r="E4582" s="38">
        <v>2.0</v>
      </c>
      <c r="F4582" s="38">
        <v>25.0</v>
      </c>
      <c r="G4582" s="11">
        <v>230835.0</v>
      </c>
      <c r="H4582" s="34" t="str">
        <f>IFERROR(__xludf.DUMMYFUNCTION("LOWER(REGEXREPLACE(B4582&amp;"" ""&amp;C4582,""[^а-яa-z0-9 ]"","" ""))"),"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"&amp;" 4 ножки уголок 40х40 мм из нержавеющей стали  толщиной не менее 1 2 мм  4 регулируемые по высоте опоры ")</f>
        <v>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3">
      <c r="A4583" s="35" t="s">
        <v>11019</v>
      </c>
      <c r="B4583" s="31" t="s">
        <v>11020</v>
      </c>
      <c r="C4583" s="31"/>
      <c r="D4583" s="37" t="s">
        <v>14</v>
      </c>
      <c r="E4583" s="10"/>
      <c r="F4583" s="36"/>
      <c r="G4583" s="11"/>
      <c r="H4583" s="34" t="str">
        <f>IFERROR(__xludf.DUMMYFUNCTION("LOWER(REGEXREPLACE(B4583&amp;"" ""&amp;C4583,""[^а-яa-z0-9 ]"","" ""))")," ележка сервировочная ")</f>
        <v> ележка сервировочная </v>
      </c>
    </row>
    <row r="4584">
      <c r="A4584" s="35" t="s">
        <v>11021</v>
      </c>
      <c r="B4584" s="9" t="s">
        <v>11022</v>
      </c>
      <c r="C4584" s="31"/>
      <c r="D4584" s="37" t="s">
        <v>14</v>
      </c>
      <c r="E4584" s="38">
        <v>2.0</v>
      </c>
      <c r="F4584" s="38">
        <v>16.0</v>
      </c>
      <c r="G4584" s="11">
        <v>191789.0</v>
      </c>
      <c r="H4584" s="34" t="str">
        <f>IFERROR(__xludf.DUMMYFUNCTION("LOWER(REGEXREPLACE(B4584&amp;"" ""&amp;C4584,""[^а-яa-z0-9 ]"","" ""))"),"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5">
      <c r="A4585" s="35" t="s">
        <v>11023</v>
      </c>
      <c r="B4585" s="9" t="s">
        <v>11024</v>
      </c>
      <c r="C4585" s="31"/>
      <c r="D4585" s="37" t="s">
        <v>14</v>
      </c>
      <c r="E4585" s="38">
        <v>2.0</v>
      </c>
      <c r="F4585" s="38">
        <v>20.0</v>
      </c>
      <c r="G4585" s="11">
        <v>198944.0</v>
      </c>
      <c r="H4585" s="34" t="str">
        <f>IFERROR(__xludf.DUMMYFUNCTION("LOWER(REGEXREPLACE(B4585&amp;"" ""&amp;C4585,""[^а-яa-z0-9 ]"","" ""))"),"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6">
      <c r="A4586" s="35" t="s">
        <v>11025</v>
      </c>
      <c r="B4586" s="31" t="s">
        <v>11026</v>
      </c>
      <c r="C4586" s="31"/>
      <c r="D4586" s="36"/>
      <c r="E4586" s="10"/>
      <c r="F4586" s="36"/>
      <c r="G4586" s="11"/>
      <c r="H4586" s="34" t="str">
        <f>IFERROR(__xludf.DUMMYFUNCTION("LOWER(REGEXREPLACE(B4586&amp;"" ""&amp;C4586,""[^а-яa-z0-9 ]"","" ""))")," епловое оборудование ")</f>
        <v> епловое оборудование </v>
      </c>
    </row>
    <row r="4587">
      <c r="A4587" s="35" t="s">
        <v>11027</v>
      </c>
      <c r="B4587" s="31" t="s">
        <v>11028</v>
      </c>
      <c r="C4587" s="31"/>
      <c r="D4587" s="37" t="s">
        <v>14</v>
      </c>
      <c r="E4587" s="10"/>
      <c r="F4587" s="38">
        <v>206.0</v>
      </c>
      <c r="G4587" s="11">
        <v>1458145.0</v>
      </c>
      <c r="H4587" s="34" t="str">
        <f>IFERROR(__xludf.DUMMYFUNCTION("LOWER(REGEXREPLACE(B4587&amp;"" ""&amp;C4587,""[^а-яa-z0-9 ]"","" ""))")," отел пищеварочный электрический      250 9   18 1 к т  380   ")</f>
        <v> отел пищеварочный электрический      250 9   18 1 к т  380   </v>
      </c>
    </row>
    <row r="4588">
      <c r="A4588" s="35" t="s">
        <v>11029</v>
      </c>
      <c r="B4588" s="31" t="s">
        <v>11030</v>
      </c>
      <c r="C4588" s="31"/>
      <c r="D4588" s="37" t="s">
        <v>14</v>
      </c>
      <c r="E4588" s="10"/>
      <c r="F4588" s="38">
        <v>197.0</v>
      </c>
      <c r="G4588" s="11">
        <v>1310856.0</v>
      </c>
      <c r="H4588" s="34" t="str">
        <f>IFERROR(__xludf.DUMMYFUNCTION("LOWER(REGEXREPLACE(B4588&amp;"" ""&amp;C4588,""[^а-яa-z0-9 ]"","" ""))")," отел пищеварочный электрический      160 9   18 1 к т  380   ")</f>
        <v> отел пищеварочный электрический      160 9   18 1 к т  380   </v>
      </c>
    </row>
    <row r="4589">
      <c r="A4589" s="35" t="s">
        <v>11031</v>
      </c>
      <c r="B4589" s="31" t="s">
        <v>11032</v>
      </c>
      <c r="C4589" s="31"/>
      <c r="D4589" s="37" t="s">
        <v>14</v>
      </c>
      <c r="E4589" s="10"/>
      <c r="F4589" s="38">
        <v>82.0</v>
      </c>
      <c r="G4589" s="11">
        <v>1205272.0</v>
      </c>
      <c r="H4589" s="34" t="str">
        <f>IFERROR(__xludf.DUMMYFUNCTION("LOWER(REGEXREPLACE(B4589&amp;"" ""&amp;C4589,""[^а-яa-z0-9 ]"","" ""))")," отел электрический пищеварочный круглый стационарный     60 нерж   900х625х625 мм  60 л  9 к т  380    ")</f>
        <v> отел электрический пищеварочный круглый стационарный     60 нерж   900х625х625 мм  60 л  9 к т  380    </v>
      </c>
    </row>
    <row r="4590">
      <c r="A4590" s="35" t="s">
        <v>11033</v>
      </c>
      <c r="B4590" s="31" t="s">
        <v>11034</v>
      </c>
      <c r="C4590" s="31"/>
      <c r="D4590" s="37" t="s">
        <v>14</v>
      </c>
      <c r="E4590" s="10"/>
      <c r="F4590" s="38">
        <v>140.0</v>
      </c>
      <c r="G4590" s="11">
        <v>1450998.0</v>
      </c>
      <c r="H4590" s="34" t="str">
        <f>IFERROR(__xludf.DUMMYFUNCTION("LOWER(REGEXREPLACE(B4590&amp;"" ""&amp;C4590,""[^а-яa-z0-9 ]"","" ""))")," отел электрический пищеварочный круглый стац      100 нерж   900х625х625 мм  100 л  380    12 к т  ")</f>
        <v> отел электрический пищеварочный круглый стац      100 нерж   900х625х625 мм  100 л  380    12 к т  </v>
      </c>
    </row>
    <row r="4591">
      <c r="A4591" s="35" t="s">
        <v>11035</v>
      </c>
      <c r="B4591" s="31" t="s">
        <v>11036</v>
      </c>
      <c r="C4591" s="31"/>
      <c r="D4591" s="37" t="s">
        <v>14</v>
      </c>
      <c r="E4591" s="10"/>
      <c r="F4591" s="36"/>
      <c r="G4591" s="11"/>
      <c r="H4591" s="34" t="str">
        <f>IFERROR(__xludf.DUMMYFUNCTION("LOWER(REGEXREPLACE(B4591&amp;"" ""&amp;C4591,""[^а-яa-z0-9 ]"","" ""))")," отел пищеварочный ")</f>
        <v> отел пищеварочный </v>
      </c>
    </row>
    <row r="4592">
      <c r="A4592" s="35" t="s">
        <v>11037</v>
      </c>
      <c r="B4592" s="31" t="s">
        <v>11038</v>
      </c>
      <c r="C4592" s="31"/>
      <c r="D4592" s="37" t="s">
        <v>14</v>
      </c>
      <c r="E4592" s="10"/>
      <c r="F4592" s="38">
        <v>197.0</v>
      </c>
      <c r="G4592" s="11">
        <v>942328.0</v>
      </c>
      <c r="H4592" s="34" t="str">
        <f>IFERROR(__xludf.DUMMYFUNCTION("LOWER(REGEXREPLACE(B4592&amp;"" ""&amp;C4592,""[^а-яa-z0-9 ]"","" ""))")," отел пищеварочный      200 9   размеры 841x1018х1182 мм  объем 200 л  мощность 18 1 к т  напряжение 380   ")</f>
        <v> отел пищеварочный      200 9   размеры 841x1018х1182 мм  объем 200 л  мощность 18 1 к т  напряжение 380   </v>
      </c>
    </row>
    <row r="4593">
      <c r="A4593" s="35" t="s">
        <v>11039</v>
      </c>
      <c r="B4593" s="31" t="s">
        <v>11040</v>
      </c>
      <c r="C4593" s="31"/>
      <c r="D4593" s="37" t="s">
        <v>14</v>
      </c>
      <c r="E4593" s="10"/>
      <c r="F4593" s="38">
        <v>121.0</v>
      </c>
      <c r="G4593" s="11">
        <v>3917049.0</v>
      </c>
      <c r="H4593" s="34" t="str">
        <f>IFERROR(__xludf.DUMMYFUNCTION("LOWER(REGEXREPLACE(B4593&amp;"" ""&amp;C4593,""[^а-яa-z0-9 ]"","" ""))")," отел пищеварочный электрический    899  100  размеры 800х900х920 мм  объем 100 л  мощность 18 к т  напряжение 380   ")</f>
        <v> отел пищеварочный электрический    899  100  размеры 800х900х920 мм  объем 100 л  мощность 18 к т  напряжение 380   </v>
      </c>
    </row>
    <row r="4594">
      <c r="A4594" s="35" t="s">
        <v>11041</v>
      </c>
      <c r="B4594" s="31" t="s">
        <v>11042</v>
      </c>
      <c r="C4594" s="31"/>
      <c r="D4594" s="37" t="s">
        <v>14</v>
      </c>
      <c r="E4594" s="10"/>
      <c r="F4594" s="38">
        <v>170.0</v>
      </c>
      <c r="G4594" s="11">
        <v>3953705.0</v>
      </c>
      <c r="H4594" s="34" t="str">
        <f>IFERROR(__xludf.DUMMYFUNCTION("LOWER(REGEXREPLACE(B4594&amp;"" ""&amp;C4594,""[^а-яa-z0-9 ]"","" ""))")," отел пищеварочный электрический    899  150  размеры 800х900х920 мм  объем 150 л  мощность 24 к т  напряжение 380   ")</f>
        <v> отел пищеварочный электрический    899  150  размеры 800х900х920 мм  объем 150 л  мощность 24 к т  напряжение 380   </v>
      </c>
    </row>
    <row r="4595">
      <c r="A4595" s="35" t="s">
        <v>11043</v>
      </c>
      <c r="B4595" s="31" t="s">
        <v>11044</v>
      </c>
      <c r="C4595" s="31"/>
      <c r="D4595" s="37" t="s">
        <v>14</v>
      </c>
      <c r="E4595" s="38">
        <v>2.0</v>
      </c>
      <c r="F4595" s="38">
        <v>115.0</v>
      </c>
      <c r="G4595" s="11">
        <v>879126.0</v>
      </c>
      <c r="H4595" s="34" t="str">
        <f>IFERROR(__xludf.DUMMYFUNCTION("LOWER(REGEXREPLACE(B4595&amp;"" ""&amp;C4595,""[^а-яa-z0-9 ]"","" ""))")," отел пищеварочный электрический      60 9   60 л  100    сливной кран  пароводяная рубашка  цельнотянутый  641x1015x1030мм  9 1 к т  400   ")</f>
        <v> отел пищеварочный электрический      60 9   60 л  100    сливной кран  пароводяная рубашка  цельнотянутый  641x1015x1030мм  9 1 к т  400   </v>
      </c>
    </row>
    <row r="4596">
      <c r="A4596" s="35" t="s">
        <v>11045</v>
      </c>
      <c r="B4596" s="9" t="s">
        <v>11046</v>
      </c>
      <c r="C4596" s="31"/>
      <c r="D4596" s="37" t="s">
        <v>14</v>
      </c>
      <c r="E4596" s="38">
        <v>2.0</v>
      </c>
      <c r="F4596" s="38">
        <v>141.0</v>
      </c>
      <c r="G4596" s="11">
        <v>1051430.0</v>
      </c>
      <c r="H4596" s="34" t="str">
        <f>IFERROR(__xludf.DUMMYFUNCTION("LOWER(REGEXREPLACE(B4596&amp;"" ""&amp;C4596,""[^а-яa-z0-9 ]"","" ""))")," отел пищеварочный электрический      100 9   100 л   100    сливной кран  пароводяная рубашка  цельнотянутый  841x1015x1030 мм  18 1 к т  400   ")</f>
        <v> отел пищеварочный электрический      100 9   100 л   100    сливной кран  пароводяная рубашка  цельнотянутый  841x1015x1030 мм  18 1 к т  400   </v>
      </c>
    </row>
    <row r="4597">
      <c r="A4597" s="35" t="s">
        <v>11047</v>
      </c>
      <c r="B4597" s="9" t="s">
        <v>11048</v>
      </c>
      <c r="C4597" s="31"/>
      <c r="D4597" s="37" t="s">
        <v>14</v>
      </c>
      <c r="E4597" s="10"/>
      <c r="F4597" s="38">
        <v>110.0</v>
      </c>
      <c r="G4597" s="11">
        <v>2740494.0</v>
      </c>
      <c r="H4597" s="34" t="str">
        <f>IFERROR(__xludf.DUMMYFUNCTION("LOWER(REGEXREPLACE(B4597&amp;"" ""&amp;C4597,""[^а-яa-z0-9 ]"","" ""))")," ароконвектомат           1011  1    750x783x1010  ")</f>
        <v> ароконвектомат           1011  1    750x783x1010  </v>
      </c>
    </row>
    <row r="4598">
      <c r="A4598" s="35" t="s">
        <v>11049</v>
      </c>
      <c r="B4598" s="31" t="s">
        <v>11050</v>
      </c>
      <c r="C4598" s="31"/>
      <c r="D4598" s="37" t="s">
        <v>14</v>
      </c>
      <c r="E4598" s="10"/>
      <c r="F4598" s="38">
        <v>112.0</v>
      </c>
      <c r="G4598" s="11">
        <v>1519978.0</v>
      </c>
      <c r="H4598" s="34" t="str">
        <f>IFERROR(__xludf.DUMMYFUNCTION("LOWER(REGEXREPLACE(B4598&amp;"" ""&amp;C4598,""[^а-яa-z0-9 ]"","" ""))")," ароконвектомат         7706       6   1 1 или 600х400  10 5 к т  термощуп  780x850x830 мм  ")</f>
        <v> ароконвектомат         7706       6   1 1 или 600х400  10 5 к т  термощуп  780x850x830 мм  </v>
      </c>
    </row>
    <row r="4599">
      <c r="A4599" s="35" t="s">
        <v>11051</v>
      </c>
      <c r="B4599" s="31" t="s">
        <v>11052</v>
      </c>
      <c r="C4599" s="31"/>
      <c r="D4599" s="37" t="s">
        <v>14</v>
      </c>
      <c r="E4599" s="10"/>
      <c r="F4599" s="36"/>
      <c r="G4599" s="11"/>
      <c r="H4599" s="34" t="str">
        <f>IFERROR(__xludf.DUMMYFUNCTION("LOWER(REGEXREPLACE(B4599&amp;"" ""&amp;C4599,""[^а-яa-z0-9 ]"","" ""))")," ароконвектомат ")</f>
        <v> ароконвектомат </v>
      </c>
    </row>
    <row r="4600">
      <c r="A4600" s="35" t="s">
        <v>11053</v>
      </c>
      <c r="B4600" s="31" t="s">
        <v>11054</v>
      </c>
      <c r="C4600" s="31"/>
      <c r="D4600" s="37" t="s">
        <v>14</v>
      </c>
      <c r="E4600" s="10"/>
      <c r="F4600" s="38">
        <v>180.0</v>
      </c>
      <c r="G4600" s="11">
        <v>2139710.0</v>
      </c>
      <c r="H4600" s="34" t="str">
        <f>IFERROR(__xludf.DUMMYFUNCTION("LOWER(REGEXREPLACE(B4600&amp;"" ""&amp;C4600,""[^а-яa-z0-9 ]"","" ""))")," ароконвектомат    10 1 1  2  инжекционный  10    1 1  вся нерж  без гастроемкостей  3х канальный щуп  регулировка влажности  5 скоростей вращения вентилятора    110 программ ")</f>
        <v> ароконвектомат    10 1 1  2  инжекционный  10    1 1  вся нерж  без гастроемкостей  3х канальный щуп  регулировка влажности  5 скоростей вращения вентилятора    110 программ </v>
      </c>
    </row>
    <row r="4601">
      <c r="A4601" s="35" t="s">
        <v>11055</v>
      </c>
      <c r="B4601" s="31" t="s">
        <v>11056</v>
      </c>
      <c r="C4601" s="31"/>
      <c r="D4601" s="37" t="s">
        <v>14</v>
      </c>
      <c r="E4601" s="10"/>
      <c r="F4601" s="38">
        <v>247.0</v>
      </c>
      <c r="G4601" s="11">
        <v>2.0013182E7</v>
      </c>
      <c r="H4601" s="34" t="str">
        <f>IFERROR(__xludf.DUMMYFUNCTION("LOWER(REGEXREPLACE(B4601&amp;"" ""&amp;C4601,""[^а-яa-z0-9 ]"","" ""))")," ароконвектомат     2011    0 85  бойлерный  20 уровней    1 1  4 вентилятора с реверсом    100 программ  с автоматической мойкой ")</f>
        <v> ароконвектомат     2011    0 85  бойлерный  20 уровней    1 1  4 вентилятора с реверсом    100 программ  с автоматической мойкой </v>
      </c>
    </row>
    <row r="4602">
      <c r="A4602" s="35" t="s">
        <v>11057</v>
      </c>
      <c r="B4602" s="31" t="s">
        <v>11058</v>
      </c>
      <c r="C4602" s="31"/>
      <c r="D4602" s="37" t="s">
        <v>14</v>
      </c>
      <c r="E4602" s="10"/>
      <c r="F4602" s="38">
        <v>125.0</v>
      </c>
      <c r="G4602" s="11">
        <v>5903322.0</v>
      </c>
      <c r="H4602" s="34" t="str">
        <f>IFERROR(__xludf.DUMMYFUNCTION("LOWER(REGEXREPLACE(B4602&amp;"" ""&amp;C4602,""[^а-яa-z0-9 ]"","" ""))")," ечь пароконвекционная     1111    0 85  бойлерный  11 уровней    1 1  2 вентилятора с реверсом    100 программ  с автоматической мойкой ")</f>
        <v> ечь пароконвекционная     1111    0 85  бойлерный  11 уровней    1 1  2 вентилятора с реверсом    100 программ  с автоматической мойкой </v>
      </c>
    </row>
    <row r="4603">
      <c r="A4603" s="35" t="s">
        <v>11059</v>
      </c>
      <c r="B4603" s="31" t="s">
        <v>11060</v>
      </c>
      <c r="C4603" s="31"/>
      <c r="D4603" s="37" t="s">
        <v>14</v>
      </c>
      <c r="E4603" s="10"/>
      <c r="F4603" s="38">
        <v>140.0</v>
      </c>
      <c r="G4603" s="11">
        <v>6527255.0</v>
      </c>
      <c r="H4603" s="34" t="str">
        <f>IFERROR(__xludf.DUMMYFUNCTION("LOWER(REGEXREPLACE(B4603&amp;"" ""&amp;C4603,""[^а-яa-z0-9 ]"","" ""))")," ечь конвекционная     1064    0 85  бойлерный  10 уровней  3 вентилятора с реверсом    100 программ  с автоматической мойкой ")</f>
        <v> ечь конвекционная     1064    0 85  бойлерный  10 уровней  3 вентилятора с реверсом    100 программ  с автоматической мойкой </v>
      </c>
    </row>
    <row r="4604">
      <c r="A4604" s="35" t="s">
        <v>11061</v>
      </c>
      <c r="B4604" s="31" t="s">
        <v>11062</v>
      </c>
      <c r="C4604" s="31"/>
      <c r="D4604" s="37" t="s">
        <v>14</v>
      </c>
      <c r="E4604" s="10"/>
      <c r="F4604" s="38">
        <v>91.0</v>
      </c>
      <c r="G4604" s="11">
        <v>2114292.0</v>
      </c>
      <c r="H4604" s="34" t="str">
        <f>IFERROR(__xludf.DUMMYFUNCTION("LOWER(REGEXREPLACE(B4604&amp;"" ""&amp;C4604,""[^а-яa-z0-9 ]"","" ""))")," каф расстоечный     1064    10 уровней  механическое управление  ")</f>
        <v> каф расстоечный     1064    10 уровней  механическое управление  </v>
      </c>
    </row>
    <row r="4605">
      <c r="A4605" s="35" t="s">
        <v>11063</v>
      </c>
      <c r="B4605" s="31" t="s">
        <v>11064</v>
      </c>
      <c r="C4605" s="31"/>
      <c r="D4605" s="37" t="s">
        <v>14</v>
      </c>
      <c r="E4605" s="38">
        <v>2.0</v>
      </c>
      <c r="F4605" s="38">
        <v>145.0</v>
      </c>
      <c r="G4605" s="11">
        <v>1503592.0</v>
      </c>
      <c r="H4605" s="34" t="str">
        <f>IFERROR(__xludf.DUMMYFUNCTION("LOWER(REGEXREPLACE(B4605&amp;"" ""&amp;C4605,""[^а-яa-z0-9 ]"","" ""))"),"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f>
        <v>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v>
      </c>
    </row>
    <row r="4606">
      <c r="A4606" s="35" t="s">
        <v>11065</v>
      </c>
      <c r="B4606" s="31" t="s">
        <v>11066</v>
      </c>
      <c r="C4606" s="31"/>
      <c r="D4606" s="37" t="s">
        <v>14</v>
      </c>
      <c r="E4606" s="38">
        <v>2.0</v>
      </c>
      <c r="F4606" s="38">
        <v>170.0</v>
      </c>
      <c r="G4606" s="11">
        <v>1721814.0</v>
      </c>
      <c r="H4606" s="34" t="str">
        <f>IFERROR(__xludf.DUMMYFUNCTION("LOWER(REGEXREPLACE(B4606&amp;"" ""&amp;C4606,""[^а-яa-z0-9 ]"","" ""))"),"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f>
        <v>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v>
      </c>
    </row>
    <row r="4607">
      <c r="A4607" s="35" t="s">
        <v>11067</v>
      </c>
      <c r="B4607" s="31" t="s">
        <v>11068</v>
      </c>
      <c r="C4607" s="31"/>
      <c r="D4607" s="37" t="s">
        <v>14</v>
      </c>
      <c r="E4607" s="38">
        <v>2.0</v>
      </c>
      <c r="F4607" s="38">
        <v>305.0</v>
      </c>
      <c r="G4607" s="11">
        <v>3217419.0</v>
      </c>
      <c r="H4607" s="34" t="str">
        <f>IFERROR(__xludf.DUMMYFUNCTION("LOWER(REGEXREPLACE(B4607&amp;"" ""&amp;C4607,""[^а-яa-z0-9 ]"","" ""))"),"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f>
        <v>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v>
      </c>
    </row>
    <row r="4608">
      <c r="A4608" s="35" t="s">
        <v>11069</v>
      </c>
      <c r="B4608" s="9" t="s">
        <v>11070</v>
      </c>
      <c r="C4608" s="31"/>
      <c r="D4608" s="37" t="s">
        <v>14</v>
      </c>
      <c r="E4608" s="10"/>
      <c r="F4608" s="38">
        <v>139.0</v>
      </c>
      <c r="G4608" s="11">
        <v>899365.0</v>
      </c>
      <c r="H4608" s="34" t="str">
        <f>IFERROR(__xludf.DUMMYFUNCTION("LOWER(REGEXREPLACE(B4608&amp;"" ""&amp;C4608,""[^а-яa-z0-9 ]"","" ""))")," коворода электрическая     80 0 27 40  800x899x950 мм  9 к т  380    ")</f>
        <v> коворода электрическая     80 0 27 40  800x899x950 мм  9 к т  380    </v>
      </c>
    </row>
    <row r="4609">
      <c r="A4609" s="35" t="s">
        <v>11071</v>
      </c>
      <c r="B4609" s="31" t="s">
        <v>11072</v>
      </c>
      <c r="C4609" s="31"/>
      <c r="D4609" s="37" t="s">
        <v>14</v>
      </c>
      <c r="E4609" s="10"/>
      <c r="F4609" s="38">
        <v>230.0</v>
      </c>
      <c r="G4609" s="11">
        <v>940953.0</v>
      </c>
      <c r="H4609" s="34" t="str">
        <f>IFERROR(__xludf.DUMMYFUNCTION("LOWER(REGEXREPLACE(B4609&amp;"" ""&amp;C4609,""[^а-яa-z0-9 ]"","" ""))")," коворода электрическая     0 25   1000х800х850 мм  38 л  чугун  чаша  облиц  и крышка нерж   ")</f>
        <v> коворода электрическая     0 25   1000х800х850 мм  38 л  чугун  чаша  облиц  и крышка нерж   </v>
      </c>
    </row>
    <row r="4610">
      <c r="A4610" s="35" t="s">
        <v>11073</v>
      </c>
      <c r="B4610" s="31" t="s">
        <v>11074</v>
      </c>
      <c r="C4610" s="31"/>
      <c r="D4610" s="37" t="s">
        <v>14</v>
      </c>
      <c r="E4610" s="10"/>
      <c r="F4610" s="38">
        <v>163.0</v>
      </c>
      <c r="G4610" s="11">
        <v>484187.0</v>
      </c>
      <c r="H4610" s="34" t="str">
        <f>IFERROR(__xludf.DUMMYFUNCTION("LOWER(REGEXREPLACE(B4610&amp;"" ""&amp;C4610,""[^а-яa-z0-9 ]"","" ""))")," коворода электрическая     0 25  емкость 38 л  985х850  900 х820  840  мм  6 к т  380    ")</f>
        <v> коворода электрическая     0 25  емкость 38 л  985х850  900 х820  840  мм  6 к т  380    </v>
      </c>
    </row>
    <row r="4611">
      <c r="A4611" s="35" t="s">
        <v>11075</v>
      </c>
      <c r="B4611" s="9" t="s">
        <v>11076</v>
      </c>
      <c r="C4611" s="31"/>
      <c r="D4611" s="37" t="s">
        <v>14</v>
      </c>
      <c r="E4611" s="10"/>
      <c r="F4611" s="38">
        <v>254.0</v>
      </c>
      <c r="G4611" s="11">
        <v>824985.0</v>
      </c>
      <c r="H4611" s="34" t="str">
        <f>IFERROR(__xludf.DUMMYFUNCTION("LOWER(REGEXREPLACE(B4611&amp;"" ""&amp;C4611,""[^а-яa-z0-9 ]"","" ""))")," лита электрическая    6    1475x895x860 мм  22 8 к т  380    ")</f>
        <v> лита электрическая    6    1475x895x860 мм  22 8 к т  380    </v>
      </c>
    </row>
    <row r="4612">
      <c r="A4612" s="35" t="s">
        <v>11077</v>
      </c>
      <c r="B4612" s="9" t="s">
        <v>11078</v>
      </c>
      <c r="C4612" s="31"/>
      <c r="D4612" s="37" t="s">
        <v>14</v>
      </c>
      <c r="E4612" s="10"/>
      <c r="F4612" s="38">
        <v>180.0</v>
      </c>
      <c r="G4612" s="11">
        <v>615712.0</v>
      </c>
      <c r="H4612" s="34" t="str">
        <f>IFERROR(__xludf.DUMMYFUNCTION("LOWER(REGEXREPLACE(B4612&amp;"" ""&amp;C4612,""[^а-яa-z0-9 ]"","" ""))")," лита электрическая    4    1050x895x860 мм  16 8 к т  380    ")</f>
        <v> лита электрическая    4    1050x895x860 мм  16 8 к т  380    </v>
      </c>
    </row>
    <row r="4613">
      <c r="A4613" s="35" t="s">
        <v>11079</v>
      </c>
      <c r="B4613" s="31" t="s">
        <v>3572</v>
      </c>
      <c r="C4613" s="31"/>
      <c r="D4613" s="37" t="s">
        <v>14</v>
      </c>
      <c r="E4613" s="10"/>
      <c r="F4613" s="36"/>
      <c r="G4613" s="11"/>
      <c r="H4613" s="34" t="str">
        <f>IFERROR(__xludf.DUMMYFUNCTION("LOWER(REGEXREPLACE(B4613&amp;"" ""&amp;C4613,""[^а-яa-z0-9 ]"","" ""))")," лита электрическая ")</f>
        <v> лита электрическая </v>
      </c>
    </row>
    <row r="4614">
      <c r="A4614" s="35" t="s">
        <v>11080</v>
      </c>
      <c r="B4614" s="9" t="s">
        <v>11081</v>
      </c>
      <c r="C4614" s="31"/>
      <c r="D4614" s="37" t="s">
        <v>14</v>
      </c>
      <c r="E4614" s="10"/>
      <c r="F4614" s="38">
        <v>75.0</v>
      </c>
      <c r="G4614" s="11">
        <v>903884.0</v>
      </c>
      <c r="H4614" s="34" t="str">
        <f>IFERROR(__xludf.DUMMYFUNCTION("LOWER(REGEXREPLACE(B4614&amp;"" ""&amp;C4614,""[^а-яa-z0-9 ]"","" ""))")," лита электрическая четырехконфорочная              70 7 616091  размеры 700x700x280 мм  мощность 10 к т  напряжение 380   ")</f>
        <v> лита электрическая четырехконфорочная              70 7 616091  размеры 700x700x280 мм  мощность 10 к т  напряжение 380   </v>
      </c>
    </row>
    <row r="4615">
      <c r="A4615" s="35" t="s">
        <v>11082</v>
      </c>
      <c r="B4615" s="31" t="s">
        <v>11083</v>
      </c>
      <c r="C4615" s="31"/>
      <c r="D4615" s="37" t="s">
        <v>14</v>
      </c>
      <c r="E4615" s="10"/>
      <c r="F4615" s="38">
        <v>82.0</v>
      </c>
      <c r="G4615" s="11">
        <v>2175020.0</v>
      </c>
      <c r="H4615" s="34" t="str">
        <f>IFERROR(__xludf.DUMMYFUNCTION("LOWER(REGEXREPLACE(B4615&amp;"" ""&amp;C4615,""[^а-яa-z0-9 ]"","" ""))")," лита электрическая четырехконфорочная    879   размеры 800х900х920 мм  мощность 4 к т  напряжение 380   ")</f>
        <v> лита электрическая четырехконфорочная    879   размеры 800х900х920 мм  мощность 4 к т  напряжение 380   </v>
      </c>
    </row>
    <row r="4616">
      <c r="A4616" s="35" t="s">
        <v>11084</v>
      </c>
      <c r="B4616" s="31" t="s">
        <v>11085</v>
      </c>
      <c r="C4616" s="31"/>
      <c r="D4616" s="37" t="s">
        <v>14</v>
      </c>
      <c r="E4616" s="10"/>
      <c r="F4616" s="38">
        <v>91.0</v>
      </c>
      <c r="G4616" s="11">
        <v>2537185.0</v>
      </c>
      <c r="H4616" s="34" t="str">
        <f>IFERROR(__xludf.DUMMYFUNCTION("LOWER(REGEXREPLACE(B4616&amp;"" ""&amp;C4616,""[^а-яa-z0-9 ]"","" ""))")," лита электрическая четырехконфорочная    899   размеры 800х900х920 мм  мощность 20 8 к т  напряжение 380   ")</f>
        <v> лита электрическая четырехконфорочная    899   размеры 800х900х920 мм  мощность 20 8 к т  напряжение 380   </v>
      </c>
    </row>
    <row r="4617">
      <c r="A4617" s="35" t="s">
        <v>11086</v>
      </c>
      <c r="B4617" s="31" t="s">
        <v>11087</v>
      </c>
      <c r="C4617" s="31"/>
      <c r="D4617" s="37" t="s">
        <v>14</v>
      </c>
      <c r="E4617" s="10"/>
      <c r="F4617" s="38">
        <v>118.0</v>
      </c>
      <c r="G4617" s="11">
        <v>3418225.0</v>
      </c>
      <c r="H4617" s="34" t="str">
        <f>IFERROR(__xludf.DUMMYFUNCTION("LOWER(REGEXREPLACE(B4617&amp;"" ""&amp;C4617,""[^а-яa-z0-9 ]"","" ""))")," лита электрическая шестиконфорочная    199   размеры 1200х900х920 мм  мощность 28 8 к т  напряжение 380   ")</f>
        <v> лита электрическая шестиконфорочная    199   размеры 1200х900х920 мм  мощность 28 8 к т  напряжение 380   </v>
      </c>
    </row>
    <row r="4618">
      <c r="A4618" s="35" t="s">
        <v>11088</v>
      </c>
      <c r="B4618" s="31" t="s">
        <v>11089</v>
      </c>
      <c r="C4618" s="31"/>
      <c r="D4618" s="37" t="s">
        <v>14</v>
      </c>
      <c r="E4618" s="10"/>
      <c r="F4618" s="38">
        <v>82.0</v>
      </c>
      <c r="G4618" s="11">
        <v>266285.0</v>
      </c>
      <c r="H4618" s="34" t="str">
        <f>IFERROR(__xludf.DUMMYFUNCTION("LOWER(REGEXREPLACE(B4618&amp;"" ""&amp;C4618,""[^а-яa-z0-9 ]"","" ""))")," лита электрическая двухконфорочная без жарочного шкафа     0 34   725 770 840 860  мм  ")</f>
        <v> лита электрическая двухконфорочная без жарочного шкафа     0 34   725 770 840 860  мм  </v>
      </c>
    </row>
    <row r="4619">
      <c r="A4619" s="35" t="s">
        <v>11090</v>
      </c>
      <c r="B4619" s="9" t="s">
        <v>11091</v>
      </c>
      <c r="C4619" s="31"/>
      <c r="D4619" s="37" t="s">
        <v>14</v>
      </c>
      <c r="E4619" s="10"/>
      <c r="F4619" s="38">
        <v>67.0</v>
      </c>
      <c r="G4619" s="11">
        <v>239985.0</v>
      </c>
      <c r="H4619" s="34" t="str">
        <f>IFERROR(__xludf.DUMMYFUNCTION("LOWER(REGEXREPLACE(B4619&amp;"" ""&amp;C4619,""[^а-яa-z0-9 ]"","" ""))")," лита электрическая двухконфорочная напольная без жарочного шкафа     0 24 01  417  627  850 860  880  мм  ")</f>
        <v> лита электрическая двухконфорочная напольная без жарочного шкафа     0 24 01  417  627  850 860  880  мм  </v>
      </c>
    </row>
    <row r="4620">
      <c r="A4620" s="35" t="s">
        <v>11092</v>
      </c>
      <c r="B4620" s="31" t="s">
        <v>11093</v>
      </c>
      <c r="C4620" s="31"/>
      <c r="D4620" s="37" t="s">
        <v>14</v>
      </c>
      <c r="E4620" s="10"/>
      <c r="F4620" s="38">
        <v>109.0</v>
      </c>
      <c r="G4620" s="11">
        <v>241115.0</v>
      </c>
      <c r="H4620" s="34" t="str">
        <f>IFERROR(__xludf.DUMMYFUNCTION("LOWER(REGEXREPLACE(B4620&amp;"" ""&amp;C4620,""[^а-яa-z0-9 ]"","" ""))")," лита электрическая четырехконфорочная без жарочного шкафа     0 48 01  840 1050  850 860 880  мм  ")</f>
        <v> лита электрическая четырехконфорочная без жарочного шкафа     0 48 01  840 1050  850 860 880  мм  </v>
      </c>
    </row>
    <row r="4621">
      <c r="A4621" s="35" t="s">
        <v>11094</v>
      </c>
      <c r="B4621" s="31" t="s">
        <v>11095</v>
      </c>
      <c r="C4621" s="31"/>
      <c r="D4621" s="37" t="s">
        <v>14</v>
      </c>
      <c r="E4621" s="10"/>
      <c r="F4621" s="38">
        <v>140.0</v>
      </c>
      <c r="G4621" s="11">
        <v>345345.0</v>
      </c>
      <c r="H4621" s="34" t="str">
        <f>IFERROR(__xludf.DUMMYFUNCTION("LOWER(REGEXREPLACE(B4621&amp;"" ""&amp;C4621,""[^а-яa-z0-9 ]"","" ""))")," лита электрическая шестиконфорочная без жарочного шкафа     0 72 01  1265 1475  850 860 880  мм  ")</f>
        <v> лита электрическая шестиконфорочная без жарочного шкафа     0 72 01  1265 1475  850 860 880  мм  </v>
      </c>
    </row>
    <row r="4622">
      <c r="A4622" s="35" t="s">
        <v>11096</v>
      </c>
      <c r="B4622" s="31" t="s">
        <v>11097</v>
      </c>
      <c r="C4622" s="31"/>
      <c r="D4622" s="37" t="s">
        <v>14</v>
      </c>
      <c r="E4622" s="10"/>
      <c r="F4622" s="38">
        <v>154.0</v>
      </c>
      <c r="G4622" s="11">
        <v>357979.0</v>
      </c>
      <c r="H4622" s="34" t="str">
        <f>IFERROR(__xludf.DUMMYFUNCTION("LOWER(REGEXREPLACE(B4622&amp;"" ""&amp;C4622,""[^а-яa-z0-9 ]"","" ""))")," лита электрическая четырехконфорочная с жарочным шкафом     0 48    01  840 1050  850 900  860 880  мм  ")</f>
        <v> лита электрическая четырехконфорочная с жарочным шкафом     0 48    01  840 1050  850 900  860 880  мм  </v>
      </c>
    </row>
    <row r="4623">
      <c r="A4623" s="35" t="s">
        <v>11098</v>
      </c>
      <c r="B4623" s="31" t="s">
        <v>11099</v>
      </c>
      <c r="C4623" s="31"/>
      <c r="D4623" s="37" t="s">
        <v>14</v>
      </c>
      <c r="E4623" s="38">
        <v>2.0</v>
      </c>
      <c r="F4623" s="38">
        <v>140.0</v>
      </c>
      <c r="G4623" s="11">
        <v>349363.0</v>
      </c>
      <c r="H4623" s="34" t="str">
        <f>IFERROR(__xludf.DUMMYFUNCTION("LOWER(REGEXREPLACE(B4623&amp;"" ""&amp;C4623,""[^а-яa-z0-9 ]"","" ""))")," лита электрическая четырехконфорочная    4   размеры 1050x850x860 мм  мощность 12 к т  напряжение 380  ")</f>
        <v> лита электрическая четырехконфорочная    4   размеры 1050x850x860 мм  мощность 12 к т  напряжение 380  </v>
      </c>
    </row>
    <row r="4624">
      <c r="A4624" s="35" t="s">
        <v>11100</v>
      </c>
      <c r="B4624" s="31" t="s">
        <v>11101</v>
      </c>
      <c r="C4624" s="31"/>
      <c r="D4624" s="37" t="s">
        <v>14</v>
      </c>
      <c r="E4624" s="38">
        <v>2.0</v>
      </c>
      <c r="F4624" s="38">
        <v>165.0</v>
      </c>
      <c r="G4624" s="11">
        <v>473093.0</v>
      </c>
      <c r="H4624" s="34" t="str">
        <f>IFERROR(__xludf.DUMMYFUNCTION("LOWER(REGEXREPLACE(B4624&amp;"" ""&amp;C4624,""[^а-яa-z0-9 ]"","" ""))")," лита электрическая шестиконфорочная    6   размеры 1475x850x860 мм  мощность 18 к т  напряжение 380  ")</f>
        <v> лита электрическая шестиконфорочная    6   размеры 1475x850x860 мм  мощность 18 к т  напряжение 380  </v>
      </c>
    </row>
    <row r="4625">
      <c r="A4625" s="35" t="s">
        <v>11102</v>
      </c>
      <c r="B4625" s="31" t="s">
        <v>11103</v>
      </c>
      <c r="C4625" s="31"/>
      <c r="D4625" s="37" t="s">
        <v>14</v>
      </c>
      <c r="E4625" s="38">
        <v>2.0</v>
      </c>
      <c r="F4625" s="38">
        <v>194.0</v>
      </c>
      <c r="G4625" s="11">
        <v>495282.0</v>
      </c>
      <c r="H4625" s="34" t="str">
        <f>IFERROR(__xludf.DUMMYFUNCTION("LOWER(REGEXREPLACE(B4625&amp;"" ""&amp;C4625,""[^а-яa-z0-9 ]"","" ""))")," лита электрическая четырехконфорочная   49   мощность 16 8 к т  напряжение 380  ")</f>
        <v> лита электрическая четырехконфорочная   49   мощность 16 8 к т  напряжение 380  </v>
      </c>
    </row>
    <row r="4626">
      <c r="A4626" s="35" t="s">
        <v>11104</v>
      </c>
      <c r="B4626" s="31" t="s">
        <v>11105</v>
      </c>
      <c r="C4626" s="31"/>
      <c r="D4626" s="37" t="s">
        <v>14</v>
      </c>
      <c r="E4626" s="38">
        <v>2.0</v>
      </c>
      <c r="F4626" s="38">
        <v>121.0</v>
      </c>
      <c r="G4626" s="11">
        <v>336043.0</v>
      </c>
      <c r="H4626" s="34" t="str">
        <f>IFERROR(__xludf.DUMMYFUNCTION("LOWER(REGEXREPLACE(B4626&amp;"" ""&amp;C4626,""[^а-яa-z0-9 ]"","" ""))")," лита электрическая четырехконфорочная    49   размеры 1050х900х860 мм  мощность 12к т  напряжение 380  ")</f>
        <v> лита электрическая четырехконфорочная    49   размеры 1050х900х860 мм  мощность 12к т  напряжение 380  </v>
      </c>
    </row>
    <row r="4627">
      <c r="A4627" s="35" t="s">
        <v>11106</v>
      </c>
      <c r="B4627" s="31" t="s">
        <v>11107</v>
      </c>
      <c r="C4627" s="31"/>
      <c r="D4627" s="37" t="s">
        <v>14</v>
      </c>
      <c r="E4627" s="10"/>
      <c r="F4627" s="39">
        <v>5.6</v>
      </c>
      <c r="G4627" s="11">
        <v>44383.0</v>
      </c>
      <c r="H4627" s="34" t="str">
        <f>IFERROR(__xludf.DUMMYFUNCTION("LOWER(REGEXREPLACE(B4627&amp;"" ""&amp;C4627,""[^а-яa-z0-9 ]"","" ""))")," армит супница                  350 330 370 мм  10 л  0 4 к т  220    ")</f>
        <v> армит супница                  350 330 370 мм  10 л  0 4 к т  220    </v>
      </c>
    </row>
    <row r="4628">
      <c r="A4628" s="35" t="s">
        <v>11108</v>
      </c>
      <c r="B4628" s="31" t="s">
        <v>11109</v>
      </c>
      <c r="C4628" s="31"/>
      <c r="D4628" s="37" t="s">
        <v>14</v>
      </c>
      <c r="E4628" s="10"/>
      <c r="F4628" s="39">
        <v>5.5</v>
      </c>
      <c r="G4628" s="11">
        <v>45709.0</v>
      </c>
      <c r="H4628" s="34" t="str">
        <f>IFERROR(__xludf.DUMMYFUNCTION("LOWER(REGEXREPLACE(B4628&amp;"" ""&amp;C4628,""[^а-яa-z0-9 ]"","" ""))")," армит супница  irhot    6000  335x335x370 мм  9 л  0 4 к т  220    ")</f>
        <v> армит супница  irhot    6000  335x335x370 мм  9 л  0 4 к т  220    </v>
      </c>
    </row>
    <row r="4629">
      <c r="A4629" s="35" t="s">
        <v>11110</v>
      </c>
      <c r="B4629" s="31" t="s">
        <v>11111</v>
      </c>
      <c r="C4629" s="31"/>
      <c r="D4629" s="37" t="s">
        <v>14</v>
      </c>
      <c r="E4629" s="10"/>
      <c r="F4629" s="39">
        <v>8.1</v>
      </c>
      <c r="G4629" s="11">
        <v>114547.0</v>
      </c>
      <c r="H4629" s="34" t="str">
        <f>IFERROR(__xludf.DUMMYFUNCTION("LOWER(REGEXREPLACE(B4629&amp;"" ""&amp;C4629,""[^а-яa-z0-9 ]"","" ""))")," армит электрический настольный              100   622х360х235 мм  1 6 к т  220  т  ")</f>
        <v> армит электрический настольный              100   622х360х235 мм  1 6 к т  220  т  </v>
      </c>
    </row>
    <row r="4630">
      <c r="A4630" s="35" t="s">
        <v>11112</v>
      </c>
      <c r="B4630" s="31" t="s">
        <v>11113</v>
      </c>
      <c r="C4630" s="31"/>
      <c r="D4630" s="37" t="s">
        <v>14</v>
      </c>
      <c r="E4630" s="10"/>
      <c r="F4630" s="39">
        <v>7.8</v>
      </c>
      <c r="G4630" s="11">
        <v>67612.0</v>
      </c>
      <c r="H4630" s="34" t="str">
        <f>IFERROR(__xludf.DUMMYFUNCTION("LOWER(REGEXREPLACE(B4630&amp;"" ""&amp;C4630,""[^а-яa-z0-9 ]"","" ""))")," армит электрический настольный           11 без гастроемкости  600x338x243 мм  1 2 к т  220    ")</f>
        <v> армит электрический настольный           11 без гастроемкости  600x338x243 мм  1 2 к т  220    </v>
      </c>
    </row>
    <row r="4631">
      <c r="A4631" s="35" t="s">
        <v>11114</v>
      </c>
      <c r="B4631" s="9" t="s">
        <v>11115</v>
      </c>
      <c r="C4631" s="31"/>
      <c r="D4631" s="37" t="s">
        <v>14</v>
      </c>
      <c r="E4631" s="10"/>
      <c r="F4631" s="40">
        <v>14.73</v>
      </c>
      <c r="G4631" s="11">
        <v>85531.0</v>
      </c>
      <c r="H4631" s="34" t="str">
        <f>IFERROR(__xludf.DUMMYFUNCTION("LOWER(REGEXREPLACE(B4631&amp;"" ""&amp;C4631,""[^а-яa-z0-9 ]"","" ""))")," ечь микроволновая                   900  483x400x281 мм  220    1 4 к т  ")</f>
        <v> ечь микроволновая                   900  483x400x281 мм  220    1 4 к т  </v>
      </c>
    </row>
    <row r="4632">
      <c r="A4632" s="35" t="s">
        <v>11116</v>
      </c>
      <c r="B4632" s="9" t="s">
        <v>11117</v>
      </c>
      <c r="C4632" s="31"/>
      <c r="D4632" s="37" t="s">
        <v>14</v>
      </c>
      <c r="E4632" s="10"/>
      <c r="F4632" s="38">
        <v>18.0</v>
      </c>
      <c r="G4632" s="11">
        <v>87880.0</v>
      </c>
      <c r="H4632" s="34" t="str">
        <f>IFERROR(__xludf.DUMMYFUNCTION("LOWER(REGEXREPLACE(B4632&amp;"" ""&amp;C4632,""[^а-яa-z0-9 ]"","" ""))")," ечь микроволновая              900 25     483х424х281 мм  0 9 к т  220    6 уровней мощности  25 л  ")</f>
        <v> ечь микроволновая              900 25     483х424х281 мм  0 9 к т  220    6 уровней мощности  25 л  </v>
      </c>
    </row>
    <row r="4633">
      <c r="A4633" s="35" t="s">
        <v>11118</v>
      </c>
      <c r="B4633" s="31" t="s">
        <v>11119</v>
      </c>
      <c r="C4633" s="31"/>
      <c r="D4633" s="37" t="s">
        <v>14</v>
      </c>
      <c r="E4633" s="10"/>
      <c r="F4633" s="38">
        <v>23.0</v>
      </c>
      <c r="G4633" s="11">
        <v>104605.0</v>
      </c>
      <c r="H4633" s="34" t="str">
        <f>IFERROR(__xludf.DUMMYFUNCTION("LOWER(REGEXREPLACE(B4633&amp;"" ""&amp;C4633,""[^а-яa-z0-9 ]"","" ""))")," итрина тепловая               2  660x466x610  220    0 84 к т  ")</f>
        <v> итрина тепловая               2  660x466x610  220    0 84 к т  </v>
      </c>
    </row>
    <row r="4634">
      <c r="A4634" s="35" t="s">
        <v>11120</v>
      </c>
      <c r="B4634" s="31" t="s">
        <v>11121</v>
      </c>
      <c r="C4634" s="31"/>
      <c r="D4634" s="37" t="s">
        <v>14</v>
      </c>
      <c r="E4634" s="10"/>
      <c r="F4634" s="39">
        <v>35.6</v>
      </c>
      <c r="G4634" s="11">
        <v>182973.0</v>
      </c>
      <c r="H4634" s="34" t="str">
        <f>IFERROR(__xludf.DUMMYFUNCTION("LOWER(REGEXREPLACE(B4634&amp;"" ""&amp;C4634,""[^а-яa-z0-9 ]"","" ""))")," итрина тепловая               30   970x430x620  220    1 2 к т  35 кг  ")</f>
        <v> итрина тепловая               30   970x430x620  220    1 2 к т  35 кг  </v>
      </c>
    </row>
    <row r="4635">
      <c r="A4635" s="35" t="s">
        <v>11122</v>
      </c>
      <c r="B4635" s="31" t="s">
        <v>11123</v>
      </c>
      <c r="C4635" s="31" t="s">
        <v>11124</v>
      </c>
      <c r="D4635" s="37" t="s">
        <v>14</v>
      </c>
      <c r="E4635" s="10"/>
      <c r="F4635" s="38">
        <v>84.0</v>
      </c>
      <c r="G4635" s="11">
        <v>564539.0</v>
      </c>
      <c r="H4635" s="34" t="str">
        <f>IFERROR(__xludf.DUMMYFUNCTION("LOWER(REGEXREPLACE(B4635&amp;"" ""&amp;C4635,""[^а-яa-z0-9 ]"","" ""))"),"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"&amp;"для выкладки блюд   аправляющие для подносов входят в комплект поставки ")</f>
        <v>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для выкладки блюд   аправляющие для подносов входят в комплект поставки </v>
      </c>
    </row>
    <row r="4636">
      <c r="A4636" s="35" t="s">
        <v>11125</v>
      </c>
      <c r="B4636" s="31" t="s">
        <v>11126</v>
      </c>
      <c r="C4636" s="31" t="s">
        <v>11127</v>
      </c>
      <c r="D4636" s="37" t="s">
        <v>14</v>
      </c>
      <c r="E4636" s="10"/>
      <c r="F4636" s="38">
        <v>92.0</v>
      </c>
      <c r="G4636" s="11">
        <v>741229.0</v>
      </c>
      <c r="H4636" s="34" t="str">
        <f>IFERROR(__xludf.DUMMYFUNCTION("LOWER(REGEXREPLACE(B4636&amp;"" ""&amp;C4636,""[^а-яa-z0-9 ]"","" ""))"),"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регу"&amp;"лировкой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f>
        <v>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v>
      </c>
    </row>
    <row r="4637">
      <c r="A4637" s="35" t="s">
        <v>11128</v>
      </c>
      <c r="B4637" s="31" t="s">
        <v>11129</v>
      </c>
      <c r="C4637" s="31"/>
      <c r="D4637" s="37" t="s">
        <v>14</v>
      </c>
      <c r="E4637" s="10"/>
      <c r="F4637" s="38">
        <v>109.0</v>
      </c>
      <c r="G4637" s="11">
        <v>1156071.0</v>
      </c>
      <c r="H4637" s="34" t="str">
        <f>IFERROR(__xludf.DUMMYFUNCTION("LOWER(REGEXREPLACE(B4637&amp;"" ""&amp;C4637,""[^а-яa-z0-9 ]"","" ""))")," армит 1 х и 2 х блюд     70     1500х705 1030х1485     8 л ")</f>
        <v> армит 1 х и 2 х блюд     70     1500х705 1030х1485     8 л </v>
      </c>
    </row>
    <row r="4638">
      <c r="A4638" s="35" t="s">
        <v>11130</v>
      </c>
      <c r="B4638" s="31" t="s">
        <v>11131</v>
      </c>
      <c r="C4638" s="31"/>
      <c r="D4638" s="37" t="s">
        <v>14</v>
      </c>
      <c r="E4638" s="10"/>
      <c r="F4638" s="38">
        <v>115.0</v>
      </c>
      <c r="G4638" s="11">
        <v>996429.0</v>
      </c>
      <c r="H4638" s="34" t="str">
        <f>IFERROR(__xludf.DUMMYFUNCTION("LOWER(REGEXREPLACE(B4638&amp;"" ""&amp;C4638,""[^а-яa-z0-9 ]"","" ""))")," армит 2 х блюд      70   80  1500х705 1030х1482  ")</f>
        <v> армит 2 х блюд      70   80  1500х705 1030х1482  </v>
      </c>
    </row>
    <row r="4639">
      <c r="A4639" s="35" t="s">
        <v>11132</v>
      </c>
      <c r="B4639" s="31" t="s">
        <v>11133</v>
      </c>
      <c r="C4639" s="31"/>
      <c r="D4639" s="37" t="s">
        <v>14</v>
      </c>
      <c r="E4639" s="10"/>
      <c r="F4639" s="38">
        <v>115.0</v>
      </c>
      <c r="G4639" s="11">
        <v>1136607.0</v>
      </c>
      <c r="H4639" s="34" t="str">
        <f>IFERROR(__xludf.DUMMYFUNCTION("LOWER(REGEXREPLACE(B4639&amp;"" ""&amp;C4639,""[^а-яa-z0-9 ]"","" ""))")," армит 2 х блюд     70   01 паровой  две полки  подсветка  с гастроемкостями  1120 мм  ")</f>
        <v> армит 2 х блюд     70   01 паровой  две полки  подсветка  с гастроемкостями  1120 мм  </v>
      </c>
    </row>
    <row r="4640">
      <c r="A4640" s="35" t="s">
        <v>11134</v>
      </c>
      <c r="B4640" s="31" t="s">
        <v>11135</v>
      </c>
      <c r="C4640" s="31"/>
      <c r="D4640" s="37" t="s">
        <v>14</v>
      </c>
      <c r="E4640" s="10"/>
      <c r="F4640" s="38">
        <v>77.0</v>
      </c>
      <c r="G4640" s="11">
        <v>549443.0</v>
      </c>
      <c r="H4640" s="34" t="str">
        <f>IFERROR(__xludf.DUMMYFUNCTION("LOWER(REGEXREPLACE(B4640&amp;"" ""&amp;C4640,""[^а-яa-z0-9 ]"","" ""))")," армит 1 х блюд      70    1120х705 1030х1240  ")</f>
        <v> армит 1 х блюд      70    1120х705 1030х1240  </v>
      </c>
    </row>
    <row r="4641">
      <c r="A4641" s="35" t="s">
        <v>11136</v>
      </c>
      <c r="B4641" s="31" t="s">
        <v>11137</v>
      </c>
      <c r="C4641" s="31"/>
      <c r="D4641" s="37" t="s">
        <v>14</v>
      </c>
      <c r="E4641" s="10"/>
      <c r="F4641" s="36"/>
      <c r="G4641" s="11"/>
      <c r="H4641" s="34" t="str">
        <f>IFERROR(__xludf.DUMMYFUNCTION("LOWER(REGEXREPLACE(B4641&amp;"" ""&amp;C4641,""[^а-яa-z0-9 ]"","" ""))")," армит ")</f>
        <v> армит </v>
      </c>
    </row>
    <row r="4642">
      <c r="A4642" s="35" t="s">
        <v>11138</v>
      </c>
      <c r="B4642" s="9" t="s">
        <v>11139</v>
      </c>
      <c r="C4642" s="31"/>
      <c r="D4642" s="37" t="s">
        <v>14</v>
      </c>
      <c r="E4642" s="10"/>
      <c r="F4642" s="38">
        <v>92.0</v>
      </c>
      <c r="G4642" s="11">
        <v>1116093.0</v>
      </c>
      <c r="H4642" s="34" t="str">
        <f>IFERROR(__xludf.DUMMYFUNCTION("LOWER(REGEXREPLACE(B4642&amp;"" ""&amp;C4642,""[^а-яa-z0-9 ]"","" ""))")," армит 2 х блюд      70   60  1120х705 1030х1482  ")</f>
        <v> армит 2 х блюд      70   60  1120х705 1030х1482  </v>
      </c>
    </row>
    <row r="4643">
      <c r="A4643" s="35" t="s">
        <v>11140</v>
      </c>
      <c r="B4643" s="9" t="s">
        <v>11141</v>
      </c>
      <c r="C4643" s="31"/>
      <c r="D4643" s="37" t="s">
        <v>14</v>
      </c>
      <c r="E4643" s="10"/>
      <c r="F4643" s="38">
        <v>115.0</v>
      </c>
      <c r="G4643" s="11">
        <v>1507270.0</v>
      </c>
      <c r="H4643" s="34" t="str">
        <f>IFERROR(__xludf.DUMMYFUNCTION("LOWER(REGEXREPLACE(B4643&amp;"" ""&amp;C4643,""[^а-яa-z0-9 ]"","" ""))")," армит 2 х блюд паровой 1500х700 1000 х1500  2 полки  гастроемкости  подсветка   ощность 2 5 к т      70   01 ")</f>
        <v> армит 2 х блюд паровой 1500х700 1000 х1500  2 полки  гастроемкости  подсветка   ощность 2 5 к т      70   01 </v>
      </c>
    </row>
    <row r="4644">
      <c r="A4644" s="35" t="s">
        <v>11142</v>
      </c>
      <c r="B4644" s="31" t="s">
        <v>11143</v>
      </c>
      <c r="C4644" s="31"/>
      <c r="D4644" s="37" t="s">
        <v>14</v>
      </c>
      <c r="E4644" s="10"/>
      <c r="F4644" s="38">
        <v>77.0</v>
      </c>
      <c r="G4644" s="11">
        <v>1084834.0</v>
      </c>
      <c r="H4644" s="34" t="str">
        <f>IFERROR(__xludf.DUMMYFUNCTION("LOWER(REGEXREPLACE(B4644&amp;"" ""&amp;C4644,""[^а-яa-z0-9 ]"","" ""))")," армит 1 х блюд  1100х700 1000 х1220  одна полка  подсветка   ощность 4 к т       70   ")</f>
        <v> армит 1 х блюд  1100х700 1000 х1220  одна полка  подсветка   ощность 4 к т       70   </v>
      </c>
    </row>
    <row r="4645">
      <c r="A4645" s="35" t="s">
        <v>11144</v>
      </c>
      <c r="B4645" s="31" t="s">
        <v>11145</v>
      </c>
      <c r="C4645" s="31"/>
      <c r="D4645" s="37" t="s">
        <v>14</v>
      </c>
      <c r="E4645" s="10"/>
      <c r="F4645" s="38">
        <v>71.0</v>
      </c>
      <c r="G4645" s="11">
        <v>1565490.0</v>
      </c>
      <c r="H4645" s="34" t="str">
        <f>IFERROR(__xludf.DUMMYFUNCTION("LOWER(REGEXREPLACE(B4645&amp;"" ""&amp;C4645,""[^а-яa-z0-9 ]"","" ""))")," армит паровой     909   размеры 800х900х920 мм  мощность 6 к т  напряжение 380   ")</f>
        <v> армит паровой     909   размеры 800х900х920 мм  мощность 6 к т  напряжение 380   </v>
      </c>
    </row>
    <row r="4646">
      <c r="A4646" s="35" t="s">
        <v>11146</v>
      </c>
      <c r="B4646" s="31" t="s">
        <v>11147</v>
      </c>
      <c r="C4646" s="31"/>
      <c r="D4646" s="37" t="s">
        <v>14</v>
      </c>
      <c r="E4646" s="10"/>
      <c r="F4646" s="39">
        <v>16.5</v>
      </c>
      <c r="G4646" s="11">
        <v>199267.0</v>
      </c>
      <c r="H4646" s="34" t="str">
        <f>IFERROR(__xludf.DUMMYFUNCTION("LOWER(REGEXREPLACE(B4646&amp;"" ""&amp;C4646,""[^а-яa-z0-9 ]"","" ""))")," армит паровой настольный электрический    4   размеры 700х600х280 мм  мощность 1 5 к т  напряжение 220   ")</f>
        <v> армит паровой настольный электрический    4   размеры 700х600х280 мм  мощность 1 5 к т  напряжение 220   </v>
      </c>
    </row>
    <row r="4647">
      <c r="A4647" s="35" t="s">
        <v>11148</v>
      </c>
      <c r="B4647" s="31" t="s">
        <v>11149</v>
      </c>
      <c r="C4647" s="31"/>
      <c r="D4647" s="37" t="s">
        <v>14</v>
      </c>
      <c r="E4647" s="10"/>
      <c r="F4647" s="38">
        <v>19.0</v>
      </c>
      <c r="G4647" s="11">
        <v>234733.0</v>
      </c>
      <c r="H4647" s="34" t="str">
        <f>IFERROR(__xludf.DUMMYFUNCTION("LOWER(REGEXREPLACE(B4647&amp;"" ""&amp;C4647,""[^а-яa-z0-9 ]"","" ""))")," армит паровой настольный электрический    6   размеры 700х590х275 мм  мощность 1 5 к т  напряжение 220   ")</f>
        <v> армит паровой настольный электрический    6   размеры 700х590х275 мм  мощность 1 5 к т  напряжение 220   </v>
      </c>
    </row>
    <row r="4648">
      <c r="A4648" s="35" t="s">
        <v>11150</v>
      </c>
      <c r="B4648" s="31" t="s">
        <v>11151</v>
      </c>
      <c r="C4648" s="31"/>
      <c r="D4648" s="37" t="s">
        <v>14</v>
      </c>
      <c r="E4648" s="10"/>
      <c r="F4648" s="38">
        <v>142.0</v>
      </c>
      <c r="G4648" s="11"/>
      <c r="H4648" s="34" t="str">
        <f>IFERROR(__xludf.DUMMYFUNCTION("LOWER(REGEXREPLACE(B4648&amp;"" ""&amp;C4648,""[^а-яa-z0-9 ]"","" ""))")," итрина тепловая ")</f>
        <v> итрина тепловая </v>
      </c>
    </row>
    <row r="4649">
      <c r="A4649" s="35" t="s">
        <v>11152</v>
      </c>
      <c r="B4649" s="31" t="s">
        <v>11153</v>
      </c>
      <c r="C4649" s="31"/>
      <c r="D4649" s="37" t="s">
        <v>14</v>
      </c>
      <c r="E4649" s="10"/>
      <c r="F4649" s="38">
        <v>142.0</v>
      </c>
      <c r="G4649" s="11">
        <v>1130562.0</v>
      </c>
      <c r="H4649" s="34" t="str">
        <f>IFERROR(__xludf.DUMMYFUNCTION("LOWER(REGEXREPLACE(B4649&amp;"" ""&amp;C4649,""[^а-яa-z0-9 ]"","" ""))")," итрина тепловая     70    размеры 1120х705 1030х1720 мм  мощность 1 37 к т  напряжение 220   ")</f>
        <v> итрина тепловая     70    размеры 1120х705 1030х1720 мм  мощность 1 37 к т  напряжение 220   </v>
      </c>
    </row>
    <row r="4650">
      <c r="A4650" s="35" t="s">
        <v>11154</v>
      </c>
      <c r="B4650" s="31" t="s">
        <v>11155</v>
      </c>
      <c r="C4650" s="31"/>
      <c r="D4650" s="37" t="s">
        <v>14</v>
      </c>
      <c r="E4650" s="10"/>
      <c r="F4650" s="38">
        <v>106.0</v>
      </c>
      <c r="G4650" s="11">
        <v>851635.0</v>
      </c>
      <c r="H4650" s="34" t="str">
        <f>IFERROR(__xludf.DUMMYFUNCTION("LOWER(REGEXREPLACE(B4650&amp;"" ""&amp;C4650,""[^а-яa-z0-9 ]"","" ""))")," итрина тепловая     90     размеры 900х530х730 мм  мощность 1 3 к т  напряжение 220   ")</f>
        <v> итрина тепловая     90     размеры 900х530х730 мм  мощность 1 3 к т  напряжение 220   </v>
      </c>
    </row>
    <row r="4651">
      <c r="A4651" s="35" t="s">
        <v>11156</v>
      </c>
      <c r="B4651" s="31" t="s">
        <v>11157</v>
      </c>
      <c r="C4651" s="31"/>
      <c r="D4651" s="37" t="s">
        <v>14</v>
      </c>
      <c r="E4651" s="10"/>
      <c r="F4651" s="38">
        <v>130.0</v>
      </c>
      <c r="G4651" s="11">
        <v>978813.0</v>
      </c>
      <c r="H4651" s="34" t="str">
        <f>IFERROR(__xludf.DUMMYFUNCTION("LOWER(REGEXREPLACE(B4651&amp;"" ""&amp;C4651,""[^а-яa-z0-9 ]"","" ""))")," итрина тепловая     120     размеры 1200х530х730 мм  мощность 1 3 к т  напряжение 220   ")</f>
        <v> итрина тепловая     120     размеры 1200х530х730 мм  мощность 1 3 к т  напряжение 220   </v>
      </c>
    </row>
    <row r="4652">
      <c r="A4652" s="35" t="s">
        <v>11158</v>
      </c>
      <c r="B4652" s="31" t="s">
        <v>11159</v>
      </c>
      <c r="C4652" s="31"/>
      <c r="D4652" s="37" t="s">
        <v>14</v>
      </c>
      <c r="E4652" s="10"/>
      <c r="F4652" s="38">
        <v>128.0</v>
      </c>
      <c r="G4652" s="11"/>
      <c r="H4652" s="34" t="str">
        <f>IFERROR(__xludf.DUMMYFUNCTION("LOWER(REGEXREPLACE(B4652&amp;"" ""&amp;C4652,""[^а-яa-z0-9 ]"","" ""))")," коворода ")</f>
        <v> коворода </v>
      </c>
    </row>
    <row r="4653">
      <c r="A4653" s="35" t="s">
        <v>11160</v>
      </c>
      <c r="B4653" s="31" t="s">
        <v>11161</v>
      </c>
      <c r="C4653" s="31"/>
      <c r="D4653" s="37" t="s">
        <v>14</v>
      </c>
      <c r="E4653" s="10"/>
      <c r="F4653" s="38">
        <v>128.0</v>
      </c>
      <c r="G4653" s="11">
        <v>1304589.0</v>
      </c>
      <c r="H4653" s="34" t="str">
        <f>IFERROR(__xludf.DUMMYFUNCTION("LOWER(REGEXREPLACE(B4653&amp;"" ""&amp;C4653,""[^а-яa-z0-9 ]"","" ""))")," коворода электрическая     90 0 47 70  размеры 840х1045х940 мм  мощность 12 к т  напряжение 380   ")</f>
        <v> коворода электрическая     90 0 47 70  размеры 840х1045х940 мм  мощность 12 к т  напряжение 380   </v>
      </c>
    </row>
    <row r="4654">
      <c r="A4654" s="35" t="s">
        <v>11162</v>
      </c>
      <c r="B4654" s="31" t="s">
        <v>11163</v>
      </c>
      <c r="C4654" s="31"/>
      <c r="D4654" s="37" t="s">
        <v>14</v>
      </c>
      <c r="E4654" s="10"/>
      <c r="F4654" s="38">
        <v>128.0</v>
      </c>
      <c r="G4654" s="11">
        <v>2738856.0</v>
      </c>
      <c r="H4654" s="34" t="str">
        <f>IFERROR(__xludf.DUMMYFUNCTION("LOWER(REGEXREPLACE(B4654&amp;"" ""&amp;C4654,""[^а-яa-z0-9 ]"","" ""))")," коворода электрическая      80  размеры 800х900х920 мм  мощность 12 к т  напряжение 380   ")</f>
        <v> коворода электрическая      80  размеры 800х900х920 мм  мощность 12 к т  напряжение 380   </v>
      </c>
    </row>
    <row r="4655">
      <c r="A4655" s="35" t="s">
        <v>11164</v>
      </c>
      <c r="B4655" s="31" t="s">
        <v>11165</v>
      </c>
      <c r="C4655" s="31"/>
      <c r="D4655" s="37" t="s">
        <v>14</v>
      </c>
      <c r="E4655" s="38">
        <v>2.0</v>
      </c>
      <c r="F4655" s="38">
        <v>175.0</v>
      </c>
      <c r="G4655" s="11">
        <v>768970.0</v>
      </c>
      <c r="H4655" s="34" t="str">
        <f>IFERROR(__xludf.DUMMYFUNCTION("LOWER(REGEXREPLACE(B4655&amp;"" ""&amp;C4655,""[^а-яa-z0-9 ]"","" ""))")," коворода электрическая     80 0 27 40    размеры 800х899х950 мм  мощность 9 к т  напряжение 380   ")</f>
        <v> коворода электрическая     80 0 27 40    размеры 800х899х950 мм  мощность 9 к т  напряжение 380   </v>
      </c>
    </row>
    <row r="4656">
      <c r="A4656" s="35" t="s">
        <v>11166</v>
      </c>
      <c r="B4656" s="31" t="s">
        <v>11167</v>
      </c>
      <c r="C4656" s="31"/>
      <c r="D4656" s="37" t="s">
        <v>14</v>
      </c>
      <c r="E4656" s="38">
        <v>2.0</v>
      </c>
      <c r="F4656" s="38">
        <v>150.0</v>
      </c>
      <c r="G4656" s="11">
        <v>711472.0</v>
      </c>
      <c r="H4656" s="34" t="str">
        <f>IFERROR(__xludf.DUMMYFUNCTION("LOWER(REGEXREPLACE(B4656&amp;"" ""&amp;C4656,""[^а-яa-z0-9 ]"","" ""))")," коворода электрическая     90 0 27 40  размеры 840х1050х940 мм  мощность 9 к т  напряжение 380   ")</f>
        <v> коворода электрическая     90 0 27 40  размеры 840х1050х940 мм  мощность 9 к т  напряжение 380   </v>
      </c>
    </row>
    <row r="4657">
      <c r="A4657" s="35" t="s">
        <v>11168</v>
      </c>
      <c r="B4657" s="31" t="s">
        <v>11169</v>
      </c>
      <c r="C4657" s="31"/>
      <c r="D4657" s="37" t="s">
        <v>14</v>
      </c>
      <c r="E4657" s="38">
        <v>2.0</v>
      </c>
      <c r="F4657" s="38">
        <v>209.0</v>
      </c>
      <c r="G4657" s="11">
        <v>1135586.0</v>
      </c>
      <c r="H4657" s="34" t="str">
        <f>IFERROR(__xludf.DUMMYFUNCTION("LOWER(REGEXREPLACE(B4657&amp;"" ""&amp;C4657,""[^а-яa-z0-9 ]"","" ""))")," коворода электрическая     90 0 67 120  размеры 1202х1045х940 мм  мощность 15 к т  напряжение 380   ")</f>
        <v> коворода электрическая     90 0 67 120  размеры 1202х1045х940 мм  мощность 15 к т  напряжение 380   </v>
      </c>
    </row>
    <row r="4658">
      <c r="A4658" s="35" t="s">
        <v>11170</v>
      </c>
      <c r="B4658" s="31" t="s">
        <v>11171</v>
      </c>
      <c r="C4658" s="31"/>
      <c r="D4658" s="37" t="s">
        <v>14</v>
      </c>
      <c r="E4658" s="38">
        <v>2.0</v>
      </c>
      <c r="F4658" s="38">
        <v>226.0</v>
      </c>
      <c r="G4658" s="11">
        <v>592546.0</v>
      </c>
      <c r="H4658" s="34" t="str">
        <f>IFERROR(__xludf.DUMMYFUNCTION("LOWER(REGEXREPLACE(B4658&amp;"" ""&amp;C4658,""[^а-яa-z0-9 ]"","" ""))")," коворода электрическая     0 45  размеры 1430х850 900 х820 840 мм  мощность 12к т  напряжение 380  ")</f>
        <v> коворода электрическая     0 45  размеры 1430х850 900 х820 840 мм  мощность 12к т  напряжение 380  </v>
      </c>
    </row>
    <row r="4659">
      <c r="A4659" s="35" t="s">
        <v>11172</v>
      </c>
      <c r="B4659" s="31" t="s">
        <v>11173</v>
      </c>
      <c r="C4659" s="31"/>
      <c r="D4659" s="37" t="s">
        <v>14</v>
      </c>
      <c r="E4659" s="10"/>
      <c r="F4659" s="36"/>
      <c r="G4659" s="11"/>
      <c r="H4659" s="34" t="str">
        <f>IFERROR(__xludf.DUMMYFUNCTION("LOWER(REGEXREPLACE(B4659&amp;"" ""&amp;C4659,""[^а-яa-z0-9 ]"","" ""))")," астоварка электрическая ")</f>
        <v> астоварка электрическая </v>
      </c>
    </row>
    <row r="4660">
      <c r="A4660" s="35" t="s">
        <v>11174</v>
      </c>
      <c r="B4660" s="31" t="s">
        <v>11175</v>
      </c>
      <c r="C4660" s="31"/>
      <c r="D4660" s="37" t="s">
        <v>14</v>
      </c>
      <c r="E4660" s="10"/>
      <c r="F4660" s="38">
        <v>70.0</v>
      </c>
      <c r="G4660" s="11">
        <v>1724961.0</v>
      </c>
      <c r="H4660" s="34" t="str">
        <f>IFERROR(__xludf.DUMMYFUNCTION("LOWER(REGEXREPLACE(B4660&amp;"" ""&amp;C4660,""[^а-яa-z0-9 ]"","" ""))")," астоварка электрическая     915   размеры 800х900х920 мм  мощность 18 к т  напряжение 380   ")</f>
        <v> астоварка электрическая     915   размеры 800х900х920 мм  мощность 18 к т  напряжение 380   </v>
      </c>
    </row>
    <row r="4661">
      <c r="A4661" s="35" t="s">
        <v>11176</v>
      </c>
      <c r="B4661" s="31" t="s">
        <v>11177</v>
      </c>
      <c r="C4661" s="31"/>
      <c r="D4661" s="37" t="s">
        <v>14</v>
      </c>
      <c r="E4661" s="10"/>
      <c r="F4661" s="38">
        <v>70.0</v>
      </c>
      <c r="G4661" s="11">
        <v>1557951.0</v>
      </c>
      <c r="H4661" s="34" t="str">
        <f>IFERROR(__xludf.DUMMYFUNCTION("LOWER(REGEXREPLACE(B4661&amp;"" ""&amp;C4661,""[^а-яa-z0-9 ]"","" ""))")," астоварка электрическая     910   размеры 800х900х920 мм  мощность 18 к т  напряжение 380   ")</f>
        <v> астоварка электрическая     910   размеры 800х900х920 мм  мощность 18 к т  напряжение 380   </v>
      </c>
    </row>
    <row r="4662">
      <c r="A4662" s="35" t="s">
        <v>11178</v>
      </c>
      <c r="B4662" s="31" t="s">
        <v>11179</v>
      </c>
      <c r="C4662" s="31"/>
      <c r="D4662" s="37" t="s">
        <v>14</v>
      </c>
      <c r="E4662" s="10"/>
      <c r="F4662" s="36"/>
      <c r="G4662" s="11"/>
      <c r="H4662" s="34" t="str">
        <f>IFERROR(__xludf.DUMMYFUNCTION("LOWER(REGEXREPLACE(B4662&amp;"" ""&amp;C4662,""[^а-яa-z0-9 ]"","" ""))")," риль ")</f>
        <v> риль </v>
      </c>
    </row>
    <row r="4663">
      <c r="A4663" s="35" t="s">
        <v>11180</v>
      </c>
      <c r="B4663" s="31" t="s">
        <v>11181</v>
      </c>
      <c r="C4663" s="31"/>
      <c r="D4663" s="37" t="s">
        <v>14</v>
      </c>
      <c r="E4663" s="10"/>
      <c r="F4663" s="38">
        <v>128.0</v>
      </c>
      <c r="G4663" s="11">
        <v>1573720.0</v>
      </c>
      <c r="H4663" s="34" t="str">
        <f>IFERROR(__xludf.DUMMYFUNCTION("LOWER(REGEXREPLACE(B4663&amp;"" ""&amp;C4663,""[^а-яa-z0-9 ]"","" ""))")," риль лавовый электрический     907   размеры 800х900х920 мм  мощность 12 к т  напряжение 380   ")</f>
        <v> риль лавовый электрический     907   размеры 800х900х920 мм  мощность 12 к т  напряжение 380   </v>
      </c>
    </row>
    <row r="4664">
      <c r="A4664" s="35" t="s">
        <v>11182</v>
      </c>
      <c r="B4664" s="31" t="s">
        <v>11183</v>
      </c>
      <c r="C4664" s="31"/>
      <c r="D4664" s="37" t="s">
        <v>14</v>
      </c>
      <c r="E4664" s="10"/>
      <c r="F4664" s="36"/>
      <c r="G4664" s="11"/>
      <c r="H4664" s="34" t="str">
        <f>IFERROR(__xludf.DUMMYFUNCTION("LOWER(REGEXREPLACE(B4664&amp;"" ""&amp;C4664,""[^а-яa-z0-9 ]"","" ""))")," оверхность жарочная ")</f>
        <v> оверхность жарочная </v>
      </c>
    </row>
    <row r="4665">
      <c r="A4665" s="35" t="s">
        <v>11184</v>
      </c>
      <c r="B4665" s="31" t="s">
        <v>11185</v>
      </c>
      <c r="C4665" s="31"/>
      <c r="D4665" s="37" t="s">
        <v>14</v>
      </c>
      <c r="E4665" s="10"/>
      <c r="F4665" s="38">
        <v>121.0</v>
      </c>
      <c r="G4665" s="11">
        <v>2013920.0</v>
      </c>
      <c r="H4665" s="34" t="str">
        <f>IFERROR(__xludf.DUMMYFUNCTION("LOWER(REGEXREPLACE(B4665&amp;"" ""&amp;C4665,""[^а-яa-z0-9 ]"","" ""))")," оверхность жарочная комбинированная  электрическая     913   размеры 800х900х920 мм  мощность 16 8 к т  напряжение 380   ")</f>
        <v> оверхность жарочная комбинированная  электрическая     913   размеры 800х900х920 мм  мощность 16 8 к т  напряжение 380   </v>
      </c>
    </row>
    <row r="4666">
      <c r="A4666" s="35" t="s">
        <v>11186</v>
      </c>
      <c r="B4666" s="31" t="s">
        <v>11187</v>
      </c>
      <c r="C4666" s="31"/>
      <c r="D4666" s="37" t="s">
        <v>14</v>
      </c>
      <c r="E4666" s="10"/>
      <c r="F4666" s="36"/>
      <c r="G4666" s="11"/>
      <c r="H4666" s="34" t="str">
        <f>IFERROR(__xludf.DUMMYFUNCTION("LOWER(REGEXREPLACE(B4666&amp;"" ""&amp;C4666,""[^а-яa-z0-9 ]"","" ""))")," ритюрница ")</f>
        <v> ритюрница </v>
      </c>
    </row>
    <row r="4667">
      <c r="A4667" s="35" t="s">
        <v>11188</v>
      </c>
      <c r="B4667" s="31" t="s">
        <v>11189</v>
      </c>
      <c r="C4667" s="31"/>
      <c r="D4667" s="37" t="s">
        <v>14</v>
      </c>
      <c r="E4667" s="10"/>
      <c r="F4667" s="38">
        <v>49.0</v>
      </c>
      <c r="G4667" s="11">
        <v>876132.0</v>
      </c>
      <c r="H4667" s="34" t="str">
        <f>IFERROR(__xludf.DUMMYFUNCTION("LOWER(REGEXREPLACE(B4667&amp;"" ""&amp;C4667,""[^а-яa-z0-9 ]"","" ""))")," ритюрница электрическая    499  22  размеры 400х900х920 мм  объем 28 л  мощность 12 к т  напряжение 380   ")</f>
        <v> ритюрница электрическая    499  22  размеры 400х900х920 мм  объем 28 л  мощность 12 к т  напряжение 380   </v>
      </c>
    </row>
    <row r="4668">
      <c r="A4668" s="35" t="s">
        <v>11190</v>
      </c>
      <c r="B4668" s="31" t="s">
        <v>11191</v>
      </c>
      <c r="C4668" s="31"/>
      <c r="D4668" s="37" t="s">
        <v>14</v>
      </c>
      <c r="E4668" s="10"/>
      <c r="F4668" s="38">
        <v>102.0</v>
      </c>
      <c r="G4668" s="11">
        <v>1584571.0</v>
      </c>
      <c r="H4668" s="34" t="str">
        <f>IFERROR(__xludf.DUMMYFUNCTION("LOWER(REGEXREPLACE(B4668&amp;"" ""&amp;C4668,""[^а-яa-z0-9 ]"","" ""))")," ритюрница электрическая    899  22 22  размеры 800х900х920 мм  объем 22 л  мощность 24 к т  напряжение 380   ")</f>
        <v> ритюрница электрическая    899  22 22  размеры 800х900х920 мм  объем 22 л  мощность 24 к т  напряжение 380   </v>
      </c>
    </row>
    <row r="4669">
      <c r="A4669" s="35" t="s">
        <v>11192</v>
      </c>
      <c r="B4669" s="31" t="s">
        <v>11193</v>
      </c>
      <c r="C4669" s="31"/>
      <c r="D4669" s="37" t="s">
        <v>14</v>
      </c>
      <c r="E4669" s="10"/>
      <c r="F4669" s="38">
        <v>8.0</v>
      </c>
      <c r="G4669" s="11">
        <v>452520.0</v>
      </c>
      <c r="H4669" s="34" t="str">
        <f>IFERROR(__xludf.DUMMYFUNCTION("LOWER(REGEXREPLACE(B4669&amp;"" ""&amp;C4669,""[^а-яa-z0-9 ]"","" ""))")," ритюрница индукционная настольная     8  размеры 288x478x410 мм  объем 8 л  мощность 3 5 к т  напряжение 220   ")</f>
        <v> ритюрница индукционная настольная     8  размеры 288x478x410 мм  объем 8 л  мощность 3 5 к т  напряжение 220   </v>
      </c>
    </row>
    <row r="4670">
      <c r="A4670" s="35" t="s">
        <v>11194</v>
      </c>
      <c r="B4670" s="31" t="s">
        <v>11195</v>
      </c>
      <c r="C4670" s="31"/>
      <c r="D4670" s="37" t="s">
        <v>14</v>
      </c>
      <c r="E4670" s="10"/>
      <c r="F4670" s="38">
        <v>12.0</v>
      </c>
      <c r="G4670" s="11">
        <v>901300.0</v>
      </c>
      <c r="H4670" s="34" t="str">
        <f>IFERROR(__xludf.DUMMYFUNCTION("LOWER(REGEXREPLACE(B4670&amp;"" ""&amp;C4670,""[^а-яa-z0-9 ]"","" ""))")," ритюрница индукционная настольная     8 8  размеры 576x478x410 мм  объем 8 л  мощность 3 5 к т  напряжение 220   ")</f>
        <v> ритюрница индукционная настольная     8 8  размеры 576x478x410 мм  объем 8 л  мощность 3 5 к т  напряжение 220   </v>
      </c>
    </row>
    <row r="4671">
      <c r="A4671" s="35" t="s">
        <v>11196</v>
      </c>
      <c r="B4671" s="31" t="s">
        <v>11197</v>
      </c>
      <c r="C4671" s="31"/>
      <c r="D4671" s="37" t="s">
        <v>14</v>
      </c>
      <c r="E4671" s="10"/>
      <c r="F4671" s="36"/>
      <c r="G4671" s="11"/>
      <c r="H4671" s="34" t="str">
        <f>IFERROR(__xludf.DUMMYFUNCTION("LOWER(REGEXREPLACE(B4671&amp;"" ""&amp;C4671,""[^а-яa-z0-9 ]"","" ""))")," ележка тепловая ")</f>
        <v> ележка тепловая </v>
      </c>
    </row>
    <row r="4672">
      <c r="A4672" s="35" t="s">
        <v>11198</v>
      </c>
      <c r="B4672" s="31" t="s">
        <v>11199</v>
      </c>
      <c r="C4672" s="31"/>
      <c r="D4672" s="37" t="s">
        <v>14</v>
      </c>
      <c r="E4672" s="10"/>
      <c r="F4672" s="38">
        <v>56.0</v>
      </c>
      <c r="G4672" s="11">
        <v>1659414.0</v>
      </c>
      <c r="H4672" s="34" t="str">
        <f>IFERROR(__xludf.DUMMYFUNCTION("LOWER(REGEXREPLACE(B4672&amp;"" ""&amp;C4672,""[^а-яa-z0-9 ]"","" ""))")," ележка тепловая электрическая    11 21  размеры 780х960х1790 мм  мощность 2 52 к т  напряжение 220   ")</f>
        <v> ележка тепловая электрическая    11 21  размеры 780х960х1790 мм  мощность 2 52 к т  напряжение 220   </v>
      </c>
    </row>
    <row r="4673">
      <c r="A4673" s="35" t="s">
        <v>11200</v>
      </c>
      <c r="B4673" s="31" t="s">
        <v>11201</v>
      </c>
      <c r="C4673" s="31"/>
      <c r="D4673" s="37" t="s">
        <v>14</v>
      </c>
      <c r="E4673" s="10"/>
      <c r="F4673" s="38">
        <v>78.0</v>
      </c>
      <c r="G4673" s="11">
        <v>3029198.0</v>
      </c>
      <c r="H4673" s="34" t="str">
        <f>IFERROR(__xludf.DUMMYFUNCTION("LOWER(REGEXREPLACE(B4673&amp;"" ""&amp;C4673,""[^а-яa-z0-9 ]"","" ""))")," ележка тепловая электрическая    22 21  размеры 1580х960х1790 мм  мощность 2 52 к т  напряжение 220   ")</f>
        <v> ележка тепловая электрическая    22 21  размеры 1580х960х1790 мм  мощность 2 52 к т  напряжение 220   </v>
      </c>
    </row>
    <row r="4674">
      <c r="A4674" s="35" t="s">
        <v>11202</v>
      </c>
      <c r="B4674" s="31" t="s">
        <v>11203</v>
      </c>
      <c r="C4674" s="31"/>
      <c r="D4674" s="37" t="s">
        <v>14</v>
      </c>
      <c r="E4674" s="10"/>
      <c r="F4674" s="36"/>
      <c r="G4674" s="11"/>
      <c r="H4674" s="34" t="str">
        <f>IFERROR(__xludf.DUMMYFUNCTION("LOWER(REGEXREPLACE(B4674&amp;"" ""&amp;C4674,""[^а-яa-z0-9 ]"","" ""))")," лита индукционная ")</f>
        <v> лита индукционная </v>
      </c>
    </row>
    <row r="4675">
      <c r="A4675" s="35" t="s">
        <v>11204</v>
      </c>
      <c r="B4675" s="31" t="s">
        <v>11205</v>
      </c>
      <c r="C4675" s="31"/>
      <c r="D4675" s="37" t="s">
        <v>14</v>
      </c>
      <c r="E4675" s="10"/>
      <c r="F4675" s="39">
        <v>6.5</v>
      </c>
      <c r="G4675" s="11">
        <v>327267.0</v>
      </c>
      <c r="H4675" s="34" t="str">
        <f>IFERROR(__xludf.DUMMYFUNCTION("LOWER(REGEXREPLACE(B4675&amp;"" ""&amp;C4675,""[^а-яa-z0-9 ]"","" ""))")," лита индукционная настольная встраиваемая  1   размеры 360х420х105 мм  мощность 3 5 к т  напряжение 220   ")</f>
        <v> лита индукционная настольная встраиваемая  1   размеры 360х420х105 мм  мощность 3 5 к т  напряжение 220   </v>
      </c>
    </row>
    <row r="4676">
      <c r="A4676" s="35" t="s">
        <v>11206</v>
      </c>
      <c r="B4676" s="31" t="s">
        <v>11207</v>
      </c>
      <c r="C4676" s="31"/>
      <c r="D4676" s="37" t="s">
        <v>14</v>
      </c>
      <c r="E4676" s="10"/>
      <c r="F4676" s="39">
        <v>6.5</v>
      </c>
      <c r="G4676" s="11">
        <v>210724.0</v>
      </c>
      <c r="H4676" s="34" t="str">
        <f>IFERROR(__xludf.DUMMYFUNCTION("LOWER(REGEXREPLACE(B4676&amp;"" ""&amp;C4676,""[^а-яa-z0-9 ]"","" ""))")," лита индукционная настольная  2x1  размеры 360х420х125 мм  мощность 3 5 к т  напряжение 220   ")</f>
        <v> лита индукционная настольная  2x1  размеры 360х420х125 мм  мощность 3 5 к т  напряжение 220   </v>
      </c>
    </row>
    <row r="4677">
      <c r="A4677" s="35" t="s">
        <v>11208</v>
      </c>
      <c r="B4677" s="31" t="s">
        <v>11209</v>
      </c>
      <c r="C4677" s="31"/>
      <c r="D4677" s="37" t="s">
        <v>14</v>
      </c>
      <c r="E4677" s="10"/>
      <c r="F4677" s="39">
        <v>6.5</v>
      </c>
      <c r="G4677" s="11">
        <v>178967.0</v>
      </c>
      <c r="H4677" s="34" t="str">
        <f>IFERROR(__xludf.DUMMYFUNCTION("LOWER(REGEXREPLACE(B4677&amp;"" ""&amp;C4677,""[^а-яa-z0-9 ]"","" ""))")," лита индукционная настольная        3  размеры 360х440х135 мм  мощность 3 5 к т  напряжение 220   ")</f>
        <v> лита индукционная настольная        3  размеры 360х440х135 мм  мощность 3 5 к т  напряжение 220   </v>
      </c>
    </row>
    <row r="4678">
      <c r="A4678" s="35" t="s">
        <v>11210</v>
      </c>
      <c r="B4678" s="31" t="s">
        <v>11211</v>
      </c>
      <c r="C4678" s="31"/>
      <c r="D4678" s="37" t="s">
        <v>14</v>
      </c>
      <c r="E4678" s="10"/>
      <c r="F4678" s="38">
        <v>12.0</v>
      </c>
      <c r="G4678" s="11">
        <v>650483.0</v>
      </c>
      <c r="H4678" s="34" t="str">
        <f>IFERROR(__xludf.DUMMYFUNCTION("LOWER(REGEXREPLACE(B4678&amp;"" ""&amp;C4678,""[^а-яa-z0-9 ]"","" ""))")," лита индукционная настольная  2   размеры 400х830х200 мм  мощность 3 5 к т  напряжение 220   ")</f>
        <v> лита индукционная настольная  2   размеры 400х830х200 мм  мощность 3 5 к т  напряжение 220   </v>
      </c>
    </row>
    <row r="4679">
      <c r="A4679" s="35" t="s">
        <v>11212</v>
      </c>
      <c r="B4679" s="31" t="s">
        <v>11213</v>
      </c>
      <c r="C4679" s="31"/>
      <c r="D4679" s="37" t="s">
        <v>14</v>
      </c>
      <c r="E4679" s="10"/>
      <c r="F4679" s="38">
        <v>60.0</v>
      </c>
      <c r="G4679" s="11">
        <v>1297024.0</v>
      </c>
      <c r="H4679" s="34" t="str">
        <f>IFERROR(__xludf.DUMMYFUNCTION("LOWER(REGEXREPLACE(B4679&amp;"" ""&amp;C4679,""[^а-яa-z0-9 ]"","" ""))")," лита индукционная настольная  4   размеры 760х830х200 мм  мощность 3 5 к т  напряжение 380   ")</f>
        <v> лита индукционная настольная  4   размеры 760х830х200 мм  мощность 3 5 к т  напряжение 380   </v>
      </c>
    </row>
    <row r="4680">
      <c r="A4680" s="35" t="s">
        <v>11214</v>
      </c>
      <c r="B4680" s="31" t="s">
        <v>11215</v>
      </c>
      <c r="C4680" s="31"/>
      <c r="D4680" s="37" t="s">
        <v>14</v>
      </c>
      <c r="E4680" s="10"/>
      <c r="F4680" s="38">
        <v>79.0</v>
      </c>
      <c r="G4680" s="11">
        <v>1905669.0</v>
      </c>
      <c r="H4680" s="34" t="str">
        <f>IFERROR(__xludf.DUMMYFUNCTION("LOWER(REGEXREPLACE(B4680&amp;"" ""&amp;C4680,""[^а-яa-z0-9 ]"","" ""))")," лита индукционная настольная  6   размеры 1100х830х200 мм  мощность 3 5 к т  напряжение 380   ")</f>
        <v> лита индукционная настольная  6   размеры 1100х830х200 мм  мощность 3 5 к т  напряжение 380   </v>
      </c>
    </row>
    <row r="4681">
      <c r="A4681" s="35" t="s">
        <v>11216</v>
      </c>
      <c r="B4681" s="31" t="s">
        <v>11217</v>
      </c>
      <c r="C4681" s="31"/>
      <c r="D4681" s="37" t="s">
        <v>14</v>
      </c>
      <c r="E4681" s="10"/>
      <c r="F4681" s="38">
        <v>6.0</v>
      </c>
      <c r="G4681" s="11">
        <v>452746.0</v>
      </c>
      <c r="H4681" s="34" t="str">
        <f>IFERROR(__xludf.DUMMYFUNCTION("LOWER(REGEXREPLACE(B4681&amp;"" ""&amp;C4681,""[^а-яa-z0-9 ]"","" ""))")," лита индукционная настольная    6  размеры 400х510х240 мм  мощность 5 к т  напряжение 220   ")</f>
        <v> лита индукционная настольная    6  размеры 400х510х240 мм  мощность 5 к т  напряжение 220   </v>
      </c>
    </row>
    <row r="4682">
      <c r="A4682" s="35" t="s">
        <v>11218</v>
      </c>
      <c r="B4682" s="31" t="s">
        <v>11219</v>
      </c>
      <c r="C4682" s="31"/>
      <c r="D4682" s="37" t="s">
        <v>14</v>
      </c>
      <c r="E4682" s="10"/>
      <c r="F4682" s="38">
        <v>6.0</v>
      </c>
      <c r="G4682" s="11">
        <v>196593.0</v>
      </c>
      <c r="H4682" s="34" t="str">
        <f>IFERROR(__xludf.DUMMYFUNCTION("LOWER(REGEXREPLACE(B4682&amp;"" ""&amp;C4682,""[^а-яa-z0-9 ]"","" ""))")," лита индукционная настольная    7  размеры 320х393х119 мм  мощность 2 7 к т  напряжение 220   ")</f>
        <v> лита индукционная настольная    7  размеры 320х393х119 мм  мощность 2 7 к т  напряжение 220   </v>
      </c>
    </row>
    <row r="4683">
      <c r="A4683" s="35" t="s">
        <v>11220</v>
      </c>
      <c r="B4683" s="31" t="s">
        <v>11221</v>
      </c>
      <c r="C4683" s="31"/>
      <c r="D4683" s="37" t="s">
        <v>14</v>
      </c>
      <c r="E4683" s="10"/>
      <c r="F4683" s="36"/>
      <c r="G4683" s="11"/>
      <c r="H4683" s="34" t="str">
        <f>IFERROR(__xludf.DUMMYFUNCTION("LOWER(REGEXREPLACE(B4683&amp;"" ""&amp;C4683,""[^а-яa-z0-9 ]"","" ""))")," оверхность тепловая ")</f>
        <v> оверхность тепловая </v>
      </c>
    </row>
    <row r="4684">
      <c r="A4684" s="35" t="s">
        <v>11222</v>
      </c>
      <c r="B4684" s="31" t="s">
        <v>11223</v>
      </c>
      <c r="C4684" s="31"/>
      <c r="D4684" s="37" t="s">
        <v>14</v>
      </c>
      <c r="E4684" s="10"/>
      <c r="F4684" s="39">
        <v>5.4</v>
      </c>
      <c r="G4684" s="11">
        <v>128601.0</v>
      </c>
      <c r="H4684" s="34" t="str">
        <f>IFERROR(__xludf.DUMMYFUNCTION("LOWER(REGEXREPLACE(B4684&amp;"" ""&amp;C4684,""[^а-яa-z0-9 ]"","" ""))")," оверхность тепловая     537  размеры 565x380x75 мм  мощность 0 26 к т  напряжение 220    максимальная температура до 85   ")</f>
        <v> оверхность тепловая     537  размеры 565x380x75 мм  мощность 0 26 к т  напряжение 220    максимальная температура до 85   </v>
      </c>
    </row>
    <row r="4685">
      <c r="A4685" s="35" t="s">
        <v>11224</v>
      </c>
      <c r="B4685" s="31" t="s">
        <v>11225</v>
      </c>
      <c r="C4685" s="31"/>
      <c r="D4685" s="37" t="s">
        <v>14</v>
      </c>
      <c r="E4685" s="10"/>
      <c r="F4685" s="39">
        <v>7.8</v>
      </c>
      <c r="G4685" s="11">
        <v>333299.0</v>
      </c>
      <c r="H4685" s="34" t="str">
        <f>IFERROR(__xludf.DUMMYFUNCTION("LOWER(REGEXREPLACE(B4685&amp;"" ""&amp;C4685,""[^а-яa-z0-9 ]"","" ""))")," оверхность тепловая      756  размеры 730x585x625 мм  мощность 1 07 к т  напряжение 220    максимальная температура до 85   ")</f>
        <v> оверхность тепловая      756  размеры 730x585x625 мм  мощность 1 07 к т  напряжение 220    максимальная температура до 85   </v>
      </c>
    </row>
    <row r="4686">
      <c r="A4686" s="35" t="s">
        <v>11226</v>
      </c>
      <c r="B4686" s="31" t="s">
        <v>11227</v>
      </c>
      <c r="C4686" s="31"/>
      <c r="D4686" s="37" t="s">
        <v>14</v>
      </c>
      <c r="E4686" s="10"/>
      <c r="F4686" s="36"/>
      <c r="G4686" s="11"/>
      <c r="H4686" s="34" t="str">
        <f>IFERROR(__xludf.DUMMYFUNCTION("LOWER(REGEXREPLACE(B4686&amp;"" ""&amp;C4686,""[^а-яa-z0-9 ]"","" ""))")," упница ")</f>
        <v> упница </v>
      </c>
    </row>
    <row r="4687">
      <c r="A4687" s="35" t="s">
        <v>11228</v>
      </c>
      <c r="B4687" s="31" t="s">
        <v>11229</v>
      </c>
      <c r="C4687" s="31"/>
      <c r="D4687" s="37" t="s">
        <v>14</v>
      </c>
      <c r="E4687" s="10"/>
      <c r="F4687" s="39">
        <v>4.7</v>
      </c>
      <c r="G4687" s="11">
        <v>100164.0</v>
      </c>
      <c r="H4687" s="34" t="str">
        <f>IFERROR(__xludf.DUMMYFUNCTION("LOWER(REGEXREPLACE(B4687&amp;"" ""&amp;C4687,""[^а-яa-z0-9 ]"","" ""))")," упница 81010    размеры 300х300х445 мм  мощность 0 4 к т  напряжение 220   ")</f>
        <v> упница 81010    размеры 300х300х445 мм  мощность 0 4 к т  напряжение 220   </v>
      </c>
    </row>
    <row r="4688">
      <c r="A4688" s="35" t="s">
        <v>11230</v>
      </c>
      <c r="B4688" s="31" t="s">
        <v>11231</v>
      </c>
      <c r="C4688" s="31"/>
      <c r="D4688" s="37" t="s">
        <v>14</v>
      </c>
      <c r="E4688" s="10"/>
      <c r="F4688" s="39">
        <v>5.5</v>
      </c>
      <c r="G4688" s="11">
        <v>121821.0</v>
      </c>
      <c r="H4688" s="34" t="str">
        <f>IFERROR(__xludf.DUMMYFUNCTION("LOWER(REGEXREPLACE(B4688&amp;"" ""&amp;C4688,""[^а-яa-z0-9 ]"","" ""))")," упница 83013    размеры 300х300х445 мм  мощность 0 4 к т  напряжение 220  т ")</f>
        <v> упница 83013    размеры 300х300х445 мм  мощность 0 4 к т  напряжение 220  т </v>
      </c>
    </row>
    <row r="4689">
      <c r="A4689" s="35" t="s">
        <v>11232</v>
      </c>
      <c r="B4689" s="31" t="s">
        <v>11233</v>
      </c>
      <c r="C4689" s="31"/>
      <c r="D4689" s="37" t="s">
        <v>14</v>
      </c>
      <c r="E4689" s="10"/>
      <c r="F4689" s="39">
        <v>3.5</v>
      </c>
      <c r="G4689" s="11">
        <v>70321.0</v>
      </c>
      <c r="H4689" s="34" t="str">
        <f>IFERROR(__xludf.DUMMYFUNCTION("LOWER(REGEXREPLACE(B4689&amp;"" ""&amp;C4689,""[^а-яa-z0-9 ]"","" ""))")," упница    5700  размеры 300х300х445 мм  мощность 0 4 к т  напряжение 220   ")</f>
        <v> упница    5700  размеры 300х300х445 мм  мощность 0 4 к т  напряжение 220   </v>
      </c>
    </row>
    <row r="4690">
      <c r="A4690" s="35" t="s">
        <v>11234</v>
      </c>
      <c r="B4690" s="31" t="s">
        <v>11235</v>
      </c>
      <c r="C4690" s="31"/>
      <c r="D4690" s="37" t="s">
        <v>14</v>
      </c>
      <c r="E4690" s="10"/>
      <c r="F4690" s="39">
        <v>4.7</v>
      </c>
      <c r="G4690" s="11">
        <v>76625.0</v>
      </c>
      <c r="H4690" s="34" t="str">
        <f>IFERROR(__xludf.DUMMYFUNCTION("LOWER(REGEXREPLACE(B4690&amp;"" ""&amp;C4690,""[^а-яa-z0-9 ]"","" ""))")," упница    6000  размеры 300х300х445 мм  мощность 0 4 к т  напряжение 220   ")</f>
        <v> упница    6000  размеры 300х300х445 мм  мощность 0 4 к т  напряжение 220   </v>
      </c>
    </row>
    <row r="4691">
      <c r="A4691" s="35" t="s">
        <v>11236</v>
      </c>
      <c r="B4691" s="31" t="s">
        <v>11237</v>
      </c>
      <c r="C4691" s="31"/>
      <c r="D4691" s="37" t="s">
        <v>14</v>
      </c>
      <c r="E4691" s="10"/>
      <c r="F4691" s="39">
        <v>5.5</v>
      </c>
      <c r="G4691" s="11">
        <v>111656.0</v>
      </c>
      <c r="H4691" s="34" t="str">
        <f>IFERROR(__xludf.DUMMYFUNCTION("LOWER(REGEXREPLACE(B4691&amp;"" ""&amp;C4691,""[^а-яa-z0-9 ]"","" ""))")," упница    6000   размеры 300х300х445 мм  мощность 0 4 к т  напряжение 220   ")</f>
        <v> упница    6000   размеры 300х300х445 мм  мощность 0 4 к т  напряжение 220   </v>
      </c>
    </row>
    <row r="4692">
      <c r="A4692" s="35" t="s">
        <v>11238</v>
      </c>
      <c r="B4692" s="31" t="s">
        <v>11239</v>
      </c>
      <c r="C4692" s="31"/>
      <c r="D4692" s="37" t="s">
        <v>14</v>
      </c>
      <c r="E4692" s="10"/>
      <c r="F4692" s="36"/>
      <c r="G4692" s="11"/>
      <c r="H4692" s="34" t="str">
        <f>IFERROR(__xludf.DUMMYFUNCTION("LOWER(REGEXREPLACE(B4692&amp;"" ""&amp;C4692,""[^а-яa-z0-9 ]"","" ""))")," каф жарочный ")</f>
        <v> каф жарочный </v>
      </c>
    </row>
    <row r="4693">
      <c r="A4693" s="35" t="s">
        <v>11240</v>
      </c>
      <c r="B4693" s="31" t="s">
        <v>11241</v>
      </c>
      <c r="C4693" s="31"/>
      <c r="D4693" s="37" t="s">
        <v>14</v>
      </c>
      <c r="E4693" s="38">
        <v>2.0</v>
      </c>
      <c r="F4693" s="38">
        <v>160.0</v>
      </c>
      <c r="G4693" s="11">
        <v>486320.0</v>
      </c>
      <c r="H4693" s="34" t="str">
        <f>IFERROR(__xludf.DUMMYFUNCTION("LOWER(REGEXREPLACE(B4693&amp;"" ""&amp;C4693,""[^а-яa-z0-9 ]"","" ""))")," каф жарочный     2  2 х секционный  стандартная духовка  подставка  840х900x1510 мм  лицев  нерж   380   9 6к т  ")</f>
        <v> каф жарочный     2  2 х секционный  стандартная духовка  подставка  840х900x1510 мм  лицев  нерж   380   9 6к т  </v>
      </c>
    </row>
    <row r="4694">
      <c r="A4694" s="35" t="s">
        <v>11242</v>
      </c>
      <c r="B4694" s="31" t="s">
        <v>11243</v>
      </c>
      <c r="C4694" s="31"/>
      <c r="D4694" s="37" t="s">
        <v>14</v>
      </c>
      <c r="E4694" s="38">
        <v>2.0</v>
      </c>
      <c r="F4694" s="38">
        <v>210.0</v>
      </c>
      <c r="G4694" s="11">
        <v>680795.0</v>
      </c>
      <c r="H4694" s="34" t="str">
        <f>IFERROR(__xludf.DUMMYFUNCTION("LOWER(REGEXREPLACE(B4694&amp;"" ""&amp;C4694,""[^а-яa-z0-9 ]"","" ""))")," каф жарочный     3  3 х секционный  стандартная духовка  840x900x1500 мм  лицев  нерж   380   14 4к т  ")</f>
        <v> каф жарочный     3  3 х секционный  стандартная духовка  840x900x1500 мм  лицев  нерж   380   14 4к т  </v>
      </c>
    </row>
    <row r="4695">
      <c r="A4695" s="35" t="s">
        <v>11244</v>
      </c>
      <c r="B4695" s="31" t="s">
        <v>11245</v>
      </c>
      <c r="C4695" s="31"/>
      <c r="D4695" s="37" t="s">
        <v>14</v>
      </c>
      <c r="E4695" s="38">
        <v>2.0</v>
      </c>
      <c r="F4695" s="38">
        <v>208.0</v>
      </c>
      <c r="G4695" s="11">
        <v>473259.0</v>
      </c>
      <c r="H4695" s="34" t="str">
        <f>IFERROR(__xludf.DUMMYFUNCTION("LOWER(REGEXREPLACE(B4695&amp;"" ""&amp;C4695,""[^а-яa-z0-9 ]"","" ""))"),"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f>
        <v>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v>
      </c>
    </row>
    <row r="4696">
      <c r="A4696" s="35" t="s">
        <v>11246</v>
      </c>
      <c r="B4696" s="31" t="s">
        <v>11247</v>
      </c>
      <c r="C4696" s="31"/>
      <c r="D4696" s="37" t="s">
        <v>14</v>
      </c>
      <c r="E4696" s="38">
        <v>2.0</v>
      </c>
      <c r="F4696" s="38">
        <v>260.0</v>
      </c>
      <c r="G4696" s="11">
        <v>645663.0</v>
      </c>
      <c r="H4696" s="34" t="str">
        <f>IFERROR(__xludf.DUMMYFUNCTION("LOWER(REGEXREPLACE(B4696&amp;"" ""&amp;C4696,""[^а-яa-z0-9 ]"","" ""))"),"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f>
        <v>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v>
      </c>
    </row>
    <row r="4697">
      <c r="A4697" s="35" t="s">
        <v>11248</v>
      </c>
      <c r="B4697" s="31" t="s">
        <v>11249</v>
      </c>
      <c r="C4697" s="31"/>
      <c r="D4697" s="36"/>
      <c r="E4697" s="10"/>
      <c r="F4697" s="36"/>
      <c r="G4697" s="11"/>
      <c r="H4697" s="34" t="str">
        <f>IFERROR(__xludf.DUMMYFUNCTION("LOWER(REGEXREPLACE(B4697&amp;"" ""&amp;C4697,""[^а-яa-z0-9 ]"","" ""))")," олодильное оборудование ")</f>
        <v> олодильное оборудование </v>
      </c>
    </row>
    <row r="4698">
      <c r="A4698" s="35" t="s">
        <v>11250</v>
      </c>
      <c r="B4698" s="31" t="s">
        <v>11251</v>
      </c>
      <c r="C4698" s="31"/>
      <c r="D4698" s="37" t="s">
        <v>14</v>
      </c>
      <c r="E4698" s="10"/>
      <c r="F4698" s="38">
        <v>184.0</v>
      </c>
      <c r="G4698" s="11">
        <v>1344643.0</v>
      </c>
      <c r="H4698" s="34" t="str">
        <f>IFERROR(__xludf.DUMMYFUNCTION("LOWER(REGEXREPLACE(B4698&amp;"" ""&amp;C4698,""[^а-яa-z0-9 ]"","" ""))")," каф холодильный   114      1400 л  0   6    1402х925х1996 мм  0 55 к т  220    ")</f>
        <v> каф холодильный   114      1400 л  0   6    1402х925х1996 мм  0 55 к т  220    </v>
      </c>
    </row>
    <row r="4699">
      <c r="A4699" s="35" t="s">
        <v>11252</v>
      </c>
      <c r="B4699" s="31" t="s">
        <v>11253</v>
      </c>
      <c r="C4699" s="31"/>
      <c r="D4699" s="37" t="s">
        <v>14</v>
      </c>
      <c r="E4699" s="10"/>
      <c r="F4699" s="38">
        <v>137.0</v>
      </c>
      <c r="G4699" s="11">
        <v>598183.0</v>
      </c>
      <c r="H4699" s="34" t="str">
        <f>IFERROR(__xludf.DUMMYFUNCTION("LOWER(REGEXREPLACE(B4699&amp;"" ""&amp;C4699,""[^а-яa-z0-9 ]"","" ""))")," каф холодильный   107      700 л  0   6    697х925х1996 мм  0 35 к т  220    ")</f>
        <v> каф холодильный   107      700 л  0   6    697х925х1996 мм  0 35 к т  220    </v>
      </c>
    </row>
    <row r="4700">
      <c r="A4700" s="35" t="s">
        <v>11254</v>
      </c>
      <c r="B4700" s="9" t="s">
        <v>11255</v>
      </c>
      <c r="C4700" s="31"/>
      <c r="D4700" s="37" t="s">
        <v>14</v>
      </c>
      <c r="E4700" s="10"/>
      <c r="F4700" s="38">
        <v>115.0</v>
      </c>
      <c r="G4700" s="11">
        <v>385863.0</v>
      </c>
      <c r="H4700" s="34" t="str">
        <f>IFERROR(__xludf.DUMMYFUNCTION("LOWER(REGEXREPLACE(B4700&amp;"" ""&amp;C4700,""[^а-яa-z0-9 ]"","" ""))")," каф среднетемпературный    500 л        0 5    710х680х2200 мм  0  6     краш   ")</f>
        <v> каф среднетемпературный    500 л        0 5    710х680х2200 мм  0  6     краш   </v>
      </c>
    </row>
    <row r="4701">
      <c r="A4701" s="35" t="s">
        <v>11256</v>
      </c>
      <c r="B4701" s="9" t="s">
        <v>11257</v>
      </c>
      <c r="C4701" s="31"/>
      <c r="D4701" s="37" t="s">
        <v>14</v>
      </c>
      <c r="E4701" s="10"/>
      <c r="F4701" s="38">
        <v>135.0</v>
      </c>
      <c r="G4701" s="11">
        <v>657081.0</v>
      </c>
      <c r="H4701" s="34" t="str">
        <f>IFERROR(__xludf.DUMMYFUNCTION("LOWER(REGEXREPLACE(B4701&amp;"" ""&amp;C4701,""[^а-яa-z0-9 ]"","" ""))")," каф среднетемпературный    700 л        0  7    710х880х2200 мм  0  6     нерж   ")</f>
        <v> каф среднетемпературный    700 л        0  7    710х880х2200 мм  0  6     нерж   </v>
      </c>
    </row>
    <row r="4702">
      <c r="A4702" s="35" t="s">
        <v>11258</v>
      </c>
      <c r="B4702" s="31" t="s">
        <v>11259</v>
      </c>
      <c r="C4702" s="31"/>
      <c r="D4702" s="37" t="s">
        <v>14</v>
      </c>
      <c r="E4702" s="10"/>
      <c r="F4702" s="38">
        <v>205.0</v>
      </c>
      <c r="G4702" s="11">
        <v>921376.0</v>
      </c>
      <c r="H4702" s="34" t="str">
        <f>IFERROR(__xludf.DUMMYFUNCTION("LOWER(REGEXREPLACE(B4702&amp;"" ""&amp;C4702,""[^а-яa-z0-9 ]"","" ""))")," каф среднетемпературный   1500 л        с 1 4  1485х820х2050 мм  0    5    краш   ")</f>
        <v> каф среднетемпературный   1500 л        с 1 4  1485х820х2050 мм  0    5    краш   </v>
      </c>
    </row>
    <row r="4703">
      <c r="A4703" s="35" t="s">
        <v>11260</v>
      </c>
      <c r="B4703" s="9" t="s">
        <v>11261</v>
      </c>
      <c r="C4703" s="31"/>
      <c r="D4703" s="37" t="s">
        <v>14</v>
      </c>
      <c r="E4703" s="10"/>
      <c r="F4703" s="38">
        <v>105.0</v>
      </c>
      <c r="G4703" s="11">
        <v>1247430.0</v>
      </c>
      <c r="H4703" s="34" t="str">
        <f>IFERROR(__xludf.DUMMYFUNCTION("LOWER(REGEXREPLACE(B4703&amp;"" ""&amp;C4703,""[^а-яa-z0-9 ]"","" ""))")," каф среднетемпературный   664 л            v 6460  747х750х2064 мм   1    15    нерж      2 1  ")</f>
        <v> каф среднетемпературный   664 л            v 6460  747х750х2064 мм   1    15    нерж      2 1  </v>
      </c>
    </row>
    <row r="4704">
      <c r="A4704" s="35" t="s">
        <v>11262</v>
      </c>
      <c r="B4704" s="9" t="s">
        <v>11263</v>
      </c>
      <c r="C4704" s="31"/>
      <c r="D4704" s="37" t="s">
        <v>14</v>
      </c>
      <c r="E4704" s="10"/>
      <c r="F4704" s="38">
        <v>200.0</v>
      </c>
      <c r="G4704" s="11">
        <v>782647.0</v>
      </c>
      <c r="H4704" s="34" t="str">
        <f>IFERROR(__xludf.DUMMYFUNCTION("LOWER(REGEXREPLACE(B4704&amp;"" ""&amp;C4704,""[^а-яa-z0-9 ]"","" ""))")," тол холодильный   4        600 л   2   10    2060х705х850 910 мм  4 двери  ")</f>
        <v> тол холодильный   4        600 л   2   10    2060х705х850 910 мм  4 двери  </v>
      </c>
    </row>
    <row r="4705">
      <c r="A4705" s="35" t="s">
        <v>11264</v>
      </c>
      <c r="B4705" s="9" t="s">
        <v>11265</v>
      </c>
      <c r="C4705" s="31"/>
      <c r="D4705" s="37" t="s">
        <v>14</v>
      </c>
      <c r="E4705" s="10"/>
      <c r="F4705" s="38">
        <v>180.0</v>
      </c>
      <c r="G4705" s="11">
        <v>657005.0</v>
      </c>
      <c r="H4705" s="34" t="str">
        <f>IFERROR(__xludf.DUMMYFUNCTION("LOWER(REGEXREPLACE(B4705&amp;"" ""&amp;C4705,""[^а-яa-z0-9 ]"","" ""))")," тол холодильный          3        450 л   2   10    1630х705х850 910  3 двери  ")</f>
        <v> тол холодильный          3        450 л   2   10    1630х705х850 910  3 двери  </v>
      </c>
    </row>
    <row r="4706">
      <c r="A4706" s="35" t="s">
        <v>11266</v>
      </c>
      <c r="B4706" s="9" t="s">
        <v>11267</v>
      </c>
      <c r="C4706" s="31"/>
      <c r="D4706" s="37" t="s">
        <v>14</v>
      </c>
      <c r="E4706" s="10"/>
      <c r="F4706" s="38">
        <v>150.0</v>
      </c>
      <c r="G4706" s="11">
        <v>546057.0</v>
      </c>
      <c r="H4706" s="34" t="str">
        <f>IFERROR(__xludf.DUMMYFUNCTION("LOWER(REGEXREPLACE(B4706&amp;"" ""&amp;C4706,""[^а-яa-z0-9 ]"","" ""))")," тол холодильный   2        320 л   2   10    1200х705х850 910 мм  2 двери  ")</f>
        <v> тол холодильный   2        320 л   2   10    1200х705х850 910 мм  2 двери  </v>
      </c>
    </row>
    <row r="4707">
      <c r="A4707" s="35" t="s">
        <v>11268</v>
      </c>
      <c r="B4707" s="31" t="s">
        <v>11269</v>
      </c>
      <c r="C4707" s="31"/>
      <c r="D4707" s="37" t="s">
        <v>14</v>
      </c>
      <c r="E4707" s="10"/>
      <c r="F4707" s="38">
        <v>126.0</v>
      </c>
      <c r="G4707" s="11">
        <v>1049451.0</v>
      </c>
      <c r="H4707" s="34" t="str">
        <f>IFERROR(__xludf.DUMMYFUNCTION("LOWER(REGEXREPLACE(B4707&amp;"" ""&amp;C4707,""[^а-яa-z0-9 ]"","" ""))")," тол холодильный     0 3    1850  1838х700х840 мм  0 3 к т  220    ")</f>
        <v> тол холодильный     0 3    1850  1838х700х840 мм  0 3 к т  220    </v>
      </c>
    </row>
    <row r="4708">
      <c r="A4708" s="35" t="s">
        <v>11270</v>
      </c>
      <c r="B4708" s="9" t="s">
        <v>11271</v>
      </c>
      <c r="C4708" s="31"/>
      <c r="D4708" s="37" t="s">
        <v>14</v>
      </c>
      <c r="E4708" s="10"/>
      <c r="F4708" s="38">
        <v>118.0</v>
      </c>
      <c r="G4708" s="11">
        <v>582091.0</v>
      </c>
      <c r="H4708" s="34" t="str">
        <f>IFERROR(__xludf.DUMMYFUNCTION("LOWER(REGEXREPLACE(B4708&amp;"" ""&amp;C4708,""[^а-яa-z0-9 ]"","" ""))")," тол среднетемпературный   150 л      70    2    8   957x705x900 мм  1 дверь  150 л  ")</f>
        <v> тол среднетемпературный   150 л      70    2    8   957x705x900 мм  1 дверь  150 л  </v>
      </c>
    </row>
    <row r="4709">
      <c r="A4709" s="35" t="s">
        <v>11272</v>
      </c>
      <c r="B4709" s="31" t="s">
        <v>11273</v>
      </c>
      <c r="C4709" s="31"/>
      <c r="D4709" s="37" t="s">
        <v>14</v>
      </c>
      <c r="E4709" s="10"/>
      <c r="F4709" s="38">
        <v>805.0</v>
      </c>
      <c r="G4709" s="11">
        <v>2313713.0</v>
      </c>
      <c r="H4709" s="34" t="str">
        <f>IFERROR(__xludf.DUMMYFUNCTION("LOWER(REGEXREPLACE(B4709&amp;"" ""&amp;C4709,""[^а-яa-z0-9 ]"","" ""))")," амера холодильная     17 63    17 63 м3  2560x3760x2200 мм  толщина панели 80 мм  ")</f>
        <v> амера холодильная     17 63    17 63 м3  2560x3760x2200 мм  толщина панели 80 мм  </v>
      </c>
    </row>
    <row r="4710">
      <c r="A4710" s="35" t="s">
        <v>11274</v>
      </c>
      <c r="B4710" s="31" t="s">
        <v>11275</v>
      </c>
      <c r="C4710" s="31"/>
      <c r="D4710" s="37" t="s">
        <v>14</v>
      </c>
      <c r="E4710" s="10"/>
      <c r="F4710" s="36"/>
      <c r="G4710" s="11"/>
      <c r="H4710" s="34" t="str">
        <f>IFERROR(__xludf.DUMMYFUNCTION("LOWER(REGEXREPLACE(B4710&amp;"" ""&amp;C4710,""[^а-яa-z0-9 ]"","" ""))")," амера холодильная ")</f>
        <v> амера холодильная </v>
      </c>
    </row>
    <row r="4711">
      <c r="A4711" s="35" t="s">
        <v>11276</v>
      </c>
      <c r="B4711" s="9" t="s">
        <v>11277</v>
      </c>
      <c r="C4711" s="31"/>
      <c r="D4711" s="37" t="s">
        <v>14</v>
      </c>
      <c r="E4711" s="10"/>
      <c r="F4711" s="38">
        <v>310.0</v>
      </c>
      <c r="G4711" s="11">
        <v>852265.0</v>
      </c>
      <c r="H4711" s="34" t="str">
        <f>IFERROR(__xludf.DUMMYFUNCTION("LOWER(REGEXREPLACE(B4711&amp;"" ""&amp;C4711,""[^а-яa-z0-9 ]"","" ""))")," амера холодильная     2 94    2 94 м3  1360х1360х2200 мм  толщина панели 80 мм  ")</f>
        <v> амера холодильная     2 94    2 94 м3  1360х1360х2200 мм  толщина панели 80 мм  </v>
      </c>
    </row>
    <row r="4712">
      <c r="A4712" s="35" t="s">
        <v>11278</v>
      </c>
      <c r="B4712" s="9" t="s">
        <v>11279</v>
      </c>
      <c r="C4712" s="31"/>
      <c r="D4712" s="37" t="s">
        <v>14</v>
      </c>
      <c r="E4712" s="10"/>
      <c r="F4712" s="38">
        <v>181.0</v>
      </c>
      <c r="G4712" s="11">
        <v>3683879.0</v>
      </c>
      <c r="H4712" s="34" t="str">
        <f>IFERROR(__xludf.DUMMYFUNCTION("LOWER(REGEXREPLACE(B4712&amp;"" ""&amp;C4712,""[^а-яa-z0-9 ]"","" ""))")," амера холодильная среднетемпературная сборно разборная 1960х1660х2200 мм    5 51 м3  в комплекте с холодильной машиной с выносным пультом управления     5 51   ")</f>
        <v> амера холодильная среднетемпературная сборно разборная 1960х1660х2200 мм    5 51 м3  в комплекте с холодильной машиной с выносным пультом управления     5 51   </v>
      </c>
    </row>
    <row r="4713">
      <c r="A4713" s="35" t="s">
        <v>11280</v>
      </c>
      <c r="B4713" s="31" t="s">
        <v>11281</v>
      </c>
      <c r="C4713" s="31"/>
      <c r="D4713" s="37" t="s">
        <v>14</v>
      </c>
      <c r="E4713" s="10"/>
      <c r="F4713" s="38">
        <v>728.0</v>
      </c>
      <c r="G4713" s="11">
        <v>7008894.0</v>
      </c>
      <c r="H4713" s="34" t="str">
        <f>IFERROR(__xludf.DUMMYFUNCTION("LOWER(REGEXREPLACE(B4713&amp;"" ""&amp;C4713,""[^а-яa-z0-9 ]"","" ""))"),"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f>
        <v>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v>
      </c>
    </row>
    <row r="4714">
      <c r="A4714" s="35" t="s">
        <v>11282</v>
      </c>
      <c r="B4714" s="9" t="s">
        <v>11283</v>
      </c>
      <c r="C4714" s="31"/>
      <c r="D4714" s="37" t="s">
        <v>14</v>
      </c>
      <c r="E4714" s="38">
        <v>2.0</v>
      </c>
      <c r="F4714" s="38">
        <v>1160.0</v>
      </c>
      <c r="G4714" s="11">
        <v>7543310.0</v>
      </c>
      <c r="H4714" s="34" t="str">
        <f>IFERROR(__xludf.DUMMYFUNCTION("LOWER(REGEXREPLACE(B4714&amp;"" ""&amp;C4714,""[^а-яa-z0-9 ]"","" ""))"),"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f>
        <v>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v>
      </c>
    </row>
    <row r="4715">
      <c r="A4715" s="35" t="s">
        <v>11284</v>
      </c>
      <c r="B4715" s="31" t="s">
        <v>11285</v>
      </c>
      <c r="C4715" s="31"/>
      <c r="D4715" s="37" t="s">
        <v>14</v>
      </c>
      <c r="E4715" s="10"/>
      <c r="F4715" s="38">
        <v>1329.0</v>
      </c>
      <c r="G4715" s="11">
        <v>1.3559096E7</v>
      </c>
      <c r="H4715" s="34" t="str">
        <f>IFERROR(__xludf.DUMMYFUNCTION("LOWER(REGEXREPLACE(B4715&amp;"" ""&amp;C4715,""[^а-яa-z0-9 ]"","" ""))"),"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f>
        <v>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v>
      </c>
    </row>
    <row r="4716">
      <c r="A4716" s="35" t="s">
        <v>11286</v>
      </c>
      <c r="B4716" s="9" t="s">
        <v>11287</v>
      </c>
      <c r="C4716" s="31"/>
      <c r="D4716" s="37" t="s">
        <v>14</v>
      </c>
      <c r="E4716" s="38">
        <v>2.0</v>
      </c>
      <c r="F4716" s="38">
        <v>1300.0</v>
      </c>
      <c r="G4716" s="11">
        <v>1.3687684E7</v>
      </c>
      <c r="H4716" s="34" t="str">
        <f>IFERROR(__xludf.DUMMYFUNCTION("LOWER(REGEXREPLACE(B4716&amp;"" ""&amp;C4716,""[^а-яa-z0-9 ]"","" ""))"),"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f>
        <v>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v>
      </c>
    </row>
    <row r="4717">
      <c r="A4717" s="35" t="s">
        <v>11288</v>
      </c>
      <c r="B4717" s="31" t="s">
        <v>11289</v>
      </c>
      <c r="C4717" s="31"/>
      <c r="D4717" s="37" t="s">
        <v>14</v>
      </c>
      <c r="E4717" s="38">
        <v>2.0</v>
      </c>
      <c r="F4717" s="38">
        <v>1240.0</v>
      </c>
      <c r="G4717" s="11">
        <v>1.3628098E7</v>
      </c>
      <c r="H4717" s="34" t="str">
        <f>IFERROR(__xludf.DUMMYFUNCTION("LOWER(REGEXREPLACE(B4717&amp;"" ""&amp;C4717,""[^а-яa-z0-9 ]"","" ""))"),"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f>
        <v>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v>
      </c>
    </row>
    <row r="4718">
      <c r="A4718" s="35" t="s">
        <v>11290</v>
      </c>
      <c r="B4718" s="9" t="s">
        <v>11291</v>
      </c>
      <c r="C4718" s="31"/>
      <c r="D4718" s="37" t="s">
        <v>14</v>
      </c>
      <c r="E4718" s="38">
        <v>2.0</v>
      </c>
      <c r="F4718" s="38">
        <v>1300.0</v>
      </c>
      <c r="G4718" s="11">
        <v>1.3650814E7</v>
      </c>
      <c r="H4718" s="34" t="str">
        <f>IFERROR(__xludf.DUMMYFUNCTION("LOWER(REGEXREPLACE(B4718&amp;"" ""&amp;C4718,""[^а-яa-z0-9 ]"","" ""))"),"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двери"&amp;" со световым проемом 800х1850 мм     32 31     ")</f>
        <v>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19">
      <c r="A4719" s="35" t="s">
        <v>11292</v>
      </c>
      <c r="B4719" s="31" t="s">
        <v>11293</v>
      </c>
      <c r="C4719" s="31"/>
      <c r="D4719" s="37" t="s">
        <v>14</v>
      </c>
      <c r="E4719" s="38">
        <v>2.0</v>
      </c>
      <c r="F4719" s="38">
        <v>1086.0</v>
      </c>
      <c r="G4719" s="11">
        <v>9262907.0</v>
      </c>
      <c r="H4719" s="34" t="str">
        <f>IFERROR(__xludf.DUMMYFUNCTION("LOWER(REGEXREPLACE(B4719&amp;"" ""&amp;C4719,""[^а-яa-z0-9 ]"","" ""))"),"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19 09     ")</f>
        <v>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19 09     </v>
      </c>
    </row>
    <row r="4720">
      <c r="A4720" s="35" t="s">
        <v>11294</v>
      </c>
      <c r="B4720" s="9" t="s">
        <v>11295</v>
      </c>
      <c r="C4720" s="31"/>
      <c r="D4720" s="37" t="s">
        <v>14</v>
      </c>
      <c r="E4720" s="38">
        <v>2.0</v>
      </c>
      <c r="F4720" s="38">
        <v>590.0</v>
      </c>
      <c r="G4720" s="11">
        <v>5293780.0</v>
      </c>
      <c r="H4720" s="34" t="str">
        <f>IFERROR(__xludf.DUMMYFUNCTION("LOWER(REGEXREPLACE(B4720&amp;"" ""&amp;C4720,""[^а-яa-z0-9 ]"","" ""))"),"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f>
        <v>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v>
      </c>
    </row>
    <row r="4721">
      <c r="A4721" s="35" t="s">
        <v>11296</v>
      </c>
      <c r="B4721" s="9" t="s">
        <v>11297</v>
      </c>
      <c r="C4721" s="31"/>
      <c r="D4721" s="37" t="s">
        <v>14</v>
      </c>
      <c r="E4721" s="38">
        <v>2.0</v>
      </c>
      <c r="F4721" s="38">
        <v>590.0</v>
      </c>
      <c r="G4721" s="11">
        <v>5906104.0</v>
      </c>
      <c r="H4721" s="34" t="str">
        <f>IFERROR(__xludf.DUMMYFUNCTION("LOWER(REGEXREPLACE(B4721&amp;"" ""&amp;C4721,""[^а-яa-z0-9 ]"","" ""))"),"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f>
        <v>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v>
      </c>
    </row>
    <row r="4722">
      <c r="A4722" s="35" t="s">
        <v>11298</v>
      </c>
      <c r="B4722" s="9" t="s">
        <v>11299</v>
      </c>
      <c r="C4722" s="31"/>
      <c r="D4722" s="37" t="s">
        <v>14</v>
      </c>
      <c r="E4722" s="38">
        <v>2.0</v>
      </c>
      <c r="F4722" s="38">
        <v>1060.0</v>
      </c>
      <c r="G4722" s="11">
        <v>7519540.0</v>
      </c>
      <c r="H4722" s="34" t="str">
        <f>IFERROR(__xludf.DUMMYFUNCTION("LOWER(REGEXREPLACE(B4722&amp;"" ""&amp;C4722,""[^а-яa-z0-9 ]"","" ""))"),"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f>
        <v>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v>
      </c>
    </row>
    <row r="4723">
      <c r="A4723" s="35" t="s">
        <v>11300</v>
      </c>
      <c r="B4723" s="31" t="s">
        <v>11301</v>
      </c>
      <c r="C4723" s="31"/>
      <c r="D4723" s="37" t="s">
        <v>14</v>
      </c>
      <c r="E4723" s="38">
        <v>2.0</v>
      </c>
      <c r="F4723" s="38">
        <v>1300.0</v>
      </c>
      <c r="G4723" s="11">
        <v>1.2901259E7</v>
      </c>
      <c r="H4723" s="34" t="str">
        <f>IFERROR(__xludf.DUMMYFUNCTION("LOWER(REGEXREPLACE(B4723&amp;"" ""&amp;C4723,""[^а-яa-z0-9 ]"","" ""))"),"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32 31     ")</f>
        <v>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24">
      <c r="A4724" s="35" t="s">
        <v>11302</v>
      </c>
      <c r="B4724" s="31" t="s">
        <v>11303</v>
      </c>
      <c r="C4724" s="31"/>
      <c r="D4724" s="37" t="s">
        <v>14</v>
      </c>
      <c r="E4724" s="38">
        <v>2.0</v>
      </c>
      <c r="F4724" s="38">
        <v>1060.0</v>
      </c>
      <c r="G4724" s="11">
        <v>9707412.0</v>
      </c>
      <c r="H4724" s="34" t="str">
        <f>IFERROR(__xludf.DUMMYFUNCTION("LOWER(REGEXREPLACE(B4724&amp;"" ""&amp;C4724,""[^а-яa-z0-9 ]"","" ""))"),"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двери"&amp;" со световым проемом 800х1850 мм     19 09     ")</f>
        <v>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19 09     </v>
      </c>
    </row>
    <row r="4725">
      <c r="A4725" s="35" t="s">
        <v>11304</v>
      </c>
      <c r="B4725" s="9" t="s">
        <v>11305</v>
      </c>
      <c r="C4725" s="31"/>
      <c r="D4725" s="37" t="s">
        <v>14</v>
      </c>
      <c r="E4725" s="38">
        <v>2.0</v>
      </c>
      <c r="F4725" s="38">
        <v>610.0</v>
      </c>
      <c r="G4725" s="11">
        <v>5481449.0</v>
      </c>
      <c r="H4725" s="34" t="str">
        <f>IFERROR(__xludf.DUMMYFUNCTION("LOWER(REGEXREPLACE(B4725&amp;"" ""&amp;C4725,""[^а-яa-z0-9 ]"","" ""))"),"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f>
        <v>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v>
      </c>
    </row>
    <row r="4726">
      <c r="A4726" s="35" t="s">
        <v>11306</v>
      </c>
      <c r="B4726" s="9" t="s">
        <v>11307</v>
      </c>
      <c r="C4726" s="31"/>
      <c r="D4726" s="37" t="s">
        <v>14</v>
      </c>
      <c r="E4726" s="38">
        <v>2.0</v>
      </c>
      <c r="F4726" s="38">
        <v>610.0</v>
      </c>
      <c r="G4726" s="11">
        <v>6377137.0</v>
      </c>
      <c r="H4726" s="34" t="str">
        <f>IFERROR(__xludf.DUMMYFUNCTION("LOWER(REGEXREPLACE(B4726&amp;"" ""&amp;C4726,""[^а-яa-z0-9 ]"","" ""))"),"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f>
        <v>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v>
      </c>
    </row>
    <row r="4727">
      <c r="A4727" s="35" t="s">
        <v>11308</v>
      </c>
      <c r="B4727" s="9" t="s">
        <v>11309</v>
      </c>
      <c r="C4727" s="31"/>
      <c r="D4727" s="37" t="s">
        <v>14</v>
      </c>
      <c r="E4727" s="38">
        <v>2.0</v>
      </c>
      <c r="F4727" s="38">
        <v>659.0</v>
      </c>
      <c r="G4727" s="11">
        <v>6275619.0</v>
      </c>
      <c r="H4727" s="34" t="str">
        <f>IFERROR(__xludf.DUMMYFUNCTION("LOWER(REGEXREPLACE(B4727&amp;"" ""&amp;C4727,""[^а-яa-z0-9 ]"","" ""))"),"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f>
        <v>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v>
      </c>
    </row>
    <row r="4728">
      <c r="A4728" s="35" t="s">
        <v>11310</v>
      </c>
      <c r="B4728" s="9" t="s">
        <v>11311</v>
      </c>
      <c r="C4728" s="31"/>
      <c r="D4728" s="37" t="s">
        <v>14</v>
      </c>
      <c r="E4728" s="38">
        <v>2.0</v>
      </c>
      <c r="F4728" s="38">
        <v>659.0</v>
      </c>
      <c r="G4728" s="11">
        <v>6870136.0</v>
      </c>
      <c r="H4728" s="34" t="str">
        <f>IFERROR(__xludf.DUMMYFUNCTION("LOWER(REGEXREPLACE(B4728&amp;"" ""&amp;C4728,""[^а-яa-z0-9 ]"","" ""))"),"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f>
        <v>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v>
      </c>
    </row>
    <row r="4729">
      <c r="A4729" s="35" t="s">
        <v>11312</v>
      </c>
      <c r="B4729" s="9" t="s">
        <v>11313</v>
      </c>
      <c r="C4729" s="31"/>
      <c r="D4729" s="37" t="s">
        <v>14</v>
      </c>
      <c r="E4729" s="38">
        <v>2.0</v>
      </c>
      <c r="F4729" s="38">
        <v>1160.0</v>
      </c>
      <c r="G4729" s="11">
        <v>9065171.0</v>
      </c>
      <c r="H4729" s="34" t="str">
        <f>IFERROR(__xludf.DUMMYFUNCTION("LOWER(REGEXREPLACE(B4729&amp;"" ""&amp;C4729,""[^а-яa-z0-9 ]"","" ""))"),"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f>
        <v>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v>
      </c>
    </row>
    <row r="4730">
      <c r="A4730" s="35" t="s">
        <v>11314</v>
      </c>
      <c r="B4730" s="9" t="s">
        <v>11315</v>
      </c>
      <c r="C4730" s="31"/>
      <c r="D4730" s="37" t="s">
        <v>14</v>
      </c>
      <c r="E4730" s="38">
        <v>2.0</v>
      </c>
      <c r="F4730" s="38">
        <v>745.0</v>
      </c>
      <c r="G4730" s="11">
        <v>6544030.0</v>
      </c>
      <c r="H4730" s="34" t="str">
        <f>IFERROR(__xludf.DUMMYFUNCTION("LOWER(REGEXREPLACE(B4730&amp;"" ""&amp;C4730,""[^а-яa-z0-9 ]"","" ""))"),"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f>
        <v>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v>
      </c>
    </row>
    <row r="4731">
      <c r="A4731" s="35" t="s">
        <v>11316</v>
      </c>
      <c r="B4731" s="31" t="s">
        <v>11317</v>
      </c>
      <c r="C4731" s="31"/>
      <c r="D4731" s="37" t="s">
        <v>14</v>
      </c>
      <c r="E4731" s="38">
        <v>2.0</v>
      </c>
      <c r="F4731" s="38">
        <v>745.0</v>
      </c>
      <c r="G4731" s="11">
        <v>7138368.0</v>
      </c>
      <c r="H4731" s="34" t="str">
        <f>IFERROR(__xludf.DUMMYFUNCTION("LOWER(REGEXREPLACE(B4731&amp;"" ""&amp;C4731,""[^а-яa-z0-9 ]"","" ""))"),"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f>
        <v>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v>
      </c>
    </row>
    <row r="4732">
      <c r="A4732" s="35" t="s">
        <v>11318</v>
      </c>
      <c r="B4732" s="9" t="s">
        <v>11319</v>
      </c>
      <c r="C4732" s="31"/>
      <c r="D4732" s="37" t="s">
        <v>14</v>
      </c>
      <c r="E4732" s="38">
        <v>2.0</v>
      </c>
      <c r="F4732" s="38">
        <v>832.0</v>
      </c>
      <c r="G4732" s="11">
        <v>6780430.0</v>
      </c>
      <c r="H4732" s="34" t="str">
        <f>IFERROR(__xludf.DUMMYFUNCTION("LOWER(REGEXREPLACE(B4732&amp;"" ""&amp;C4732,""[^а-яa-z0-9 ]"","" ""))"),"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f>
        <v>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v>
      </c>
    </row>
    <row r="4733">
      <c r="A4733" s="35" t="s">
        <v>11320</v>
      </c>
      <c r="B4733" s="9" t="s">
        <v>11321</v>
      </c>
      <c r="C4733" s="31"/>
      <c r="D4733" s="37" t="s">
        <v>14</v>
      </c>
      <c r="E4733" s="38">
        <v>2.0</v>
      </c>
      <c r="F4733" s="38">
        <v>832.0</v>
      </c>
      <c r="G4733" s="11">
        <v>7374948.0</v>
      </c>
      <c r="H4733" s="34" t="str">
        <f>IFERROR(__xludf.DUMMYFUNCTION("LOWER(REGEXREPLACE(B4733&amp;"" ""&amp;C4733,""[^а-яa-z0-9 ]"","" ""))"),"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f>
        <v>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v>
      </c>
    </row>
    <row r="4734">
      <c r="A4734" s="35" t="s">
        <v>11322</v>
      </c>
      <c r="B4734" s="31" t="s">
        <v>11323</v>
      </c>
      <c r="C4734" s="31"/>
      <c r="D4734" s="37" t="s">
        <v>14</v>
      </c>
      <c r="E4734" s="38">
        <v>2.0</v>
      </c>
      <c r="F4734" s="38">
        <v>1160.0</v>
      </c>
      <c r="G4734" s="11">
        <v>8610672.0</v>
      </c>
      <c r="H4734" s="34" t="str">
        <f>IFERROR(__xludf.DUMMYFUNCTION("LOWER(REGEXREPLACE(B4734&amp;"" ""&amp;C4734,""[^а-яa-z0-9 ]"","" ""))"),"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f>
        <v>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v>
      </c>
    </row>
    <row r="4735">
      <c r="A4735" s="35" t="s">
        <v>11324</v>
      </c>
      <c r="B4735" s="31" t="s">
        <v>11325</v>
      </c>
      <c r="C4735" s="31"/>
      <c r="D4735" s="37" t="s">
        <v>14</v>
      </c>
      <c r="E4735" s="10"/>
      <c r="F4735" s="38">
        <v>132.0</v>
      </c>
      <c r="G4735" s="11">
        <v>1072700.0</v>
      </c>
      <c r="H4735" s="34" t="str">
        <f>IFERROR(__xludf.DUMMYFUNCTION("LOWER(REGEXREPLACE(B4735&amp;"" ""&amp;C4735,""[^а-яa-z0-9 ]"","" ""))")," плит система среднетемпературная    222      10 5  22 5 м3   5    10   855х315х704 мм  1 65 к т  380    ")</f>
        <v> плит система среднетемпературная    222      10 5  22 5 м3   5    10   855х315х704 мм  1 65 к т  380    </v>
      </c>
    </row>
    <row r="4736">
      <c r="A4736" s="35" t="s">
        <v>11326</v>
      </c>
      <c r="B4736" s="31" t="s">
        <v>11327</v>
      </c>
      <c r="C4736" s="31"/>
      <c r="D4736" s="37" t="s">
        <v>14</v>
      </c>
      <c r="E4736" s="10"/>
      <c r="F4736" s="38">
        <v>85.0</v>
      </c>
      <c r="G4736" s="11">
        <v>853776.0</v>
      </c>
      <c r="H4736" s="34" t="str">
        <f>IFERROR(__xludf.DUMMYFUNCTION("LOWER(REGEXREPLACE(B4736&amp;"" ""&amp;C4736,""[^а-яa-z0-9 ]"","" ""))")," плит система среднетемпературная    109      3  7 5 м3   5    10   525х315х704 мм  0 6 к т  220    ")</f>
        <v> плит система среднетемпературная    109      3  7 5 м3   5    10   525х315х704 мм  0 6 к т  220    </v>
      </c>
    </row>
    <row r="4737">
      <c r="A4737" s="35" t="s">
        <v>11328</v>
      </c>
      <c r="B4737" s="9" t="s">
        <v>11329</v>
      </c>
      <c r="C4737" s="31"/>
      <c r="D4737" s="37" t="s">
        <v>14</v>
      </c>
      <c r="E4737" s="10"/>
      <c r="F4737" s="38">
        <v>203.0</v>
      </c>
      <c r="G4737" s="11">
        <v>3418393.0</v>
      </c>
      <c r="H4737" s="34" t="str">
        <f>IFERROR(__xludf.DUMMYFUNCTION("LOWER(REGEXREPLACE(B4737&amp;"" ""&amp;C4737,""[^а-яa-z0-9 ]"","" ""))")," и блок   1048  холодопроизводительность 4 87 к т    62 м3  1408х455х555 мм  3 к т  380    ")</f>
        <v> и блок   1048  холодопроизводительность 4 87 к т    62 м3  1408х455х555 мм  3 к т  380    </v>
      </c>
    </row>
    <row r="4738">
      <c r="A4738" s="35" t="s">
        <v>11330</v>
      </c>
      <c r="B4738" s="31" t="s">
        <v>11331</v>
      </c>
      <c r="C4738" s="31"/>
      <c r="D4738" s="37" t="s">
        <v>14</v>
      </c>
      <c r="E4738" s="10"/>
      <c r="F4738" s="39">
        <v>1.5</v>
      </c>
      <c r="G4738" s="11">
        <v>118696.0</v>
      </c>
      <c r="H4738" s="34" t="str">
        <f>IFERROR(__xludf.DUMMYFUNCTION("LOWER(REGEXREPLACE(B4738&amp;"" ""&amp;C4738,""[^а-яa-z0-9 ]"","" ""))")," омлект доработки уличных мм и слитов с    ом  65  т  ")</f>
        <v> омлект доработки уличных мм и слитов с    ом  65  т  </v>
      </c>
    </row>
    <row r="4739">
      <c r="A4739" s="35" t="s">
        <v>11332</v>
      </c>
      <c r="B4739" s="31" t="s">
        <v>11333</v>
      </c>
      <c r="C4739" s="31"/>
      <c r="D4739" s="37" t="s">
        <v>14</v>
      </c>
      <c r="E4739" s="10"/>
      <c r="F4739" s="38">
        <v>212.0</v>
      </c>
      <c r="G4739" s="11">
        <v>1412775.0</v>
      </c>
      <c r="H4739" s="34" t="str">
        <f>IFERROR(__xludf.DUMMYFUNCTION("LOWER(REGEXREPLACE(B4739&amp;"" ""&amp;C4739,""[^а-яa-z0-9 ]"","" ""))")," каф холодильный среднетемпературный   114      1400 л ")</f>
        <v> каф холодильный среднетемпературный   114      1400 л </v>
      </c>
    </row>
    <row r="4740">
      <c r="A4740" s="35" t="s">
        <v>11334</v>
      </c>
      <c r="B4740" s="31" t="s">
        <v>11335</v>
      </c>
      <c r="C4740" s="31"/>
      <c r="D4740" s="37" t="s">
        <v>14</v>
      </c>
      <c r="E4740" s="10"/>
      <c r="F4740" s="38">
        <v>130.0</v>
      </c>
      <c r="G4740" s="11">
        <v>819911.0</v>
      </c>
      <c r="H4740" s="34" t="str">
        <f>IFERROR(__xludf.DUMMYFUNCTION("LOWER(REGEXREPLACE(B4740&amp;"" ""&amp;C4740,""[^а-яa-z0-9 ]"","" ""))")," итрина холодильная  70    0 9 1 0102 0109     в 0 9д  arboma  юкс  ")</f>
        <v> итрина холодильная  70    0 9 1 0102 0109     в 0 9д  arboma  юкс  </v>
      </c>
    </row>
    <row r="4741">
      <c r="A4741" s="35" t="s">
        <v>11336</v>
      </c>
      <c r="B4741" s="31" t="s">
        <v>11337</v>
      </c>
      <c r="C4741" s="31"/>
      <c r="D4741" s="37" t="s">
        <v>14</v>
      </c>
      <c r="E4741" s="10"/>
      <c r="F4741" s="36"/>
      <c r="G4741" s="11"/>
      <c r="H4741" s="34" t="str">
        <f>IFERROR(__xludf.DUMMYFUNCTION("LOWER(REGEXREPLACE(B4741&amp;"" ""&amp;C4741,""[^а-яa-z0-9 ]"","" ""))")," итрина холодильная ")</f>
        <v> итрина холодильная </v>
      </c>
    </row>
    <row r="4742">
      <c r="A4742" s="35" t="s">
        <v>11338</v>
      </c>
      <c r="B4742" s="9" t="s">
        <v>11339</v>
      </c>
      <c r="C4742" s="31"/>
      <c r="D4742" s="37" t="s">
        <v>14</v>
      </c>
      <c r="E4742" s="10"/>
      <c r="F4742" s="38">
        <v>150.0</v>
      </c>
      <c r="G4742" s="11">
        <v>941189.0</v>
      </c>
      <c r="H4742" s="34" t="str">
        <f>IFERROR(__xludf.DUMMYFUNCTION("LOWER(REGEXREPLACE(B4742&amp;"" ""&amp;C4742,""[^а-яa-z0-9 ]"","" ""))")," итрина холодильная  arboma  70    1 3 1           размеры 1300х700х1280 1330 мм  мощность 0 333 к т  напряжение 220   ")</f>
        <v> итрина холодильная  arboma  70    1 3 1           размеры 1300х700х1280 1330 мм  мощность 0 333 к т  напряжение 220   </v>
      </c>
    </row>
    <row r="4743">
      <c r="A4743" s="35" t="s">
        <v>11340</v>
      </c>
      <c r="B4743" s="31" t="s">
        <v>11341</v>
      </c>
      <c r="C4743" s="31"/>
      <c r="D4743" s="37" t="s">
        <v>14</v>
      </c>
      <c r="E4743" s="10"/>
      <c r="F4743" s="38">
        <v>130.0</v>
      </c>
      <c r="G4743" s="11">
        <v>2669638.0</v>
      </c>
      <c r="H4743" s="34" t="str">
        <f>IFERROR(__xludf.DUMMYFUNCTION("LOWER(REGEXREPLACE(B4743&amp;"" ""&amp;C4743,""[^а-яa-z0-9 ]"","" ""))")," итрина холодильная демонстрационная    107   размеры 1000х740х1900 мм  мощность 0 825 к т  напряжение 220   ")</f>
        <v> итрина холодильная демонстрационная    107   размеры 1000х740х1900 мм  мощность 0 825 к т  напряжение 220   </v>
      </c>
    </row>
    <row r="4744">
      <c r="A4744" s="35" t="s">
        <v>11342</v>
      </c>
      <c r="B4744" s="31" t="s">
        <v>11343</v>
      </c>
      <c r="C4744" s="31"/>
      <c r="D4744" s="37" t="s">
        <v>14</v>
      </c>
      <c r="E4744" s="10"/>
      <c r="F4744" s="38">
        <v>140.0</v>
      </c>
      <c r="G4744" s="11">
        <v>3077594.0</v>
      </c>
      <c r="H4744" s="34" t="str">
        <f>IFERROR(__xludf.DUMMYFUNCTION("LOWER(REGEXREPLACE(B4744&amp;"" ""&amp;C4744,""[^а-яa-z0-9 ]"","" ""))")," итрина холодильная демонстрационная    127   размеры 1200х740х1900 мм  мощность 0 925 к т  напряжение 220   ")</f>
        <v> итрина холодильная демонстрационная    127   размеры 1200х740х1900 мм  мощность 0 925 к т  напряжение 220   </v>
      </c>
    </row>
    <row r="4745">
      <c r="A4745" s="35" t="s">
        <v>11344</v>
      </c>
      <c r="B4745" s="31" t="s">
        <v>11345</v>
      </c>
      <c r="C4745" s="31"/>
      <c r="D4745" s="37" t="s">
        <v>14</v>
      </c>
      <c r="E4745" s="10"/>
      <c r="F4745" s="38">
        <v>170.0</v>
      </c>
      <c r="G4745" s="11">
        <v>3467872.0</v>
      </c>
      <c r="H4745" s="34" t="str">
        <f>IFERROR(__xludf.DUMMYFUNCTION("LOWER(REGEXREPLACE(B4745&amp;"" ""&amp;C4745,""[^а-яa-z0-9 ]"","" ""))")," итрина холодильная демонстрационная    157   размеры 1500х740х1900 мм  мощность 1 255 к т  напряжение 220   ")</f>
        <v> итрина холодильная демонстрационная    157   размеры 1500х740х1900 мм  мощность 1 255 к т  напряжение 220   </v>
      </c>
    </row>
    <row r="4746">
      <c r="A4746" s="35" t="s">
        <v>11346</v>
      </c>
      <c r="B4746" s="31" t="s">
        <v>11347</v>
      </c>
      <c r="C4746" s="31"/>
      <c r="D4746" s="37" t="s">
        <v>14</v>
      </c>
      <c r="E4746" s="10"/>
      <c r="F4746" s="38">
        <v>196.0</v>
      </c>
      <c r="G4746" s="11">
        <v>4065058.0</v>
      </c>
      <c r="H4746" s="34" t="str">
        <f>IFERROR(__xludf.DUMMYFUNCTION("LOWER(REGEXREPLACE(B4746&amp;"" ""&amp;C4746,""[^а-яa-z0-9 ]"","" ""))")," итрина холодильная демонстрационная    187   куб 1850 л  размеры 1800х740х1900 мм   мощность 1 52 к т  напряжение 220   ")</f>
        <v> итрина холодильная демонстрационная    187   куб 1850 л  размеры 1800х740х1900 мм   мощность 1 52 к т  напряжение 220   </v>
      </c>
    </row>
    <row r="4747">
      <c r="A4747" s="35" t="s">
        <v>11348</v>
      </c>
      <c r="B4747" s="31" t="s">
        <v>11349</v>
      </c>
      <c r="C4747" s="31"/>
      <c r="D4747" s="37" t="s">
        <v>14</v>
      </c>
      <c r="E4747" s="10"/>
      <c r="F4747" s="38">
        <v>103.0</v>
      </c>
      <c r="G4747" s="11">
        <v>2412388.0</v>
      </c>
      <c r="H4747" s="34" t="str">
        <f>IFERROR(__xludf.DUMMYFUNCTION("LOWER(REGEXREPLACE(B4747&amp;"" ""&amp;C4747,""[^а-яa-z0-9 ]"","" ""))")," итрина холодильная демонстрационная     220   размеры 494x674x1742 мм  мощность 1 3 к т  напряжение 220   ")</f>
        <v> итрина холодильная демонстрационная     220   размеры 494x674x1742 мм  мощность 1 3 к т  напряжение 220   </v>
      </c>
    </row>
    <row r="4748">
      <c r="A4748" s="35" t="s">
        <v>11350</v>
      </c>
      <c r="B4748" s="31" t="s">
        <v>11351</v>
      </c>
      <c r="C4748" s="31"/>
      <c r="D4748" s="37" t="s">
        <v>14</v>
      </c>
      <c r="E4748" s="10"/>
      <c r="F4748" s="38">
        <v>103.0</v>
      </c>
      <c r="G4748" s="11">
        <v>1380748.0</v>
      </c>
      <c r="H4748" s="34" t="str">
        <f>IFERROR(__xludf.DUMMYFUNCTION("LOWER(REGEXREPLACE(B4748&amp;"" ""&amp;C4748,""[^а-яa-z0-9 ]"","" ""))")," итрина холодильная демонстрационная настольная     108   размеры 470x470x870 мм  мощность 0 23 к т  напряжение 220   ")</f>
        <v> итрина холодильная демонстрационная настольная     108   размеры 470x470x870 мм  мощность 0 23 к т  напряжение 220   </v>
      </c>
    </row>
    <row r="4749">
      <c r="A4749" s="35" t="s">
        <v>11352</v>
      </c>
      <c r="B4749" s="31" t="s">
        <v>11353</v>
      </c>
      <c r="C4749" s="31"/>
      <c r="D4749" s="37" t="s">
        <v>14</v>
      </c>
      <c r="E4749" s="10"/>
      <c r="F4749" s="38">
        <v>112.0</v>
      </c>
      <c r="G4749" s="11">
        <v>1135428.0</v>
      </c>
      <c r="H4749" s="34" t="str">
        <f>IFERROR(__xludf.DUMMYFUNCTION("LOWER(REGEXREPLACE(B4749&amp;"" ""&amp;C4749,""[^а-яa-z0-9 ]"","" ""))")," итрина холодильная демонстрационная настольная     100   размеры 480х480х1030 мм   мощность 0 2 к т  напряжение 220   ")</f>
        <v> итрина холодильная демонстрационная настольная     100   размеры 480х480х1030 мм   мощность 0 2 к т  напряжение 220   </v>
      </c>
    </row>
    <row r="4750">
      <c r="A4750" s="35" t="s">
        <v>11354</v>
      </c>
      <c r="B4750" s="9" t="s">
        <v>11355</v>
      </c>
      <c r="C4750" s="31"/>
      <c r="D4750" s="37" t="s">
        <v>14</v>
      </c>
      <c r="E4750" s="10"/>
      <c r="F4750" s="38">
        <v>150.0</v>
      </c>
      <c r="G4750" s="11">
        <v>1510950.0</v>
      </c>
      <c r="H4750" s="34" t="str">
        <f>IFERROR(__xludf.DUMMYFUNCTION("LOWER(REGEXREPLACE(B4750&amp;"" ""&amp;C4750,""[^а-яa-z0-9 ]"","" ""))")," итрина холодильная кондитерская    1200   размеры 1200х700х1200 мм  мощность 0 35 к т  напряжение 220   ")</f>
        <v> итрина холодильная кондитерская    1200   размеры 1200х700х1200 мм  мощность 0 35 к т  напряжение 220   </v>
      </c>
    </row>
    <row r="4751">
      <c r="A4751" s="35" t="s">
        <v>11356</v>
      </c>
      <c r="B4751" s="9" t="s">
        <v>11357</v>
      </c>
      <c r="C4751" s="31"/>
      <c r="D4751" s="37" t="s">
        <v>14</v>
      </c>
      <c r="E4751" s="10"/>
      <c r="F4751" s="38">
        <v>230.0</v>
      </c>
      <c r="G4751" s="11">
        <v>1561436.0</v>
      </c>
      <c r="H4751" s="34" t="str">
        <f>IFERROR(__xludf.DUMMYFUNCTION("LOWER(REGEXREPLACE(B4751&amp;"" ""&amp;C4751,""[^а-яa-z0-9 ]"","" ""))")," итрина холодильная кондитерская    1500   размеры 1500х700х1200 мм  мощность 0 45 к т  напряжение 220   ")</f>
        <v> итрина холодильная кондитерская    1500   размеры 1500х700х1200 мм  мощность 0 45 к т  напряжение 220   </v>
      </c>
    </row>
    <row r="4752">
      <c r="A4752" s="35" t="s">
        <v>11358</v>
      </c>
      <c r="B4752" s="9" t="s">
        <v>11359</v>
      </c>
      <c r="C4752" s="31"/>
      <c r="D4752" s="37" t="s">
        <v>14</v>
      </c>
      <c r="E4752" s="10"/>
      <c r="F4752" s="38">
        <v>246.0</v>
      </c>
      <c r="G4752" s="11">
        <v>2099473.0</v>
      </c>
      <c r="H4752" s="34" t="str">
        <f>IFERROR(__xludf.DUMMYFUNCTION("LOWER(REGEXREPLACE(B4752&amp;"" ""&amp;C4752,""[^а-яa-z0-9 ]"","" ""))")," итрина холодильная кондитерская    1800   размеры 1800х700х1200 мм  мощность 0 55 к т  напряжение 220   ")</f>
        <v> итрина холодильная кондитерская    1800   размеры 1800х700х1200 мм  мощность 0 55 к т  напряжение 220   </v>
      </c>
    </row>
    <row r="4753">
      <c r="A4753" s="35" t="s">
        <v>11360</v>
      </c>
      <c r="B4753" s="31" t="s">
        <v>11361</v>
      </c>
      <c r="C4753" s="31"/>
      <c r="D4753" s="37" t="s">
        <v>14</v>
      </c>
      <c r="E4753" s="10"/>
      <c r="F4753" s="38">
        <v>150.0</v>
      </c>
      <c r="G4753" s="11">
        <v>1670573.0</v>
      </c>
      <c r="H4753" s="34" t="str">
        <f>IFERROR(__xludf.DUMMYFUNCTION("LOWER(REGEXREPLACE(B4753&amp;"" ""&amp;C4753,""[^а-яa-z0-9 ]"","" ""))")," итрина холодильная кондитерская    1200   размеры 1200х680х1200 мм  мощность 0 35 к т  напряжение 220   ")</f>
        <v> итрина холодильная кондитерская    1200   размеры 1200х680х1200 мм  мощность 0 35 к т  напряжение 220   </v>
      </c>
    </row>
    <row r="4754">
      <c r="A4754" s="35" t="s">
        <v>11362</v>
      </c>
      <c r="B4754" s="31" t="s">
        <v>11363</v>
      </c>
      <c r="C4754" s="31"/>
      <c r="D4754" s="37" t="s">
        <v>14</v>
      </c>
      <c r="E4754" s="10"/>
      <c r="F4754" s="38">
        <v>230.0</v>
      </c>
      <c r="G4754" s="11">
        <v>1777223.0</v>
      </c>
      <c r="H4754" s="34" t="str">
        <f>IFERROR(__xludf.DUMMYFUNCTION("LOWER(REGEXREPLACE(B4754&amp;"" ""&amp;C4754,""[^а-яa-z0-9 ]"","" ""))")," итрина холодильная кондитерская    1500   размеры 1500х680х1200 мм  мощность 0 45 к т  напряжение 220   ")</f>
        <v> итрина холодильная кондитерская    1500   размеры 1500х680х1200 мм  мощность 0 45 к т  напряжение 220   </v>
      </c>
    </row>
    <row r="4755">
      <c r="A4755" s="35" t="s">
        <v>11364</v>
      </c>
      <c r="B4755" s="31" t="s">
        <v>11365</v>
      </c>
      <c r="C4755" s="31"/>
      <c r="D4755" s="37" t="s">
        <v>14</v>
      </c>
      <c r="E4755" s="10"/>
      <c r="F4755" s="38">
        <v>246.0</v>
      </c>
      <c r="G4755" s="11">
        <v>2424631.0</v>
      </c>
      <c r="H4755" s="34" t="str">
        <f>IFERROR(__xludf.DUMMYFUNCTION("LOWER(REGEXREPLACE(B4755&amp;"" ""&amp;C4755,""[^а-яa-z0-9 ]"","" ""))")," итрина холодильная кондитерская    1800   размеры 1800х680х1200 мм  мощность 0 55 к т  напряжение 220   ")</f>
        <v> итрина холодильная кондитерская    1800   размеры 1800х680х1200 мм  мощность 0 55 к т  напряжение 220   </v>
      </c>
    </row>
    <row r="4756">
      <c r="A4756" s="35" t="s">
        <v>11366</v>
      </c>
      <c r="B4756" s="9" t="s">
        <v>11367</v>
      </c>
      <c r="C4756" s="31"/>
      <c r="D4756" s="37" t="s">
        <v>14</v>
      </c>
      <c r="E4756" s="10"/>
      <c r="F4756" s="38">
        <v>150.0</v>
      </c>
      <c r="G4756" s="11">
        <v>3547625.0</v>
      </c>
      <c r="H4756" s="34" t="str">
        <f>IFERROR(__xludf.DUMMYFUNCTION("LOWER(REGEXREPLACE(B4756&amp;"" ""&amp;C4756,""[^а-яa-z0-9 ]"","" ""))")," итрина холодильная кондитерская    1200   размеры 1200х700х2000 мм  мощность 0 55 к т  напряжение 220   ")</f>
        <v> итрина холодильная кондитерская    1200   размеры 1200х700х2000 мм  мощность 0 55 к т  напряжение 220   </v>
      </c>
    </row>
    <row r="4757">
      <c r="A4757" s="35" t="s">
        <v>11368</v>
      </c>
      <c r="B4757" s="9" t="s">
        <v>11369</v>
      </c>
      <c r="C4757" s="31"/>
      <c r="D4757" s="37" t="s">
        <v>14</v>
      </c>
      <c r="E4757" s="10"/>
      <c r="F4757" s="38">
        <v>230.0</v>
      </c>
      <c r="G4757" s="11">
        <v>3843459.0</v>
      </c>
      <c r="H4757" s="34" t="str">
        <f>IFERROR(__xludf.DUMMYFUNCTION("LOWER(REGEXREPLACE(B4757&amp;"" ""&amp;C4757,""[^а-яa-z0-9 ]"","" ""))")," итрина холодильная кондитерская    1500   размеры 1500х700х2000 мм  мощность 0 65 к т  напряжение 220   ")</f>
        <v> итрина холодильная кондитерская    1500   размеры 1500х700х2000 мм  мощность 0 65 к т  напряжение 220   </v>
      </c>
    </row>
    <row r="4758">
      <c r="A4758" s="35" t="s">
        <v>11370</v>
      </c>
      <c r="B4758" s="31" t="s">
        <v>11371</v>
      </c>
      <c r="C4758" s="31"/>
      <c r="D4758" s="37" t="s">
        <v>14</v>
      </c>
      <c r="E4758" s="10"/>
      <c r="F4758" s="38">
        <v>200.0</v>
      </c>
      <c r="G4758" s="11">
        <v>628075.0</v>
      </c>
      <c r="H4758" s="34" t="str">
        <f>IFERROR(__xludf.DUMMYFUNCTION("LOWER(REGEXREPLACE(B4758&amp;"" ""&amp;C4758,""[^а-яa-z0-9 ]"","" ""))")," итрина морозильная     0 15 0 88   ctava   1500       3002   1480х955х1265  ")</f>
        <v> итрина морозильная     0 15 0 88   ctava   1500       3002   1480х955х1265  </v>
      </c>
    </row>
    <row r="4759">
      <c r="A4759" s="35" t="s">
        <v>11372</v>
      </c>
      <c r="B4759" s="31" t="s">
        <v>11373</v>
      </c>
      <c r="C4759" s="31"/>
      <c r="D4759" s="37" t="s">
        <v>14</v>
      </c>
      <c r="E4759" s="10"/>
      <c r="F4759" s="38">
        <v>173.0</v>
      </c>
      <c r="G4759" s="11">
        <v>730804.0</v>
      </c>
      <c r="H4759" s="34" t="str">
        <f>IFERROR(__xludf.DUMMYFUNCTION("LOWER(REGEXREPLACE(B4759&amp;"" ""&amp;C4759,""[^а-яa-z0-9 ]"","" ""))")," итрина морозильная     0 42 0 85   amma 2  1200       3002   1218х1093х1300  ")</f>
        <v> итрина морозильная     0 42 0 85   amma 2  1200       3002   1218х1093х1300  </v>
      </c>
    </row>
    <row r="4760">
      <c r="A4760" s="35" t="s">
        <v>11374</v>
      </c>
      <c r="B4760" s="31" t="s">
        <v>11375</v>
      </c>
      <c r="C4760" s="31"/>
      <c r="D4760" s="37" t="s">
        <v>14</v>
      </c>
      <c r="E4760" s="10"/>
      <c r="F4760" s="38">
        <v>203.0</v>
      </c>
      <c r="G4760" s="11">
        <v>835536.0</v>
      </c>
      <c r="H4760" s="34" t="str">
        <f>IFERROR(__xludf.DUMMYFUNCTION("LOWER(REGEXREPLACE(B4760&amp;"" ""&amp;C4760,""[^а-яa-z0-9 ]"","" ""))")," итрина морозильная     0 54 1 10   amma 2  1500       3002   1518х1093х1300  ")</f>
        <v> итрина морозильная     0 54 1 10   amma 2  1500       3002   1518х1093х1300  </v>
      </c>
    </row>
    <row r="4761">
      <c r="A4761" s="35" t="s">
        <v>11376</v>
      </c>
      <c r="B4761" s="31" t="s">
        <v>11377</v>
      </c>
      <c r="C4761" s="31"/>
      <c r="D4761" s="37" t="s">
        <v>14</v>
      </c>
      <c r="E4761" s="10"/>
      <c r="F4761" s="38">
        <v>150.0</v>
      </c>
      <c r="G4761" s="11">
        <v>958929.0</v>
      </c>
      <c r="H4761" s="34" t="str">
        <f>IFERROR(__xludf.DUMMYFUNCTION("LOWER(REGEXREPLACE(B4761&amp;"" ""&amp;C4761,""[^а-яa-z0-9 ]"","" ""))")," тол холодильный   3       450 л  1630х705х850 910  ")</f>
        <v> тол холодильный   3       450 л  1630х705х850 910  </v>
      </c>
    </row>
    <row r="4762">
      <c r="A4762" s="35" t="s">
        <v>11378</v>
      </c>
      <c r="B4762" s="31" t="s">
        <v>11379</v>
      </c>
      <c r="C4762" s="31"/>
      <c r="D4762" s="37" t="s">
        <v>14</v>
      </c>
      <c r="E4762" s="10"/>
      <c r="F4762" s="36"/>
      <c r="G4762" s="11"/>
      <c r="H4762" s="34" t="str">
        <f>IFERROR(__xludf.DUMMYFUNCTION("LOWER(REGEXREPLACE(B4762&amp;"" ""&amp;C4762,""[^а-яa-z0-9 ]"","" ""))")," каф холодильный ")</f>
        <v> каф холодильный </v>
      </c>
    </row>
    <row r="4763">
      <c r="A4763" s="35" t="s">
        <v>11380</v>
      </c>
      <c r="B4763" s="31" t="s">
        <v>11381</v>
      </c>
      <c r="C4763" s="31"/>
      <c r="D4763" s="37" t="s">
        <v>14</v>
      </c>
      <c r="E4763" s="10"/>
      <c r="F4763" s="38">
        <v>102.0</v>
      </c>
      <c r="G4763" s="11">
        <v>638810.0</v>
      </c>
      <c r="H4763" s="34" t="str">
        <f>IFERROR(__xludf.DUMMYFUNCTION("LOWER(REGEXREPLACE(B4763&amp;"" ""&amp;C4763,""[^а-яa-z0-9 ]"","" ""))")," каф холодильный   105    размеры 697х695х1996 мм  объем 500 л  мощность 0 55 к т  напряжение 220   ")</f>
        <v> каф холодильный   105    размеры 697х695х1996 мм  объем 500 л  мощность 0 55 к т  напряжение 220   </v>
      </c>
    </row>
    <row r="4764">
      <c r="A4764" s="35" t="s">
        <v>11382</v>
      </c>
      <c r="B4764" s="9" t="s">
        <v>11383</v>
      </c>
      <c r="C4764" s="31"/>
      <c r="D4764" s="37" t="s">
        <v>14</v>
      </c>
      <c r="E4764" s="10"/>
      <c r="F4764" s="38">
        <v>114.0</v>
      </c>
      <c r="G4764" s="11">
        <v>1363091.0</v>
      </c>
      <c r="H4764" s="34" t="str">
        <f>IFERROR(__xludf.DUMMYFUNCTION("LOWER(REGEXREPLACE(B4764&amp;"" ""&amp;C4764,""[^а-яa-z0-9 ]"","" ""))")," каф холодильный среднетемпературный   700    размеры 740x830x2010 мм  объем 700 л  мощность 0 305 к т  напряжение 220   ")</f>
        <v> каф холодильный среднетемпературный   700    размеры 740x830x2010 мм  объем 700 л  мощность 0 305 к т  напряжение 220   </v>
      </c>
    </row>
    <row r="4765">
      <c r="A4765" s="35" t="s">
        <v>11384</v>
      </c>
      <c r="B4765" s="9" t="s">
        <v>11385</v>
      </c>
      <c r="C4765" s="31"/>
      <c r="D4765" s="37" t="s">
        <v>14</v>
      </c>
      <c r="E4765" s="10"/>
      <c r="F4765" s="38">
        <v>114.0</v>
      </c>
      <c r="G4765" s="11">
        <v>1481284.0</v>
      </c>
      <c r="H4765" s="34" t="str">
        <f>IFERROR(__xludf.DUMMYFUNCTION("LOWER(REGEXREPLACE(B4765&amp;"" ""&amp;C4765,""[^а-яa-z0-9 ]"","" ""))")," каф холодильный среднетемпературный   700     размеры 740x830x2010 мм  объем 700 л  мощность 0 305 к т  напряжение 220   ")</f>
        <v> каф холодильный среднетемпературный   700     размеры 740x830x2010 мм  объем 700 л  мощность 0 305 к т  напряжение 220   </v>
      </c>
    </row>
    <row r="4766">
      <c r="A4766" s="35" t="s">
        <v>11386</v>
      </c>
      <c r="B4766" s="31" t="s">
        <v>11387</v>
      </c>
      <c r="C4766" s="31"/>
      <c r="D4766" s="37" t="s">
        <v>14</v>
      </c>
      <c r="E4766" s="10"/>
      <c r="F4766" s="38">
        <v>114.0</v>
      </c>
      <c r="G4766" s="11">
        <v>1702983.0</v>
      </c>
      <c r="H4766" s="34" t="str">
        <f>IFERROR(__xludf.DUMMYFUNCTION("LOWER(REGEXREPLACE(B4766&amp;"" ""&amp;C4766,""[^а-яa-z0-9 ]"","" ""))")," каф холодильный низкотемпературный   700    размеры 740x830x2010 мм  объем 700 л  мощность 0 65 к т  напряжение 220   ")</f>
        <v> каф холодильный низкотемпературный   700    размеры 740x830x2010 мм  объем 700 л  мощность 0 65 к т  напряжение 220   </v>
      </c>
    </row>
    <row r="4767">
      <c r="A4767" s="35" t="s">
        <v>11388</v>
      </c>
      <c r="B4767" s="31" t="s">
        <v>11389</v>
      </c>
      <c r="C4767" s="31"/>
      <c r="D4767" s="37" t="s">
        <v>14</v>
      </c>
      <c r="E4767" s="10"/>
      <c r="F4767" s="38">
        <v>114.0</v>
      </c>
      <c r="G4767" s="11">
        <v>2022230.0</v>
      </c>
      <c r="H4767" s="34" t="str">
        <f>IFERROR(__xludf.DUMMYFUNCTION("LOWER(REGEXREPLACE(B4767&amp;"" ""&amp;C4767,""[^а-яa-z0-9 ]"","" ""))")," каф холодильный низкотемпературный   700     размеры 740x830x2010 мм  объем 700 л  мощность 0 65 к т  напряжение 220   ")</f>
        <v> каф холодильный низкотемпературный   700     размеры 740x830x2010 мм  объем 700 л  мощность 0 65 к т  напряжение 220   </v>
      </c>
    </row>
    <row r="4768">
      <c r="A4768" s="35" t="s">
        <v>11390</v>
      </c>
      <c r="B4768" s="9" t="s">
        <v>11391</v>
      </c>
      <c r="C4768" s="31"/>
      <c r="D4768" s="37" t="s">
        <v>14</v>
      </c>
      <c r="E4768" s="10"/>
      <c r="F4768" s="38">
        <v>186.0</v>
      </c>
      <c r="G4768" s="11">
        <v>2260490.0</v>
      </c>
      <c r="H4768" s="34" t="str">
        <f>IFERROR(__xludf.DUMMYFUNCTION("LOWER(REGEXREPLACE(B4768&amp;"" ""&amp;C4768,""[^а-яa-z0-9 ]"","" ""))")," каф холодильный среднетемпературный   1400    размеры 1480x830x2010 мм  объем 1400 л  мощность 0 508 к т  напряжение 220   ")</f>
        <v> каф холодильный среднетемпературный   1400    размеры 1480x830x2010 мм  объем 1400 л  мощность 0 508 к т  напряжение 220   </v>
      </c>
    </row>
    <row r="4769">
      <c r="A4769" s="35" t="s">
        <v>11392</v>
      </c>
      <c r="B4769" s="9" t="s">
        <v>11393</v>
      </c>
      <c r="C4769" s="31"/>
      <c r="D4769" s="37" t="s">
        <v>14</v>
      </c>
      <c r="E4769" s="10"/>
      <c r="F4769" s="38">
        <v>186.0</v>
      </c>
      <c r="G4769" s="11">
        <v>2412631.0</v>
      </c>
      <c r="H4769" s="34" t="str">
        <f>IFERROR(__xludf.DUMMYFUNCTION("LOWER(REGEXREPLACE(B4769&amp;"" ""&amp;C4769,""[^а-яa-z0-9 ]"","" ""))")," каф холодильный среднетемпературный   1400     размеры 1480x830x2010 мм  объем 1400 л  мощность 0 508 к т  напряжение 220   ")</f>
        <v> каф холодильный среднетемпературный   1400     размеры 1480x830x2010 мм  объем 1400 л  мощность 0 508 к т  напряжение 220   </v>
      </c>
    </row>
    <row r="4770">
      <c r="A4770" s="35" t="s">
        <v>11394</v>
      </c>
      <c r="B4770" s="31" t="s">
        <v>11395</v>
      </c>
      <c r="C4770" s="31"/>
      <c r="D4770" s="37" t="s">
        <v>14</v>
      </c>
      <c r="E4770" s="10"/>
      <c r="F4770" s="38">
        <v>186.0</v>
      </c>
      <c r="G4770" s="11">
        <v>2566343.0</v>
      </c>
      <c r="H4770" s="34" t="str">
        <f>IFERROR(__xludf.DUMMYFUNCTION("LOWER(REGEXREPLACE(B4770&amp;"" ""&amp;C4770,""[^а-яa-z0-9 ]"","" ""))")," каф холодильный низкотемпературный   1400    размеры 1480x830x2010 мм  объем 1400 л  мощность 0 7 к т  напряжение 220   ")</f>
        <v> каф холодильный низкотемпературный   1400    размеры 1480x830x2010 мм  объем 1400 л  мощность 0 7 к т  напряжение 220   </v>
      </c>
    </row>
    <row r="4771">
      <c r="A4771" s="35" t="s">
        <v>11396</v>
      </c>
      <c r="B4771" s="31" t="s">
        <v>11397</v>
      </c>
      <c r="C4771" s="31"/>
      <c r="D4771" s="37" t="s">
        <v>14</v>
      </c>
      <c r="E4771" s="10"/>
      <c r="F4771" s="38">
        <v>186.0</v>
      </c>
      <c r="G4771" s="11">
        <v>2968357.0</v>
      </c>
      <c r="H4771" s="34" t="str">
        <f>IFERROR(__xludf.DUMMYFUNCTION("LOWER(REGEXREPLACE(B4771&amp;"" ""&amp;C4771,""[^а-яa-z0-9 ]"","" ""))")," каф холодильный низкотемпературный   1400     размеры 1480x830x2010 мм  объем 1400 л  мощность 0 7 к т  напряжение 220   ")</f>
        <v> каф холодильный низкотемпературный   1400     размеры 1480x830x2010 мм  объем 1400 л  мощность 0 7 к т  напряжение 220   </v>
      </c>
    </row>
    <row r="4772">
      <c r="A4772" s="35" t="s">
        <v>11398</v>
      </c>
      <c r="B4772" s="31" t="s">
        <v>11399</v>
      </c>
      <c r="C4772" s="31"/>
      <c r="D4772" s="37" t="s">
        <v>14</v>
      </c>
      <c r="E4772" s="10"/>
      <c r="F4772" s="38">
        <v>54.0</v>
      </c>
      <c r="G4772" s="11">
        <v>402880.0</v>
      </c>
      <c r="H4772" s="34" t="str">
        <f>IFERROR(__xludf.DUMMYFUNCTION("LOWER(REGEXREPLACE(B4772&amp;"" ""&amp;C4772,""[^а-яa-z0-9 ]"","" ""))")," каф холодильный        320  размеры 565х600х1829 мм  объем 320 л  напряжание 220    2   8   ")</f>
        <v> каф холодильный        320  размеры 565х600х1829 мм  объем 320 л  напряжание 220    2   8   </v>
      </c>
    </row>
    <row r="4773">
      <c r="A4773" s="35" t="s">
        <v>11400</v>
      </c>
      <c r="B4773" s="31" t="s">
        <v>11401</v>
      </c>
      <c r="C4773" s="31"/>
      <c r="D4773" s="37" t="s">
        <v>14</v>
      </c>
      <c r="E4773" s="38">
        <v>2.0</v>
      </c>
      <c r="F4773" s="38">
        <v>135.0</v>
      </c>
      <c r="G4773" s="11">
        <v>530379.0</v>
      </c>
      <c r="H4773" s="34" t="str">
        <f>IFERROR(__xludf.DUMMYFUNCTION("LOWER(REGEXREPLACE(B4773&amp;"" ""&amp;C4773,""[^а-яa-z0-9 ]"","" ""))")," каф холодильный крашеный среднетемпературный    0 7  размеры 740х850х2050мм  объем 700л  напряжение 230   мощность 3 77к т   5 5   ")</f>
        <v> каф холодильный крашеный среднетемпературный    0 7  размеры 740х850х2050мм  объем 700л  напряжение 230   мощность 3 77к т   5 5   </v>
      </c>
    </row>
    <row r="4774">
      <c r="A4774" s="35" t="s">
        <v>11402</v>
      </c>
      <c r="B4774" s="31" t="s">
        <v>11403</v>
      </c>
      <c r="C4774" s="31"/>
      <c r="D4774" s="37" t="s">
        <v>14</v>
      </c>
      <c r="E4774" s="38">
        <v>2.0</v>
      </c>
      <c r="F4774" s="38">
        <v>215.0</v>
      </c>
      <c r="G4774" s="11">
        <v>759410.0</v>
      </c>
      <c r="H4774" s="34" t="str">
        <f>IFERROR(__xludf.DUMMYFUNCTION("LOWER(REGEXREPLACE(B4774&amp;"" ""&amp;C4774,""[^а-яa-z0-9 ]"","" ""))")," каф холодильный крашеный среднетемпературный    1 4  размеры 1485х850х2050мм  объем 1500л  напряжение 220   мощность 4 47к т   5 5   ")</f>
        <v> каф холодильный крашеный среднетемпературный    1 4  размеры 1485х850х2050мм  объем 1500л  напряжение 220   мощность 4 47к т   5 5   </v>
      </c>
    </row>
    <row r="4775">
      <c r="A4775" s="35" t="s">
        <v>11404</v>
      </c>
      <c r="B4775" s="31" t="s">
        <v>11405</v>
      </c>
      <c r="C4775" s="31"/>
      <c r="D4775" s="37" t="s">
        <v>14</v>
      </c>
      <c r="E4775" s="38">
        <v>2.0</v>
      </c>
      <c r="F4775" s="38">
        <v>155.0</v>
      </c>
      <c r="G4775" s="11">
        <v>587857.0</v>
      </c>
      <c r="H4775" s="34" t="str">
        <f>IFERROR(__xludf.DUMMYFUNCTION("LOWER(REGEXREPLACE(B4775&amp;"" ""&amp;C4775,""[^а-яa-z0-9 ]"","" ""))")," каф холодильный  среднетемпературный    0 7 01  нержавеющая сталь  размеры 740х850х2050мм  объем 700л  напряжение 220   мощность 3 77к т   5 5   ")</f>
        <v> каф холодильный  среднетемпературный    0 7 01  нержавеющая сталь  размеры 740х850х2050мм  объем 700л  напряжение 220   мощность 3 77к т   5 5   </v>
      </c>
    </row>
    <row r="4776">
      <c r="A4776" s="35" t="s">
        <v>11406</v>
      </c>
      <c r="B4776" s="31" t="s">
        <v>11407</v>
      </c>
      <c r="C4776" s="31"/>
      <c r="D4776" s="37" t="s">
        <v>14</v>
      </c>
      <c r="E4776" s="38">
        <v>2.0</v>
      </c>
      <c r="F4776" s="38">
        <v>220.0</v>
      </c>
      <c r="G4776" s="11">
        <v>839791.0</v>
      </c>
      <c r="H4776" s="34" t="str">
        <f>IFERROR(__xludf.DUMMYFUNCTION("LOWER(REGEXREPLACE(B4776&amp;"" ""&amp;C4776,""[^а-яa-z0-9 ]"","" ""))")," каф холодильный  среднетемпературный    1 4 01  нержавеющая сталь  размеры 1485х850х2050мм  объем 1500л  напряжение 220   мощность 4 47к т   5 5   ")</f>
        <v> каф холодильный  среднетемпературный    1 4 01  нержавеющая сталь  размеры 1485х850х2050мм  объем 1500л  напряжение 220   мощность 4 47к т   5 5   </v>
      </c>
    </row>
    <row r="4777">
      <c r="A4777" s="35" t="s">
        <v>11408</v>
      </c>
      <c r="B4777" s="31" t="s">
        <v>11409</v>
      </c>
      <c r="C4777" s="31"/>
      <c r="D4777" s="37" t="s">
        <v>14</v>
      </c>
      <c r="E4777" s="38">
        <v>2.0</v>
      </c>
      <c r="F4777" s="38">
        <v>145.0</v>
      </c>
      <c r="G4777" s="11">
        <v>574572.0</v>
      </c>
      <c r="H4777" s="34" t="str">
        <f>IFERROR(__xludf.DUMMYFUNCTION("LOWER(REGEXREPLACE(B4777&amp;"" ""&amp;C4777,""[^а-яa-z0-9 ]"","" ""))")," каф холодильный крашеный низкотемпературный   н 0 7  размеры 740х850х2050мм  объем 700л  напряжение 220   мощность 4 17к т   18   ")</f>
        <v> каф холодильный крашеный низкотемпературный   н 0 7  размеры 740х850х2050мм  объем 700л  напряжение 220   мощность 4 17к т   18   </v>
      </c>
    </row>
    <row r="4778">
      <c r="A4778" s="35" t="s">
        <v>11410</v>
      </c>
      <c r="B4778" s="31" t="s">
        <v>11411</v>
      </c>
      <c r="C4778" s="31"/>
      <c r="D4778" s="37" t="s">
        <v>14</v>
      </c>
      <c r="E4778" s="38">
        <v>2.0</v>
      </c>
      <c r="F4778" s="38">
        <v>220.0</v>
      </c>
      <c r="G4778" s="11">
        <v>875115.0</v>
      </c>
      <c r="H4778" s="34" t="str">
        <f>IFERROR(__xludf.DUMMYFUNCTION("LOWER(REGEXREPLACE(B4778&amp;"" ""&amp;C4778,""[^а-яa-z0-9 ]"","" ""))")," каф холодильный крашенный низкотемпературный   н 1 4  размеры 1485х850х2050мм  объем 1500л  напряжение 220   мощность 5 57к т   18   ")</f>
        <v> каф холодильный крашенный низкотемпературный   н 1 4  размеры 1485х850х2050мм  объем 1500л  напряжение 220   мощность 5 57к т   18   </v>
      </c>
    </row>
    <row r="4779">
      <c r="A4779" s="35" t="s">
        <v>11412</v>
      </c>
      <c r="B4779" s="31" t="s">
        <v>11413</v>
      </c>
      <c r="C4779" s="31"/>
      <c r="D4779" s="37" t="s">
        <v>14</v>
      </c>
      <c r="E4779" s="38">
        <v>2.0</v>
      </c>
      <c r="F4779" s="38">
        <v>145.0</v>
      </c>
      <c r="G4779" s="11">
        <v>641688.0</v>
      </c>
      <c r="H4779" s="34" t="str">
        <f>IFERROR(__xludf.DUMMYFUNCTION("LOWER(REGEXREPLACE(B4779&amp;"" ""&amp;C4779,""[^а-яa-z0-9 ]"","" ""))")," каф холодильный низкотемпературный   н 0 7 01  нержавеющая сталь  размеры 740х850х2050мм  объем 700л  напряжение 220   мощность 4 17к т   18   ")</f>
        <v> каф холодильный низкотемпературный   н 0 7 01  нержавеющая сталь  размеры 740х850х2050мм  объем 700л  напряжение 220   мощность 4 17к т   18   </v>
      </c>
    </row>
    <row r="4780">
      <c r="A4780" s="35" t="s">
        <v>11414</v>
      </c>
      <c r="B4780" s="31" t="s">
        <v>11415</v>
      </c>
      <c r="C4780" s="31"/>
      <c r="D4780" s="37" t="s">
        <v>14</v>
      </c>
      <c r="E4780" s="38">
        <v>2.0</v>
      </c>
      <c r="F4780" s="38">
        <v>220.0</v>
      </c>
      <c r="G4780" s="11">
        <v>923685.0</v>
      </c>
      <c r="H4780" s="34" t="str">
        <f>IFERROR(__xludf.DUMMYFUNCTION("LOWER(REGEXREPLACE(B4780&amp;"" ""&amp;C4780,""[^а-яa-z0-9 ]"","" ""))")," каф холодильный низкотемпературный   н 1 4 01  нержавеющая сталь  размеры 1485х850х2050мм  объем 1500л  напряжение 220   мощность 5 57к т   18   ")</f>
        <v> каф холодильный низкотемпературный   н 1 4 01  нержавеющая сталь  размеры 1485х850х2050мм  объем 1500л  напряжение 220   мощность 5 57к т   18   </v>
      </c>
    </row>
    <row r="4781">
      <c r="A4781" s="35" t="s">
        <v>11416</v>
      </c>
      <c r="B4781" s="31" t="s">
        <v>11417</v>
      </c>
      <c r="C4781" s="31"/>
      <c r="D4781" s="37" t="s">
        <v>14</v>
      </c>
      <c r="E4781" s="10"/>
      <c r="F4781" s="38">
        <v>170.0</v>
      </c>
      <c r="G4781" s="11">
        <v>1043750.0</v>
      </c>
      <c r="H4781" s="34" t="str">
        <f>IFERROR(__xludf.DUMMYFUNCTION("LOWER(REGEXREPLACE(B4781&amp;"" ""&amp;C4781,""[^а-яa-z0-9 ]"","" ""))")," тол холодильный   2  pizza     320 л  1200х705х850 1000  ")</f>
        <v> тол холодильный   2  pizza     320 л  1200х705х850 1000  </v>
      </c>
    </row>
    <row r="4782">
      <c r="A4782" s="35" t="s">
        <v>11418</v>
      </c>
      <c r="B4782" s="31" t="s">
        <v>11419</v>
      </c>
      <c r="C4782" s="31"/>
      <c r="D4782" s="37" t="s">
        <v>14</v>
      </c>
      <c r="E4782" s="10"/>
      <c r="F4782" s="38">
        <v>200.0</v>
      </c>
      <c r="G4782" s="11">
        <v>1232143.0</v>
      </c>
      <c r="H4782" s="34" t="str">
        <f>IFERROR(__xludf.DUMMYFUNCTION("LOWER(REGEXREPLACE(B4782&amp;"" ""&amp;C4782,""[^а-яa-z0-9 ]"","" ""))")," тол холодильный   3  pizza    1630х705х850 1000  ")</f>
        <v> тол холодильный   3  pizza    1630х705х850 1000  </v>
      </c>
    </row>
    <row r="4783">
      <c r="A4783" s="35" t="s">
        <v>11420</v>
      </c>
      <c r="B4783" s="31" t="s">
        <v>11421</v>
      </c>
      <c r="C4783" s="31"/>
      <c r="D4783" s="37" t="s">
        <v>14</v>
      </c>
      <c r="E4783" s="10"/>
      <c r="F4783" s="38">
        <v>50.0</v>
      </c>
      <c r="G4783" s="11">
        <v>363304.0</v>
      </c>
      <c r="H4783" s="34" t="str">
        <f>IFERROR(__xludf.DUMMYFUNCTION("LOWER(REGEXREPLACE(B4783&amp;"" ""&amp;C4783,""[^а-яa-z0-9 ]"","" ""))")," тол холодильный   101  ar  600х520х850  ")</f>
        <v> тол холодильный   101  ar  600х520х850  </v>
      </c>
    </row>
    <row r="4784">
      <c r="A4784" s="35" t="s">
        <v>11422</v>
      </c>
      <c r="B4784" s="31" t="s">
        <v>11423</v>
      </c>
      <c r="C4784" s="31"/>
      <c r="D4784" s="37" t="s">
        <v>14</v>
      </c>
      <c r="E4784" s="10"/>
      <c r="F4784" s="38">
        <v>130.0</v>
      </c>
      <c r="G4784" s="11">
        <v>665179.0</v>
      </c>
      <c r="H4784" s="34" t="str">
        <f>IFERROR(__xludf.DUMMYFUNCTION("LOWER(REGEXREPLACE(B4784&amp;"" ""&amp;C4784,""[^а-яa-z0-9 ]"","" ""))")," тол холодильный   2       320 л  1200х705х850 910  ")</f>
        <v> тол холодильный   2       320 л  1200х705х850 910  </v>
      </c>
    </row>
    <row r="4785">
      <c r="A4785" s="35" t="s">
        <v>11424</v>
      </c>
      <c r="B4785" s="31" t="s">
        <v>11425</v>
      </c>
      <c r="C4785" s="31"/>
      <c r="D4785" s="37" t="s">
        <v>14</v>
      </c>
      <c r="E4785" s="10"/>
      <c r="F4785" s="38">
        <v>150.0</v>
      </c>
      <c r="G4785" s="11">
        <v>793750.0</v>
      </c>
      <c r="H4785" s="34" t="str">
        <f>IFERROR(__xludf.DUMMYFUNCTION("LOWER(REGEXREPLACE(B4785&amp;"" ""&amp;C4785,""[^а-яa-z0-9 ]"","" ""))")," тол холодильный   3       450 л  1630х705х850 910  ")</f>
        <v> тол холодильный   3       450 л  1630х705х850 910  </v>
      </c>
    </row>
    <row r="4786">
      <c r="A4786" s="35" t="s">
        <v>11426</v>
      </c>
      <c r="B4786" s="31" t="s">
        <v>11427</v>
      </c>
      <c r="C4786" s="31"/>
      <c r="D4786" s="37" t="s">
        <v>14</v>
      </c>
      <c r="E4786" s="10"/>
      <c r="F4786" s="38">
        <v>125.0</v>
      </c>
      <c r="G4786" s="11">
        <v>723214.0</v>
      </c>
      <c r="H4786" s="34" t="str">
        <f>IFERROR(__xludf.DUMMYFUNCTION("LOWER(REGEXREPLACE(B4786&amp;"" ""&amp;C4786,""[^а-яa-z0-9 ]"","" ""))")," тол холодильный   2     270 л  1200х605х850 910  ")</f>
        <v> тол холодильный   2     270 л  1200х605х850 910  </v>
      </c>
    </row>
    <row r="4787">
      <c r="A4787" s="35" t="s">
        <v>11428</v>
      </c>
      <c r="B4787" s="31" t="s">
        <v>11429</v>
      </c>
      <c r="C4787" s="31"/>
      <c r="D4787" s="37" t="s">
        <v>14</v>
      </c>
      <c r="E4787" s="10"/>
      <c r="F4787" s="38">
        <v>130.0</v>
      </c>
      <c r="G4787" s="11">
        <v>745536.0</v>
      </c>
      <c r="H4787" s="34" t="str">
        <f>IFERROR(__xludf.DUMMYFUNCTION("LOWER(REGEXREPLACE(B4787&amp;"" ""&amp;C4787,""[^а-яa-z0-9 ]"","" ""))")," тол холодильный   2       320 л  1200х705х850 910  ")</f>
        <v> тол холодильный   2       320 л  1200х705х850 910  </v>
      </c>
    </row>
    <row r="4788">
      <c r="A4788" s="35" t="s">
        <v>11430</v>
      </c>
      <c r="B4788" s="31" t="s">
        <v>11431</v>
      </c>
      <c r="C4788" s="31"/>
      <c r="D4788" s="37" t="s">
        <v>14</v>
      </c>
      <c r="E4788" s="10"/>
      <c r="F4788" s="38">
        <v>160.0</v>
      </c>
      <c r="G4788" s="11">
        <v>1043750.0</v>
      </c>
      <c r="H4788" s="34" t="str">
        <f>IFERROR(__xludf.DUMMYFUNCTION("LOWER(REGEXREPLACE(B4788&amp;"" ""&amp;C4788,""[^а-яa-z0-9 ]"","" ""))")," тол холодильный   2pizza     270 л  1200х605х850 910  ")</f>
        <v> тол холодильный   2pizza     270 л  1200х605х850 910  </v>
      </c>
    </row>
    <row r="4789">
      <c r="A4789" s="35" t="s">
        <v>11432</v>
      </c>
      <c r="B4789" s="31" t="s">
        <v>11433</v>
      </c>
      <c r="C4789" s="31"/>
      <c r="D4789" s="37" t="s">
        <v>14</v>
      </c>
      <c r="E4789" s="10"/>
      <c r="F4789" s="38">
        <v>160.0</v>
      </c>
      <c r="G4789" s="11">
        <v>1006250.0</v>
      </c>
      <c r="H4789" s="34" t="str">
        <f>IFERROR(__xludf.DUMMYFUNCTION("LOWER(REGEXREPLACE(B4789&amp;"" ""&amp;C4789,""[^а-яa-z0-9 ]"","" ""))")," тол холодильный   4     500 л  2060х605х850 910  ")</f>
        <v> тол холодильный   4     500 л  2060х605х850 910  </v>
      </c>
    </row>
    <row r="4790">
      <c r="A4790" s="35" t="s">
        <v>11434</v>
      </c>
      <c r="B4790" s="31" t="s">
        <v>11435</v>
      </c>
      <c r="C4790" s="31"/>
      <c r="D4790" s="37" t="s">
        <v>14</v>
      </c>
      <c r="E4790" s="10"/>
      <c r="F4790" s="38">
        <v>80.0</v>
      </c>
      <c r="G4790" s="11">
        <v>518393.0</v>
      </c>
      <c r="H4790" s="34" t="str">
        <f>IFERROR(__xludf.DUMMYFUNCTION("LOWER(REGEXREPLACE(B4790&amp;"" ""&amp;C4790,""[^а-яa-z0-9 ]"","" ""))")," тол холодильный     2 60  1350х600х880  ")</f>
        <v> тол холодильный     2 60  1350х600х880  </v>
      </c>
    </row>
    <row r="4791">
      <c r="A4791" s="35" t="s">
        <v>11436</v>
      </c>
      <c r="B4791" s="31" t="s">
        <v>11437</v>
      </c>
      <c r="C4791" s="31"/>
      <c r="D4791" s="37" t="s">
        <v>14</v>
      </c>
      <c r="E4791" s="10"/>
      <c r="F4791" s="36"/>
      <c r="G4791" s="11"/>
      <c r="H4791" s="34" t="str">
        <f>IFERROR(__xludf.DUMMYFUNCTION("LOWER(REGEXREPLACE(B4791&amp;"" ""&amp;C4791,""[^а-яa-z0-9 ]"","" ""))")," тол холодильный ")</f>
        <v> тол холодильный </v>
      </c>
    </row>
    <row r="4792">
      <c r="A4792" s="35" t="s">
        <v>11438</v>
      </c>
      <c r="B4792" s="31" t="s">
        <v>11439</v>
      </c>
      <c r="C4792" s="31"/>
      <c r="D4792" s="37" t="s">
        <v>14</v>
      </c>
      <c r="E4792" s="10"/>
      <c r="F4792" s="38">
        <v>110.0</v>
      </c>
      <c r="G4792" s="11">
        <v>706122.0</v>
      </c>
      <c r="H4792" s="34" t="str">
        <f>IFERROR(__xludf.DUMMYFUNCTION("LOWER(REGEXREPLACE(B4792&amp;"" ""&amp;C4792,""[^а-яa-z0-9 ]"","" ""))")," тол холодильный     4 60  размеры 2200х600х880 мм  объем 515 л  мощность 0 175 к т  напряжение 220   ")</f>
        <v> тол холодильный     4 60  размеры 2200х600х880 мм  объем 515 л  мощность 0 175 к т  напряжение 220   </v>
      </c>
    </row>
    <row r="4793">
      <c r="A4793" s="35" t="s">
        <v>11440</v>
      </c>
      <c r="B4793" s="9" t="s">
        <v>11441</v>
      </c>
      <c r="C4793" s="31"/>
      <c r="D4793" s="37" t="s">
        <v>14</v>
      </c>
      <c r="E4793" s="10"/>
      <c r="F4793" s="38">
        <v>125.0</v>
      </c>
      <c r="G4793" s="11">
        <v>1205508.0</v>
      </c>
      <c r="H4793" s="34" t="str">
        <f>IFERROR(__xludf.DUMMYFUNCTION("LOWER(REGEXREPLACE(B4793&amp;"" ""&amp;C4793,""[^а-яa-z0-9 ]"","" ""))")," тол холодильный среднетемпературный    147    размеры 1360x700x850 мм  объем 282 л  мощность 0 495 к т  напряжение 220   ")</f>
        <v> тол холодильный среднетемпературный    147    размеры 1360x700x850 мм  объем 282 л  мощность 0 495 к т  напряжение 220   </v>
      </c>
    </row>
    <row r="4794">
      <c r="A4794" s="35" t="s">
        <v>11442</v>
      </c>
      <c r="B4794" s="9" t="s">
        <v>11443</v>
      </c>
      <c r="C4794" s="31"/>
      <c r="D4794" s="37" t="s">
        <v>14</v>
      </c>
      <c r="E4794" s="10"/>
      <c r="F4794" s="38">
        <v>125.0</v>
      </c>
      <c r="G4794" s="11">
        <v>1525656.0</v>
      </c>
      <c r="H4794" s="34" t="str">
        <f>IFERROR(__xludf.DUMMYFUNCTION("LOWER(REGEXREPLACE(B4794&amp;"" ""&amp;C4794,""[^а-яa-z0-9 ]"","" ""))")," тол холодильный низкотемпературный    147    размеры 1360x700x850 мм  объем 282 л  мощность 0 675 к т  напряжение 220   ")</f>
        <v> тол холодильный низкотемпературный    147    размеры 1360x700x850 мм  объем 282 л  мощность 0 675 к т  напряжение 220   </v>
      </c>
    </row>
    <row r="4795">
      <c r="A4795" s="35" t="s">
        <v>11444</v>
      </c>
      <c r="B4795" s="9" t="s">
        <v>11445</v>
      </c>
      <c r="C4795" s="31"/>
      <c r="D4795" s="37" t="s">
        <v>14</v>
      </c>
      <c r="E4795" s="10"/>
      <c r="F4795" s="38">
        <v>160.0</v>
      </c>
      <c r="G4795" s="11">
        <v>1462644.0</v>
      </c>
      <c r="H4795" s="34" t="str">
        <f>IFERROR(__xludf.DUMMYFUNCTION("LOWER(REGEXREPLACE(B4795&amp;"" ""&amp;C4795,""[^а-яa-z0-9 ]"","" ""))")," тол холодильный среднетемпературный    187    размеры 1795x700x850 мм  объем 417 л  мощность 0 495 к т  напряжение 220   ")</f>
        <v> тол холодильный среднетемпературный    187    размеры 1795x700x850 мм  объем 417 л  мощность 0 495 к т  напряжение 220   </v>
      </c>
    </row>
    <row r="4796">
      <c r="A4796" s="35" t="s">
        <v>11446</v>
      </c>
      <c r="B4796" s="31" t="s">
        <v>11447</v>
      </c>
      <c r="C4796" s="31"/>
      <c r="D4796" s="37" t="s">
        <v>14</v>
      </c>
      <c r="E4796" s="10"/>
      <c r="F4796" s="38">
        <v>160.0</v>
      </c>
      <c r="G4796" s="11">
        <v>1750414.0</v>
      </c>
      <c r="H4796" s="34" t="str">
        <f>IFERROR(__xludf.DUMMYFUNCTION("LOWER(REGEXREPLACE(B4796&amp;"" ""&amp;C4796,""[^а-яa-z0-9 ]"","" ""))")," тол холодильный низкотемпературный    187    размеры 1795x700x850 мм  объем 417 л  мощность 0 85 к т  напряжение 220   ")</f>
        <v> тол холодильный низкотемпературный    187    размеры 1795x700x850 мм  объем 417 л  мощность 0 85 к т  напряжение 220   </v>
      </c>
    </row>
    <row r="4797">
      <c r="A4797" s="35" t="s">
        <v>11448</v>
      </c>
      <c r="B4797" s="9" t="s">
        <v>11449</v>
      </c>
      <c r="C4797" s="31"/>
      <c r="D4797" s="37" t="s">
        <v>14</v>
      </c>
      <c r="E4797" s="10"/>
      <c r="F4797" s="38">
        <v>183.0</v>
      </c>
      <c r="G4797" s="11">
        <v>1715009.0</v>
      </c>
      <c r="H4797" s="34" t="str">
        <f>IFERROR(__xludf.DUMMYFUNCTION("LOWER(REGEXREPLACE(B4797&amp;"" ""&amp;C4797,""[^а-яa-z0-9 ]"","" ""))")," тол холодильный среднетемпературный    227    размеры 2230x700x850 мм  объем 553 л  мощность 0 398 к т  напряжение 220   ")</f>
        <v> тол холодильный среднетемпературный    227    размеры 2230x700x850 мм  объем 553 л  мощность 0 398 к т  напряжение 220   </v>
      </c>
    </row>
    <row r="4798">
      <c r="A4798" s="35" t="s">
        <v>11450</v>
      </c>
      <c r="B4798" s="31" t="s">
        <v>11451</v>
      </c>
      <c r="C4798" s="31"/>
      <c r="D4798" s="37" t="s">
        <v>14</v>
      </c>
      <c r="E4798" s="10"/>
      <c r="F4798" s="38">
        <v>183.0</v>
      </c>
      <c r="G4798" s="11">
        <v>2140672.0</v>
      </c>
      <c r="H4798" s="34" t="str">
        <f>IFERROR(__xludf.DUMMYFUNCTION("LOWER(REGEXREPLACE(B4798&amp;"" ""&amp;C4798,""[^а-яa-z0-9 ]"","" ""))")," тол холодильный низкотемпературный    227    размеры 2230x700x850 мм  объем 553 л  мощность 0 9 к т  напряжение 220   ")</f>
        <v> тол холодильный низкотемпературный    227    размеры 2230x700x850 мм  объем 553 л  мощность 0 9 к т  напряжение 220   </v>
      </c>
    </row>
    <row r="4799">
      <c r="A4799" s="35" t="s">
        <v>11452</v>
      </c>
      <c r="B4799" s="31" t="s">
        <v>11453</v>
      </c>
      <c r="C4799" s="31"/>
      <c r="D4799" s="37" t="s">
        <v>14</v>
      </c>
      <c r="E4799" s="10"/>
      <c r="F4799" s="38">
        <v>156.0</v>
      </c>
      <c r="G4799" s="11">
        <v>1472539.0</v>
      </c>
      <c r="H4799" s="34" t="str">
        <f>IFERROR(__xludf.DUMMYFUNCTION("LOWER(REGEXREPLACE(B4799&amp;"" ""&amp;C4799,""[^а-яa-z0-9 ]"","" ""))")," тол холодильный среднетемпературный    157    размеры 1360x700x1085 мм  объем 282 л  мощность 0 23 к т  напряжение 220   ")</f>
        <v> тол холодильный среднетемпературный    157    размеры 1360x700x1085 мм  объем 282 л  мощность 0 23 к т  напряжение 220   </v>
      </c>
    </row>
    <row r="4800">
      <c r="A4800" s="35" t="s">
        <v>11454</v>
      </c>
      <c r="B4800" s="31" t="s">
        <v>11455</v>
      </c>
      <c r="C4800" s="31"/>
      <c r="D4800" s="37" t="s">
        <v>14</v>
      </c>
      <c r="E4800" s="10"/>
      <c r="F4800" s="38">
        <v>130.0</v>
      </c>
      <c r="G4800" s="11">
        <v>1646866.0</v>
      </c>
      <c r="H4800" s="34" t="str">
        <f>IFERROR(__xludf.DUMMYFUNCTION("LOWER(REGEXREPLACE(B4800&amp;"" ""&amp;C4800,""[^а-яa-z0-9 ]"","" ""))")," тол холодильный среднетемпературный    158    размеры 1360x800x1085 мм  объем 390 л  мощность 0 23 к т  напряжение 220   ")</f>
        <v> тол холодильный среднетемпературный    158    размеры 1360x800x1085 мм  объем 390 л  мощность 0 23 к т  напряжение 220   </v>
      </c>
    </row>
    <row r="4801">
      <c r="A4801" s="35" t="s">
        <v>11456</v>
      </c>
      <c r="B4801" s="31" t="s">
        <v>11457</v>
      </c>
      <c r="C4801" s="31"/>
      <c r="D4801" s="37" t="s">
        <v>14</v>
      </c>
      <c r="E4801" s="10"/>
      <c r="F4801" s="38">
        <v>169.0</v>
      </c>
      <c r="G4801" s="11">
        <v>1697232.0</v>
      </c>
      <c r="H4801" s="34" t="str">
        <f>IFERROR(__xludf.DUMMYFUNCTION("LOWER(REGEXREPLACE(B4801&amp;"" ""&amp;C4801,""[^а-яa-z0-9 ]"","" ""))")," тол холодильный среднетемпературный    207    размеры 1795x700x1085 мм  объем 417 л  мощность 0 23 к т  напряжение 220   ")</f>
        <v> тол холодильный среднетемпературный    207    размеры 1795x700x1085 мм  объем 417 л  мощность 0 23 к т  напряжение 220   </v>
      </c>
    </row>
    <row r="4802">
      <c r="A4802" s="35" t="s">
        <v>11458</v>
      </c>
      <c r="B4802" s="31" t="s">
        <v>11459</v>
      </c>
      <c r="C4802" s="31"/>
      <c r="D4802" s="37" t="s">
        <v>14</v>
      </c>
      <c r="E4802" s="10"/>
      <c r="F4802" s="38">
        <v>169.0</v>
      </c>
      <c r="G4802" s="11">
        <v>1871636.0</v>
      </c>
      <c r="H4802" s="34" t="str">
        <f>IFERROR(__xludf.DUMMYFUNCTION("LOWER(REGEXREPLACE(B4802&amp;"" ""&amp;C4802,""[^а-яa-z0-9 ]"","" ""))")," тол холодильный среднетемпературный    208    размеры 2020x700x1085 мм  объем 580 л  мощность 0 23 к т  напряжение 220   ")</f>
        <v> тол холодильный среднетемпературный    208    размеры 2020x700x1085 мм  объем 580 л  мощность 0 23 к т  напряжение 220   </v>
      </c>
    </row>
    <row r="4803">
      <c r="A4803" s="35" t="s">
        <v>11460</v>
      </c>
      <c r="B4803" s="31" t="s">
        <v>11461</v>
      </c>
      <c r="C4803" s="31"/>
      <c r="D4803" s="37" t="s">
        <v>14</v>
      </c>
      <c r="E4803" s="10"/>
      <c r="F4803" s="38">
        <v>125.0</v>
      </c>
      <c r="G4803" s="11">
        <v>969930.0</v>
      </c>
      <c r="H4803" s="34" t="str">
        <f>IFERROR(__xludf.DUMMYFUNCTION("LOWER(REGEXREPLACE(B4803&amp;"" ""&amp;C4803,""[^а-яa-z0-9 ]"","" ""))")," тол холодильный среднетемпературный    97     размеры 900x700x970 мм  объем 240 л  мощность 0 23 к т  напряжение 220   ")</f>
        <v> тол холодильный среднетемпературный    97     размеры 900x700x970 мм  объем 240 л  мощность 0 23 к т  напряжение 220   </v>
      </c>
    </row>
    <row r="4804">
      <c r="A4804" s="35" t="s">
        <v>11462</v>
      </c>
      <c r="B4804" s="31" t="s">
        <v>11463</v>
      </c>
      <c r="C4804" s="31"/>
      <c r="D4804" s="37" t="s">
        <v>14</v>
      </c>
      <c r="E4804" s="10"/>
      <c r="F4804" s="38">
        <v>125.0</v>
      </c>
      <c r="G4804" s="11">
        <v>1380813.0</v>
      </c>
      <c r="H4804" s="34" t="str">
        <f>IFERROR(__xludf.DUMMYFUNCTION("LOWER(REGEXREPLACE(B4804&amp;"" ""&amp;C4804,""[^а-яa-z0-9 ]"","" ""))")," тол холодильный среднетемпературный    147     размеры 1365x700x970 мм  объем 392 л  мощность 0 23 к т  напряжение 220   ")</f>
        <v> тол холодильный среднетемпературный    147     размеры 1365x700x970 мм  объем 392 л  мощность 0 23 к т  напряжение 220   </v>
      </c>
    </row>
    <row r="4805">
      <c r="A4805" s="35" t="s">
        <v>11464</v>
      </c>
      <c r="B4805" s="31" t="s">
        <v>11465</v>
      </c>
      <c r="C4805" s="31"/>
      <c r="D4805" s="37" t="s">
        <v>14</v>
      </c>
      <c r="E4805" s="10"/>
      <c r="F4805" s="38">
        <v>50.0</v>
      </c>
      <c r="G4805" s="11">
        <v>635684.0</v>
      </c>
      <c r="H4805" s="34" t="str">
        <f>IFERROR(__xludf.DUMMYFUNCTION("LOWER(REGEXREPLACE(B4805&amp;"" ""&amp;C4805,""[^а-яa-z0-9 ]"","" ""))")," тол холодильный среднетемпературный    65   размеры 600x510x895 мм  объем 126 л  мощность 0 23 к т  напряжение 220   ")</f>
        <v> тол холодильный среднетемпературный    65   размеры 600x510x895 мм  объем 126 л  мощность 0 23 к т  напряжение 220   </v>
      </c>
    </row>
    <row r="4806">
      <c r="A4806" s="35" t="s">
        <v>11466</v>
      </c>
      <c r="B4806" s="31" t="s">
        <v>11467</v>
      </c>
      <c r="C4806" s="31"/>
      <c r="D4806" s="37" t="s">
        <v>14</v>
      </c>
      <c r="E4806" s="10"/>
      <c r="F4806" s="38">
        <v>68.0</v>
      </c>
      <c r="G4806" s="11">
        <v>718504.0</v>
      </c>
      <c r="H4806" s="34" t="str">
        <f>IFERROR(__xludf.DUMMYFUNCTION("LOWER(REGEXREPLACE(B4806&amp;"" ""&amp;C4806,""[^а-яa-z0-9 ]"","" ""))")," тол холодильный среднетемпературный    95   размеры 920x510x895 мм  объем 220 л  мощность 0 25 к т  напряжение 220   ")</f>
        <v> тол холодильный среднетемпературный    95   размеры 920x510x895 мм  объем 220 л  мощность 0 25 к т  напряжение 220   </v>
      </c>
    </row>
    <row r="4807">
      <c r="A4807" s="35" t="s">
        <v>11468</v>
      </c>
      <c r="B4807" s="31" t="s">
        <v>11469</v>
      </c>
      <c r="C4807" s="31"/>
      <c r="D4807" s="37" t="s">
        <v>14</v>
      </c>
      <c r="E4807" s="10"/>
      <c r="F4807" s="38">
        <v>100.0</v>
      </c>
      <c r="G4807" s="11">
        <v>901870.0</v>
      </c>
      <c r="H4807" s="34" t="str">
        <f>IFERROR(__xludf.DUMMYFUNCTION("LOWER(REGEXREPLACE(B4807&amp;"" ""&amp;C4807,""[^а-яa-z0-9 ]"","" ""))")," тол холодильный среднетемпературный    135   размеры 1335x510x895 мм  объем 300 л  мощность 0 26 к т  напряжение 220   ")</f>
        <v> тол холодильный среднетемпературный    135   размеры 1335x510x895 мм  объем 300 л  мощность 0 26 к т  напряжение 220   </v>
      </c>
    </row>
    <row r="4808">
      <c r="A4808" s="35" t="s">
        <v>11470</v>
      </c>
      <c r="B4808" s="31" t="s">
        <v>11471</v>
      </c>
      <c r="C4808" s="31"/>
      <c r="D4808" s="37" t="s">
        <v>14</v>
      </c>
      <c r="E4808" s="10"/>
      <c r="F4808" s="38">
        <v>94.0</v>
      </c>
      <c r="G4808" s="11">
        <v>764911.0</v>
      </c>
      <c r="H4808" s="34" t="str">
        <f>IFERROR(__xludf.DUMMYFUNCTION("LOWER(REGEXREPLACE(B4808&amp;"" ""&amp;C4808,""[^а-яa-z0-9 ]"","" ""))")," каф стол холодильный     0 2 1400  нержавейка    220 л  1393х600х840  ")</f>
        <v> каф стол холодильный     0 2 1400  нержавейка    220 л  1393х600х840  </v>
      </c>
    </row>
    <row r="4809">
      <c r="A4809" s="35" t="s">
        <v>11472</v>
      </c>
      <c r="B4809" s="31" t="s">
        <v>11473</v>
      </c>
      <c r="C4809" s="31"/>
      <c r="D4809" s="37" t="s">
        <v>14</v>
      </c>
      <c r="E4809" s="10"/>
      <c r="F4809" s="36"/>
      <c r="G4809" s="11"/>
      <c r="H4809" s="34" t="str">
        <f>IFERROR(__xludf.DUMMYFUNCTION("LOWER(REGEXREPLACE(B4809&amp;"" ""&amp;C4809,""[^а-яa-z0-9 ]"","" ""))")," ьдогенератор ")</f>
        <v> ьдогенератор </v>
      </c>
    </row>
    <row r="4810">
      <c r="A4810" s="35" t="s">
        <v>11474</v>
      </c>
      <c r="B4810" s="9" t="s">
        <v>11475</v>
      </c>
      <c r="C4810" s="31"/>
      <c r="D4810" s="37" t="s">
        <v>14</v>
      </c>
      <c r="E4810" s="10"/>
      <c r="F4810" s="38">
        <v>31.0</v>
      </c>
      <c r="G4810" s="11">
        <v>756824.0</v>
      </c>
      <c r="H4810" s="34" t="str">
        <f>IFERROR(__xludf.DUMMYFUNCTION("LOWER(REGEXREPLACE(B4810&amp;"" ""&amp;C4810,""[^а-яa-z0-9 ]"","" ""))")," ьдогенератор кубикового льда     356    размеры 398x510x608 мм  производительность 28 кг сутки  мощность 0 24 к т  напряжение 220   ")</f>
        <v> ьдогенератор кубикового льда     356    размеры 398x510x608 мм  производительность 28 кг сутки  мощность 0 24 к т  напряжение 220   </v>
      </c>
    </row>
    <row r="4811">
      <c r="A4811" s="35" t="s">
        <v>11476</v>
      </c>
      <c r="B4811" s="9" t="s">
        <v>11477</v>
      </c>
      <c r="C4811" s="31"/>
      <c r="D4811" s="37" t="s">
        <v>14</v>
      </c>
      <c r="E4811" s="10"/>
      <c r="F4811" s="38">
        <v>64.0</v>
      </c>
      <c r="G4811" s="11">
        <v>1120507.0</v>
      </c>
      <c r="H4811" s="34" t="str">
        <f>IFERROR(__xludf.DUMMYFUNCTION("LOWER(REGEXREPLACE(B4811&amp;"" ""&amp;C4811,""[^а-яa-z0-9 ]"","" ""))")," ьдогенератор кубикового льда     556    размеры 548x572x670 мм  производительность 52 кг сутки  мощность 0 32 к т  напряжение 220   ")</f>
        <v> ьдогенератор кубикового льда     556    размеры 548x572x670 мм  производительность 52 кг сутки  мощность 0 32 к т  напряжение 220   </v>
      </c>
    </row>
    <row r="4812">
      <c r="A4812" s="35" t="s">
        <v>11478</v>
      </c>
      <c r="B4812" s="9" t="s">
        <v>11479</v>
      </c>
      <c r="C4812" s="31"/>
      <c r="D4812" s="37" t="s">
        <v>14</v>
      </c>
      <c r="E4812" s="10"/>
      <c r="F4812" s="38">
        <v>72.0</v>
      </c>
      <c r="G4812" s="11">
        <v>1377701.0</v>
      </c>
      <c r="H4812" s="34" t="str">
        <f>IFERROR(__xludf.DUMMYFUNCTION("LOWER(REGEXREPLACE(B4812&amp;"" ""&amp;C4812,""[^а-яa-z0-9 ]"","" ""))")," ьдогенератор кубикового льда     569    размеры 500x612x910 мм  производительность 80 кг сутки  мощность 0 44 к т  напряжение 220   ")</f>
        <v> ьдогенератор кубикового льда     569    размеры 500x612x910 мм  производительность 80 кг сутки  мощность 0 44 к т  напряжение 220   </v>
      </c>
    </row>
    <row r="4813">
      <c r="A4813" s="35" t="s">
        <v>11480</v>
      </c>
      <c r="B4813" s="31" t="s">
        <v>11481</v>
      </c>
      <c r="C4813" s="31"/>
      <c r="D4813" s="37" t="s">
        <v>14</v>
      </c>
      <c r="E4813" s="10"/>
      <c r="F4813" s="36"/>
      <c r="G4813" s="11"/>
      <c r="H4813" s="34" t="str">
        <f>IFERROR(__xludf.DUMMYFUNCTION("LOWER(REGEXREPLACE(B4813&amp;"" ""&amp;C4813,""[^а-яa-z0-9 ]"","" ""))")," каф морозильный ")</f>
        <v> каф морозильный </v>
      </c>
    </row>
    <row r="4814">
      <c r="A4814" s="35" t="s">
        <v>11482</v>
      </c>
      <c r="B4814" s="31" t="s">
        <v>11483</v>
      </c>
      <c r="C4814" s="31"/>
      <c r="D4814" s="37" t="s">
        <v>14</v>
      </c>
      <c r="E4814" s="10"/>
      <c r="F4814" s="38">
        <v>128.0</v>
      </c>
      <c r="G4814" s="11">
        <v>6326767.0</v>
      </c>
      <c r="H4814" s="34" t="str">
        <f>IFERROR(__xludf.DUMMYFUNCTION("LOWER(REGEXREPLACE(B4814&amp;"" ""&amp;C4814,""[^а-яa-z0-9 ]"","" ""))")," каф морозильный шоковой заморозки     101  размеры 790х820х1430 мм  мощность 1 5 к т  напряжение 220   ")</f>
        <v> каф морозильный шоковой заморозки     101  размеры 790х820х1430 мм  мощность 1 5 к т  напряжение 220   </v>
      </c>
    </row>
    <row r="4815">
      <c r="A4815" s="35" t="s">
        <v>11484</v>
      </c>
      <c r="B4815" s="31" t="s">
        <v>11485</v>
      </c>
      <c r="C4815" s="31"/>
      <c r="D4815" s="37" t="s">
        <v>14</v>
      </c>
      <c r="E4815" s="10"/>
      <c r="F4815" s="38">
        <v>184.0</v>
      </c>
      <c r="G4815" s="11">
        <v>1.0383679E7</v>
      </c>
      <c r="H4815" s="34" t="str">
        <f>IFERROR(__xludf.DUMMYFUNCTION("LOWER(REGEXREPLACE(B4815&amp;"" ""&amp;C4815,""[^а-яa-z0-9 ]"","" ""))")," каф морозильный шоковой заморозки     151  размеры 790х820х1800 мм  мощность 1 7 к т  напряжение 220   ")</f>
        <v> каф морозильный шоковой заморозки     151  размеры 790х820х1800 мм  мощность 1 7 к т  напряжение 220   </v>
      </c>
    </row>
    <row r="4816">
      <c r="A4816" s="35" t="s">
        <v>11486</v>
      </c>
      <c r="B4816" s="31" t="s">
        <v>11487</v>
      </c>
      <c r="C4816" s="31"/>
      <c r="D4816" s="36"/>
      <c r="E4816" s="10"/>
      <c r="F4816" s="36"/>
      <c r="G4816" s="11"/>
      <c r="H4816" s="34" t="str">
        <f>IFERROR(__xludf.DUMMYFUNCTION("LOWER(REGEXREPLACE(B4816&amp;"" ""&amp;C4816,""[^а-яa-z0-9 ]"","" ""))")," лебопекарное оборудование ")</f>
        <v> лебопекарное оборудование </v>
      </c>
    </row>
    <row r="4817">
      <c r="A4817" s="35" t="s">
        <v>11488</v>
      </c>
      <c r="B4817" s="9" t="s">
        <v>11489</v>
      </c>
      <c r="C4817" s="31"/>
      <c r="D4817" s="37" t="s">
        <v>14</v>
      </c>
      <c r="E4817" s="10"/>
      <c r="F4817" s="38">
        <v>136.0</v>
      </c>
      <c r="G4817" s="11">
        <v>3158183.0</v>
      </c>
      <c r="H4817" s="34" t="str">
        <f>IFERROR(__xludf.DUMMYFUNCTION("LOWER(REGEXREPLACE(B4817&amp;"" ""&amp;C4817,""[^а-яa-z0-9 ]"","" ""))")," ечь конвекционная           10    1   860х957х1163 мм  10 листов 600х400  14 9 к т  380    ")</f>
        <v> ечь конвекционная           10    1   860х957х1163 мм  10 листов 600х400  14 9 к т  380    </v>
      </c>
    </row>
    <row r="4818">
      <c r="A4818" s="35" t="s">
        <v>11490</v>
      </c>
      <c r="B4818" s="9" t="s">
        <v>11491</v>
      </c>
      <c r="C4818" s="31"/>
      <c r="D4818" s="37" t="s">
        <v>14</v>
      </c>
      <c r="E4818" s="10"/>
      <c r="F4818" s="38">
        <v>37.0</v>
      </c>
      <c r="G4818" s="11">
        <v>451365.0</v>
      </c>
      <c r="H4818" s="34" t="str">
        <f>IFERROR(__xludf.DUMMYFUNCTION("LOWER(REGEXREPLACE(B4818&amp;"" ""&amp;C4818,""[^а-яa-z0-9 ]"","" ""))")," ечь конвекционная         5004   4 противня 480х345  3 3 к т  600x600x540  ")</f>
        <v> ечь конвекционная         5004   4 противня 480х345  3 3 к т  600x600x540  </v>
      </c>
    </row>
    <row r="4819">
      <c r="A4819" s="35" t="s">
        <v>11492</v>
      </c>
      <c r="B4819" s="31" t="s">
        <v>11493</v>
      </c>
      <c r="C4819" s="31"/>
      <c r="D4819" s="37" t="s">
        <v>14</v>
      </c>
      <c r="E4819" s="10"/>
      <c r="F4819" s="36"/>
      <c r="G4819" s="11"/>
      <c r="H4819" s="34" t="str">
        <f>IFERROR(__xludf.DUMMYFUNCTION("LOWER(REGEXREPLACE(B4819&amp;"" ""&amp;C4819,""[^а-яa-z0-9 ]"","" ""))")," ечь конвекционная ")</f>
        <v> ечь конвекционная </v>
      </c>
    </row>
    <row r="4820">
      <c r="A4820" s="35" t="s">
        <v>11494</v>
      </c>
      <c r="B4820" s="9" t="s">
        <v>11495</v>
      </c>
      <c r="C4820" s="31"/>
      <c r="D4820" s="37" t="s">
        <v>14</v>
      </c>
      <c r="E4820" s="10"/>
      <c r="F4820" s="38">
        <v>90.0</v>
      </c>
      <c r="G4820" s="11">
        <v>1684906.0</v>
      </c>
      <c r="H4820" s="34" t="str">
        <f>IFERROR(__xludf.DUMMYFUNCTION("LOWER(REGEXREPLACE(B4820&amp;"" ""&amp;C4820,""[^а-яa-z0-9 ]"","" ""))")," ечь конвекционная           04    1    размеры 860x967x675 мм  мощность 7 4 к т  напряжение 220 380   ")</f>
        <v> ечь конвекционная           04    1    размеры 860x967x675 мм  мощность 7 4 к т  напряжение 220 380   </v>
      </c>
    </row>
    <row r="4821">
      <c r="A4821" s="35" t="s">
        <v>11496</v>
      </c>
      <c r="B4821" s="31" t="s">
        <v>11497</v>
      </c>
      <c r="C4821" s="31"/>
      <c r="D4821" s="37" t="s">
        <v>14</v>
      </c>
      <c r="E4821" s="10"/>
      <c r="F4821" s="38">
        <v>39.0</v>
      </c>
      <c r="G4821" s="11">
        <v>541970.0</v>
      </c>
      <c r="H4821" s="34" t="str">
        <f>IFERROR(__xludf.DUMMYFUNCTION("LOWER(REGEXREPLACE(B4821&amp;"" ""&amp;C4821,""[^а-яa-z0-9 ]"","" ""))")," ечь конвекционная     4   размеры 595х600х580 мм  мощность 2 6 к т  напряжение 220   ")</f>
        <v> ечь конвекционная     4   размеры 595х600х580 мм  мощность 2 6 к т  напряжение 220   </v>
      </c>
    </row>
    <row r="4822">
      <c r="A4822" s="35" t="s">
        <v>11498</v>
      </c>
      <c r="B4822" s="31" t="s">
        <v>11499</v>
      </c>
      <c r="C4822" s="31"/>
      <c r="D4822" s="37" t="s">
        <v>14</v>
      </c>
      <c r="E4822" s="10"/>
      <c r="F4822" s="38">
        <v>56.0</v>
      </c>
      <c r="G4822" s="11">
        <v>875171.0</v>
      </c>
      <c r="H4822" s="34" t="str">
        <f>IFERROR(__xludf.DUMMYFUNCTION("LOWER(REGEXREPLACE(B4822&amp;"" ""&amp;C4822,""[^а-яa-z0-9 ]"","" ""))")," ечь конвекционная     8   размеры 835х800х580 мм  мощность 6 4 к т  напряжение 220   ")</f>
        <v> ечь конвекционная     8   размеры 835х800х580 мм  мощность 6 4 к т  напряжение 220   </v>
      </c>
    </row>
    <row r="4823">
      <c r="A4823" s="35" t="s">
        <v>11500</v>
      </c>
      <c r="B4823" s="31" t="s">
        <v>11501</v>
      </c>
      <c r="C4823" s="31"/>
      <c r="D4823" s="37" t="s">
        <v>14</v>
      </c>
      <c r="E4823" s="10"/>
      <c r="F4823" s="38">
        <v>85.0</v>
      </c>
      <c r="G4823" s="11">
        <v>481513.0</v>
      </c>
      <c r="H4823" s="34" t="str">
        <f>IFERROR(__xludf.DUMMYFUNCTION("LOWER(REGEXREPLACE(B4823&amp;"" ""&amp;C4823,""[^а-яa-z0-9 ]"","" ""))")," ечь конвекционная     12   размеры 1220х815х580 мм  мощность 6 6 к т  напряжение 220   ")</f>
        <v> ечь конвекционная     12   размеры 1220х815х580 мм  мощность 6 6 к т  напряжение 220   </v>
      </c>
    </row>
    <row r="4824">
      <c r="A4824" s="35" t="s">
        <v>11502</v>
      </c>
      <c r="B4824" s="31" t="s">
        <v>11503</v>
      </c>
      <c r="C4824" s="31"/>
      <c r="D4824" s="37" t="s">
        <v>14</v>
      </c>
      <c r="E4824" s="10"/>
      <c r="F4824" s="38">
        <v>144.0</v>
      </c>
      <c r="G4824" s="11">
        <v>892072.0</v>
      </c>
      <c r="H4824" s="34" t="str">
        <f>IFERROR(__xludf.DUMMYFUNCTION("LOWER(REGEXREPLACE(B4824&amp;"" ""&amp;C4824,""[^а-яa-z0-9 ]"","" ""))")," ечь конвекционная     24   размеры 1220х815х1260 мм  мощность 13 2 к т  напряжение 380   ")</f>
        <v> ечь конвекционная     24   размеры 1220х815х1260 мм  мощность 13 2 к т  напряжение 380   </v>
      </c>
    </row>
    <row r="4825">
      <c r="A4825" s="35" t="s">
        <v>11504</v>
      </c>
      <c r="B4825" s="31" t="s">
        <v>11505</v>
      </c>
      <c r="C4825" s="31"/>
      <c r="D4825" s="37" t="s">
        <v>14</v>
      </c>
      <c r="E4825" s="10"/>
      <c r="F4825" s="38">
        <v>208.0</v>
      </c>
      <c r="G4825" s="11">
        <v>1318878.0</v>
      </c>
      <c r="H4825" s="34" t="str">
        <f>IFERROR(__xludf.DUMMYFUNCTION("LOWER(REGEXREPLACE(B4825&amp;"" ""&amp;C4825,""[^а-яa-z0-9 ]"","" ""))")," ечь конвекционная     36   размеры 1220х815х1530 мм  мощность 19 5 к т  напряжение 380   ")</f>
        <v> ечь конвекционная     36   размеры 1220х815х1530 мм  мощность 19 5 к т  напряжение 380   </v>
      </c>
    </row>
    <row r="4826">
      <c r="A4826" s="35" t="s">
        <v>11506</v>
      </c>
      <c r="B4826" s="31" t="s">
        <v>11507</v>
      </c>
      <c r="C4826" s="31"/>
      <c r="D4826" s="37" t="s">
        <v>14</v>
      </c>
      <c r="E4826" s="10"/>
      <c r="F4826" s="38">
        <v>80.0</v>
      </c>
      <c r="G4826" s="11">
        <v>1583954.0</v>
      </c>
      <c r="H4826" s="34" t="str">
        <f>IFERROR(__xludf.DUMMYFUNCTION("LOWER(REGEXREPLACE(B4826&amp;"" ""&amp;C4826,""[^а-яa-z0-9 ]"","" ""))")," ечь конвекционная     210   размеры 1220х820х1490 мм  мощность 8 6 к т  напряжение 380   ")</f>
        <v> ечь конвекционная     210   размеры 1220х820х1490 мм  мощность 8 6 к т  напряжение 380   </v>
      </c>
    </row>
    <row r="4827">
      <c r="A4827" s="35" t="s">
        <v>11508</v>
      </c>
      <c r="B4827" s="31" t="s">
        <v>11509</v>
      </c>
      <c r="C4827" s="31"/>
      <c r="D4827" s="37" t="s">
        <v>14</v>
      </c>
      <c r="E4827" s="10"/>
      <c r="F4827" s="38">
        <v>230.0</v>
      </c>
      <c r="G4827" s="11">
        <v>2106540.0</v>
      </c>
      <c r="H4827" s="34" t="str">
        <f>IFERROR(__xludf.DUMMYFUNCTION("LOWER(REGEXREPLACE(B4827&amp;"" ""&amp;C4827,""[^а-яa-z0-9 ]"","" ""))")," ечь конвекционная     408   размеры 1220х820х1880 мм  мощность 15 2 к т  напряжение 380   ")</f>
        <v> ечь конвекционная     408   размеры 1220х820х1880 мм  мощность 15 2 к т  напряжение 380   </v>
      </c>
    </row>
    <row r="4828">
      <c r="A4828" s="35" t="s">
        <v>11510</v>
      </c>
      <c r="B4828" s="31" t="s">
        <v>11511</v>
      </c>
      <c r="C4828" s="31"/>
      <c r="D4828" s="37" t="s">
        <v>14</v>
      </c>
      <c r="E4828" s="10"/>
      <c r="F4828" s="38">
        <v>96.0</v>
      </c>
      <c r="G4828" s="11">
        <v>1801164.0</v>
      </c>
      <c r="H4828" s="34" t="str">
        <f>IFERROR(__xludf.DUMMYFUNCTION("LOWER(REGEXREPLACE(B4828&amp;"" ""&amp;C4828,""[^а-яa-z0-9 ]"","" ""))")," ечь конвекционная конвейерная для пиццы     18  размеры 1560х750х360 мм  мощность 10 3 к т  напряжение 380   ")</f>
        <v> ечь конвекционная конвейерная для пиццы     18  размеры 1560х750х360 мм  мощность 10 3 к т  напряжение 380   </v>
      </c>
    </row>
    <row r="4829">
      <c r="A4829" s="35" t="s">
        <v>11512</v>
      </c>
      <c r="B4829" s="31" t="s">
        <v>11513</v>
      </c>
      <c r="C4829" s="31"/>
      <c r="D4829" s="37" t="s">
        <v>14</v>
      </c>
      <c r="E4829" s="38">
        <v>2.0</v>
      </c>
      <c r="F4829" s="38">
        <v>115.0</v>
      </c>
      <c r="G4829" s="11">
        <v>870295.0</v>
      </c>
      <c r="H4829" s="34" t="str">
        <f>IFERROR(__xludf.DUMMYFUNCTION("LOWER(REGEXREPLACE(B4829&amp;"" ""&amp;C4829,""[^а-яa-z0-9 ]"","" ""))")," ечь конвекционная     6  6 уровней  400х600 мм  нерж  камера  эл механика  пароувлажнение  регулировка влажности  реверс  без противней  10 5к т  ")</f>
        <v> ечь конвекционная     6  6 уровней  400х600 мм  нерж  камера  эл механика  пароувлажнение  регулировка влажности  реверс  без противней  10 5к т  </v>
      </c>
    </row>
    <row r="4830">
      <c r="A4830" s="35" t="s">
        <v>11514</v>
      </c>
      <c r="B4830" s="31" t="s">
        <v>11515</v>
      </c>
      <c r="C4830" s="31"/>
      <c r="D4830" s="37" t="s">
        <v>14</v>
      </c>
      <c r="E4830" s="38">
        <v>2.0</v>
      </c>
      <c r="F4830" s="38">
        <v>150.0</v>
      </c>
      <c r="G4830" s="11">
        <v>1117697.0</v>
      </c>
      <c r="H4830" s="34" t="str">
        <f>IFERROR(__xludf.DUMMYFUNCTION("LOWER(REGEXREPLACE(B4830&amp;"" ""&amp;C4830,""[^а-яa-z0-9 ]"","" ""))")," ечь конвекционная     10  10 уровней  400х600 мм  нерж  камера  эл механика  пароувлажнение  регулировка влажности  реверс  без противней  15 85к т  ")</f>
        <v> ечь конвекционная     10  10 уровней  400х600 мм  нерж  камера  эл механика  пароувлажнение  регулировка влажности  реверс  без противней  15 85к т  </v>
      </c>
    </row>
    <row r="4831">
      <c r="A4831" s="35" t="s">
        <v>11516</v>
      </c>
      <c r="B4831" s="9" t="s">
        <v>11517</v>
      </c>
      <c r="C4831" s="31"/>
      <c r="D4831" s="37" t="s">
        <v>14</v>
      </c>
      <c r="E4831" s="10"/>
      <c r="F4831" s="38">
        <v>45.0</v>
      </c>
      <c r="G4831" s="11">
        <v>879473.0</v>
      </c>
      <c r="H4831" s="34" t="str">
        <f>IFERROR(__xludf.DUMMYFUNCTION("LOWER(REGEXREPLACE(B4831&amp;"" ""&amp;C4831,""[^а-яa-z0-9 ]"","" ""))")," каф расстоечный            12      860х978х798 мм  2 3 к т  220    12 уровней  ")</f>
        <v> каф расстоечный            12      860х978х798 мм  2 3 к т  220    12 уровней  </v>
      </c>
    </row>
    <row r="4832">
      <c r="A4832" s="35" t="s">
        <v>11518</v>
      </c>
      <c r="B4832" s="31" t="s">
        <v>11519</v>
      </c>
      <c r="C4832" s="31"/>
      <c r="D4832" s="37" t="s">
        <v>14</v>
      </c>
      <c r="E4832" s="10"/>
      <c r="F4832" s="38">
        <v>37.0</v>
      </c>
      <c r="G4832" s="11">
        <v>513857.0</v>
      </c>
      <c r="H4832" s="34" t="str">
        <f>IFERROR(__xludf.DUMMYFUNCTION("LOWER(REGEXREPLACE(B4832&amp;"" ""&amp;C4832,""[^а-яa-z0-9 ]"","" ""))"),"  каф расстоечный          193   800х759х774 мм  1 2 к т  220    8 уровней   ")</f>
        <v>  каф расстоечный          193   800х759х774 мм  1 2 к т  220    8 уровней   </v>
      </c>
    </row>
    <row r="4833">
      <c r="A4833" s="35" t="s">
        <v>11520</v>
      </c>
      <c r="B4833" s="31" t="s">
        <v>11521</v>
      </c>
      <c r="C4833" s="31"/>
      <c r="D4833" s="37" t="s">
        <v>14</v>
      </c>
      <c r="E4833" s="10"/>
      <c r="F4833" s="36"/>
      <c r="G4833" s="11"/>
      <c r="H4833" s="34" t="str">
        <f>IFERROR(__xludf.DUMMYFUNCTION("LOWER(REGEXREPLACE(B4833&amp;"" ""&amp;C4833,""[^а-яa-z0-9 ]"","" ""))")," каф расстоечный ")</f>
        <v> каф расстоечный </v>
      </c>
    </row>
    <row r="4834">
      <c r="A4834" s="35" t="s">
        <v>11522</v>
      </c>
      <c r="B4834" s="31" t="s">
        <v>11523</v>
      </c>
      <c r="C4834" s="31"/>
      <c r="D4834" s="37" t="s">
        <v>14</v>
      </c>
      <c r="E4834" s="10"/>
      <c r="F4834" s="38">
        <v>51.0</v>
      </c>
      <c r="G4834" s="11">
        <v>324229.0</v>
      </c>
      <c r="H4834" s="34" t="str">
        <f>IFERROR(__xludf.DUMMYFUNCTION("LOWER(REGEXREPLACE(B4834&amp;"" ""&amp;C4834,""[^а-яa-z0-9 ]"","" ""))")," каф расстоечный    930 8  размеры 600х600х930 мм  мощность 2 к т  напряжение 220   ")</f>
        <v> каф расстоечный    930 8  размеры 600х600х930 мм  мощность 2 к т  напряжение 220   </v>
      </c>
    </row>
    <row r="4835">
      <c r="A4835" s="35" t="s">
        <v>11524</v>
      </c>
      <c r="B4835" s="31" t="s">
        <v>11525</v>
      </c>
      <c r="C4835" s="31"/>
      <c r="D4835" s="37" t="s">
        <v>14</v>
      </c>
      <c r="E4835" s="10"/>
      <c r="F4835" s="38">
        <v>34.0</v>
      </c>
      <c r="G4835" s="11">
        <v>820636.0</v>
      </c>
      <c r="H4835" s="34" t="str">
        <f>IFERROR(__xludf.DUMMYFUNCTION("LOWER(REGEXREPLACE(B4835&amp;"" ""&amp;C4835,""[^а-яa-z0-9 ]"","" ""))")," каф расстоечный    10   размеры 1200х815х940 мм  мощность 2 8 к т  напряжение 220   ")</f>
        <v> каф расстоечный    10   размеры 1200х815х940 мм  мощность 2 8 к т  напряжение 220   </v>
      </c>
    </row>
    <row r="4836">
      <c r="A4836" s="35" t="s">
        <v>11526</v>
      </c>
      <c r="B4836" s="31" t="s">
        <v>11527</v>
      </c>
      <c r="C4836" s="31"/>
      <c r="D4836" s="37" t="s">
        <v>14</v>
      </c>
      <c r="E4836" s="10"/>
      <c r="F4836" s="38">
        <v>26.0</v>
      </c>
      <c r="G4836" s="11">
        <v>352478.0</v>
      </c>
      <c r="H4836" s="34" t="str">
        <f>IFERROR(__xludf.DUMMYFUNCTION("LOWER(REGEXREPLACE(B4836&amp;"" ""&amp;C4836,""[^а-яa-z0-9 ]"","" ""))")," каф расстоечный    6   размеры 590х690х910 мм  мощность 1 4 к т  напряжение 220   ")</f>
        <v> каф расстоечный    6   размеры 590х690х910 мм  мощность 1 4 к т  напряжение 220   </v>
      </c>
    </row>
    <row r="4837">
      <c r="A4837" s="35" t="s">
        <v>11528</v>
      </c>
      <c r="B4837" s="31" t="s">
        <v>11529</v>
      </c>
      <c r="C4837" s="31"/>
      <c r="D4837" s="37" t="s">
        <v>14</v>
      </c>
      <c r="E4837" s="10"/>
      <c r="F4837" s="38">
        <v>37.0</v>
      </c>
      <c r="G4837" s="11">
        <v>495698.0</v>
      </c>
      <c r="H4837" s="34" t="str">
        <f>IFERROR(__xludf.DUMMYFUNCTION("LOWER(REGEXREPLACE(B4837&amp;"" ""&amp;C4837,""[^а-яa-z0-9 ]"","" ""))")," каф расстоечный    13  размеры 490х690х1660 мм   мощность 2 6 к т  напряжение 220   ")</f>
        <v> каф расстоечный    13  размеры 490х690х1660 мм   мощность 2 6 к т  напряжение 220   </v>
      </c>
    </row>
    <row r="4838">
      <c r="A4838" s="35" t="s">
        <v>11530</v>
      </c>
      <c r="B4838" s="31" t="s">
        <v>11531</v>
      </c>
      <c r="C4838" s="31"/>
      <c r="D4838" s="37" t="s">
        <v>14</v>
      </c>
      <c r="E4838" s="10"/>
      <c r="F4838" s="38">
        <v>52.0</v>
      </c>
      <c r="G4838" s="11">
        <v>623251.0</v>
      </c>
      <c r="H4838" s="34" t="str">
        <f>IFERROR(__xludf.DUMMYFUNCTION("LOWER(REGEXREPLACE(B4838&amp;"" ""&amp;C4838,""[^а-яa-z0-9 ]"","" ""))")," каф расстоечный    26  размеры 1000х690х1660 мм   мощность 2 8 к т  напряжение 220   ")</f>
        <v> каф расстоечный    26  размеры 1000х690х1660 мм   мощность 2 8 к т  напряжение 220   </v>
      </c>
    </row>
    <row r="4839">
      <c r="A4839" s="35" t="s">
        <v>11532</v>
      </c>
      <c r="B4839" s="31" t="s">
        <v>11533</v>
      </c>
      <c r="C4839" s="31"/>
      <c r="D4839" s="37" t="s">
        <v>14</v>
      </c>
      <c r="E4839" s="38">
        <v>2.0</v>
      </c>
      <c r="F4839" s="38">
        <v>70.0</v>
      </c>
      <c r="G4839" s="11">
        <v>313770.0</v>
      </c>
      <c r="H4839" s="34" t="str">
        <f>IFERROR(__xludf.DUMMYFUNCTION("LOWER(REGEXREPLACE(B4839&amp;"" ""&amp;C4839,""[^а-яa-z0-9 ]"","" ""))")," каф расстоечный     8  8 уровней 400х600 мм  под конвекц печи     4  камера нерж  без противней  1 2к т  ")</f>
        <v> каф расстоечный     8  8 уровней 400х600 мм  под конвекц печи     4  камера нерж  без противней  1 2к т  </v>
      </c>
    </row>
    <row r="4840">
      <c r="A4840" s="35" t="s">
        <v>11534</v>
      </c>
      <c r="B4840" s="31" t="s">
        <v>11535</v>
      </c>
      <c r="C4840" s="31"/>
      <c r="D4840" s="37" t="s">
        <v>14</v>
      </c>
      <c r="E4840" s="38">
        <v>2.0</v>
      </c>
      <c r="F4840" s="38">
        <v>90.0</v>
      </c>
      <c r="G4840" s="11">
        <v>433065.0</v>
      </c>
      <c r="H4840" s="34" t="str">
        <f>IFERROR(__xludf.DUMMYFUNCTION("LOWER(REGEXREPLACE(B4840&amp;"" ""&amp;C4840,""[^а-яa-z0-9 ]"","" ""))")," каф расстоечный     12  6 уровней 600х800мм  под конвекц печи     6      10  камера нерж  без противней  1 6к т  ")</f>
        <v> каф расстоечный     12  6 уровней 600х800мм  под конвекц печи     6      10  камера нерж  без противней  1 6к т  </v>
      </c>
    </row>
    <row r="4841">
      <c r="A4841" s="35" t="s">
        <v>11536</v>
      </c>
      <c r="B4841" s="31" t="s">
        <v>11537</v>
      </c>
      <c r="C4841" s="31"/>
      <c r="D4841" s="37" t="s">
        <v>14</v>
      </c>
      <c r="E4841" s="10"/>
      <c r="F4841" s="38">
        <v>105.0</v>
      </c>
      <c r="G4841" s="11">
        <v>1354396.0</v>
      </c>
      <c r="H4841" s="34" t="str">
        <f>IFERROR(__xludf.DUMMYFUNCTION("LOWER(REGEXREPLACE(B4841&amp;"" ""&amp;C4841,""[^а-яa-z0-9 ]"","" ""))")," естомес спиральный          40  480х825х730 мм  1 5 к т  220    41 л  ")</f>
        <v> естомес спиральный          40  480х825х730 мм  1 5 к т  220    41 л  </v>
      </c>
    </row>
    <row r="4842">
      <c r="A4842" s="35" t="s">
        <v>11538</v>
      </c>
      <c r="B4842" s="9" t="s">
        <v>11539</v>
      </c>
      <c r="C4842" s="31"/>
      <c r="D4842" s="37" t="s">
        <v>14</v>
      </c>
      <c r="E4842" s="10"/>
      <c r="F4842" s="38">
        <v>45.0</v>
      </c>
      <c r="G4842" s="11">
        <v>521944.0</v>
      </c>
      <c r="H4842" s="34" t="str">
        <f>IFERROR(__xludf.DUMMYFUNCTION("LOWER(REGEXREPLACE(B4842&amp;"" ""&amp;C4842,""[^а-яa-z0-9 ]"","" ""))")," ашина тестомесильная спиральная            10 1   290x590x580 мм  дежа на 10 л  ")</f>
        <v> ашина тестомесильная спиральная            10 1   290x590x580 мм  дежа на 10 л  </v>
      </c>
    </row>
    <row r="4843">
      <c r="A4843" s="35" t="s">
        <v>11540</v>
      </c>
      <c r="B4843" s="31" t="s">
        <v>11541</v>
      </c>
      <c r="C4843" s="31"/>
      <c r="D4843" s="37" t="s">
        <v>14</v>
      </c>
      <c r="E4843" s="10"/>
      <c r="F4843" s="38">
        <v>120.0</v>
      </c>
      <c r="G4843" s="11">
        <v>307838.0</v>
      </c>
      <c r="H4843" s="34" t="str">
        <f>IFERROR(__xludf.DUMMYFUNCTION("LOWER(REGEXREPLACE(B4843&amp;"" ""&amp;C4843,""[^а-яa-z0-9 ]"","" ""))")," ашина тестомесильная   30  750х435х900 мм  34 л  до 90 кг ч  150 200 об мин  1 5 к т  220    ")</f>
        <v> ашина тестомесильная   30  750х435х900 мм  34 л  до 90 кг ч  150 200 об мин  1 5 к т  220    </v>
      </c>
    </row>
    <row r="4844">
      <c r="A4844" s="35" t="s">
        <v>11542</v>
      </c>
      <c r="B4844" s="31" t="s">
        <v>11543</v>
      </c>
      <c r="C4844" s="31"/>
      <c r="D4844" s="37" t="s">
        <v>14</v>
      </c>
      <c r="E4844" s="10"/>
      <c r="F4844" s="38">
        <v>102.0</v>
      </c>
      <c r="G4844" s="11">
        <v>414828.0</v>
      </c>
      <c r="H4844" s="34" t="str">
        <f>IFERROR(__xludf.DUMMYFUNCTION("LOWER(REGEXREPLACE(B4844&amp;"" ""&amp;C4844,""[^а-яa-z0-9 ]"","" ""))")," естомес горизонтальный для крутого теста  ищ ех    15   637х470х 683 мм  220    1 5 к т  39 л  ")</f>
        <v> естомес горизонтальный для крутого теста  ищ ех    15   637х470х 683 мм  220    1 5 к т  39 л  </v>
      </c>
    </row>
    <row r="4845">
      <c r="A4845" s="35" t="s">
        <v>11544</v>
      </c>
      <c r="B4845" s="31" t="s">
        <v>11545</v>
      </c>
      <c r="C4845" s="31"/>
      <c r="D4845" s="37" t="s">
        <v>14</v>
      </c>
      <c r="E4845" s="10"/>
      <c r="F4845" s="36"/>
      <c r="G4845" s="11"/>
      <c r="H4845" s="34" t="str">
        <f>IFERROR(__xludf.DUMMYFUNCTION("LOWER(REGEXREPLACE(B4845&amp;"" ""&amp;C4845,""[^а-яa-z0-9 ]"","" ""))")," естомес ")</f>
        <v> естомес </v>
      </c>
    </row>
    <row r="4846">
      <c r="A4846" s="35" t="s">
        <v>11546</v>
      </c>
      <c r="B4846" s="31" t="s">
        <v>11547</v>
      </c>
      <c r="C4846" s="31"/>
      <c r="D4846" s="37" t="s">
        <v>14</v>
      </c>
      <c r="E4846" s="10"/>
      <c r="F4846" s="38">
        <v>85.0</v>
      </c>
      <c r="G4846" s="11">
        <v>434382.0</v>
      </c>
      <c r="H4846" s="34" t="str">
        <f>IFERROR(__xludf.DUMMYFUNCTION("LOWER(REGEXREPLACE(B4846&amp;"" ""&amp;C4846,""[^а-яa-z0-9 ]"","" ""))")," естомес             25    размеры 820x605x735 мм  мощность 1 5 к т  напряжение 220   ")</f>
        <v> естомес             25    размеры 820x605x735 мм  мощность 1 5 к т  напряжение 220   </v>
      </c>
    </row>
    <row r="4847">
      <c r="A4847" s="35" t="s">
        <v>11548</v>
      </c>
      <c r="B4847" s="31" t="s">
        <v>11549</v>
      </c>
      <c r="C4847" s="31"/>
      <c r="D4847" s="37" t="s">
        <v>14</v>
      </c>
      <c r="E4847" s="10"/>
      <c r="F4847" s="38">
        <v>90.0</v>
      </c>
      <c r="G4847" s="11">
        <v>876506.0</v>
      </c>
      <c r="H4847" s="34" t="str">
        <f>IFERROR(__xludf.DUMMYFUNCTION("LOWER(REGEXREPLACE(B4847&amp;"" ""&amp;C4847,""[^а-яa-z0-9 ]"","" ""))")," естомес спиральный  20  размеры 730х390х900 мм  мощность 1 5 к т  напряжение 220   ")</f>
        <v> естомес спиральный  20  размеры 730х390х900 мм  мощность 1 5 к т  напряжение 220   </v>
      </c>
    </row>
    <row r="4848">
      <c r="A4848" s="35" t="s">
        <v>11550</v>
      </c>
      <c r="B4848" s="31" t="s">
        <v>11551</v>
      </c>
      <c r="C4848" s="31"/>
      <c r="D4848" s="37" t="s">
        <v>14</v>
      </c>
      <c r="E4848" s="10"/>
      <c r="F4848" s="38">
        <v>100.0</v>
      </c>
      <c r="G4848" s="11">
        <v>965735.0</v>
      </c>
      <c r="H4848" s="34" t="str">
        <f>IFERROR(__xludf.DUMMYFUNCTION("LOWER(REGEXREPLACE(B4848&amp;"" ""&amp;C4848,""[^а-яa-z0-9 ]"","" ""))")," естомес спиральный  30  размеры 750х435х900 мм  мощность 1 5 к т  напряжение 380   ")</f>
        <v> естомес спиральный  30  размеры 750х435х900 мм  мощность 1 5 к т  напряжение 380   </v>
      </c>
    </row>
    <row r="4849">
      <c r="A4849" s="35" t="s">
        <v>11552</v>
      </c>
      <c r="B4849" s="31" t="s">
        <v>11553</v>
      </c>
      <c r="C4849" s="31"/>
      <c r="D4849" s="37" t="s">
        <v>14</v>
      </c>
      <c r="E4849" s="10"/>
      <c r="F4849" s="38">
        <v>170.0</v>
      </c>
      <c r="G4849" s="11">
        <v>1611636.0</v>
      </c>
      <c r="H4849" s="34" t="str">
        <f>IFERROR(__xludf.DUMMYFUNCTION("LOWER(REGEXREPLACE(B4849&amp;"" ""&amp;C4849,""[^а-яa-z0-9 ]"","" ""))")," естомес спиральный  50  размеры 840х480х1000 мм  мощность 3 к т  напряжение 380   ")</f>
        <v> естомес спиральный  50  размеры 840х480х1000 мм  мощность 3 к т  напряжение 380   </v>
      </c>
    </row>
    <row r="4850">
      <c r="A4850" s="35" t="s">
        <v>11554</v>
      </c>
      <c r="B4850" s="31" t="s">
        <v>11555</v>
      </c>
      <c r="C4850" s="31"/>
      <c r="D4850" s="37" t="s">
        <v>14</v>
      </c>
      <c r="E4850" s="10"/>
      <c r="F4850" s="38">
        <v>170.0</v>
      </c>
      <c r="G4850" s="11">
        <v>4188233.0</v>
      </c>
      <c r="H4850" s="34" t="str">
        <f>IFERROR(__xludf.DUMMYFUNCTION("LOWER(REGEXREPLACE(B4850&amp;"" ""&amp;C4850,""[^а-яa-z0-9 ]"","" ""))")," естомес спиральный  80  размеры 1000х560х1380 мм  мощность 3 к т  напряжение 380   ")</f>
        <v> естомес спиральный  80  размеры 1000х560х1380 мм  мощность 3 к т  напряжение 380   </v>
      </c>
    </row>
    <row r="4851">
      <c r="A4851" s="35" t="s">
        <v>11556</v>
      </c>
      <c r="B4851" s="31" t="s">
        <v>11557</v>
      </c>
      <c r="C4851" s="31"/>
      <c r="D4851" s="37" t="s">
        <v>14</v>
      </c>
      <c r="E4851" s="10"/>
      <c r="F4851" s="38">
        <v>170.0</v>
      </c>
      <c r="G4851" s="11">
        <v>6561707.0</v>
      </c>
      <c r="H4851" s="34" t="str">
        <f>IFERROR(__xludf.DUMMYFUNCTION("LOWER(REGEXREPLACE(B4851&amp;"" ""&amp;C4851,""[^а-яa-z0-9 ]"","" ""))")," естомес спиральный  130  размеры 1160х730х1380 мм  мощность 6 05 к т  напряжение 380   ")</f>
        <v> естомес спиральный  130  размеры 1160х730х1380 мм  мощность 6 05 к т  напряжение 380   </v>
      </c>
    </row>
    <row r="4852">
      <c r="A4852" s="35" t="s">
        <v>11558</v>
      </c>
      <c r="B4852" s="31" t="s">
        <v>11559</v>
      </c>
      <c r="C4852" s="31"/>
      <c r="D4852" s="37" t="s">
        <v>14</v>
      </c>
      <c r="E4852" s="10"/>
      <c r="F4852" s="39">
        <v>72.5</v>
      </c>
      <c r="G4852" s="11">
        <v>1390149.0</v>
      </c>
      <c r="H4852" s="34" t="str">
        <f>IFERROR(__xludf.DUMMYFUNCTION("LOWER(REGEXREPLACE(B4852&amp;"" ""&amp;C4852,""[^а-яa-z0-9 ]"","" ""))")," естомес спиральный   20 2s  размеры 350х660х630 мм  мощность 0 92 к т  напряжение 380   ")</f>
        <v> естомес спиральный   20 2s  размеры 350х660х630 мм  мощность 0 92 к т  напряжение 380   </v>
      </c>
    </row>
    <row r="4853">
      <c r="A4853" s="35" t="s">
        <v>11560</v>
      </c>
      <c r="B4853" s="31" t="s">
        <v>11561</v>
      </c>
      <c r="C4853" s="31"/>
      <c r="D4853" s="37" t="s">
        <v>14</v>
      </c>
      <c r="E4853" s="10"/>
      <c r="F4853" s="38">
        <v>104.0</v>
      </c>
      <c r="G4853" s="11">
        <v>1800306.0</v>
      </c>
      <c r="H4853" s="34" t="str">
        <f>IFERROR(__xludf.DUMMYFUNCTION("LOWER(REGEXREPLACE(B4853&amp;"" ""&amp;C4853,""[^а-яa-z0-9 ]"","" ""))")," естомес спиральный   30 2s  размеры 440х830х720 мм  мощность 1 98 к т  напряжение 380   ")</f>
        <v> естомес спиральный   30 2s  размеры 440х830х720 мм  мощность 1 98 к т  напряжение 380   </v>
      </c>
    </row>
    <row r="4854">
      <c r="A4854" s="35" t="s">
        <v>11562</v>
      </c>
      <c r="B4854" s="31" t="s">
        <v>11563</v>
      </c>
      <c r="C4854" s="31"/>
      <c r="D4854" s="37" t="s">
        <v>14</v>
      </c>
      <c r="E4854" s="10"/>
      <c r="F4854" s="38">
        <v>107.0</v>
      </c>
      <c r="G4854" s="11">
        <v>1867984.0</v>
      </c>
      <c r="H4854" s="34" t="str">
        <f>IFERROR(__xludf.DUMMYFUNCTION("LOWER(REGEXREPLACE(B4854&amp;"" ""&amp;C4854,""[^а-яa-z0-9 ]"","" ""))")," естомес спиральный   50 2s  размеры 470х850х720 мм  мощность 1 98 к т  напряжение 380   ")</f>
        <v> естомес спиральный   50 2s  размеры 470х850х720 мм  мощность 1 98 к т  напряжение 380   </v>
      </c>
    </row>
    <row r="4855">
      <c r="A4855" s="35" t="s">
        <v>11564</v>
      </c>
      <c r="B4855" s="31" t="s">
        <v>11565</v>
      </c>
      <c r="C4855" s="31"/>
      <c r="D4855" s="37" t="s">
        <v>14</v>
      </c>
      <c r="E4855" s="10"/>
      <c r="F4855" s="39">
        <v>89.5</v>
      </c>
      <c r="G4855" s="11">
        <v>1700925.0</v>
      </c>
      <c r="H4855" s="34" t="str">
        <f>IFERROR(__xludf.DUMMYFUNCTION("LOWER(REGEXREPLACE(B4855&amp;"" ""&amp;C4855,""[^а-яa-z0-9 ]"","" ""))")," естомес спиральный   20 2s  размеры 370х680х640 мм  мощность 0 92 к т  напряжение 380   ")</f>
        <v> естомес спиральный   20 2s  размеры 370х680х640 мм  мощность 0 92 к т  напряжение 380   </v>
      </c>
    </row>
    <row r="4856">
      <c r="A4856" s="35" t="s">
        <v>11566</v>
      </c>
      <c r="B4856" s="31" t="s">
        <v>11567</v>
      </c>
      <c r="C4856" s="31"/>
      <c r="D4856" s="37" t="s">
        <v>14</v>
      </c>
      <c r="E4856" s="10"/>
      <c r="F4856" s="38">
        <v>125.0</v>
      </c>
      <c r="G4856" s="11">
        <v>2030443.0</v>
      </c>
      <c r="H4856" s="34" t="str">
        <f>IFERROR(__xludf.DUMMYFUNCTION("LOWER(REGEXREPLACE(B4856&amp;"" ""&amp;C4856,""[^а-яa-z0-9 ]"","" ""))")," естомес спиральный   30 2s  размеры 460х840х730 мм  мощность 0 92 к т  напряжение 380   ")</f>
        <v> естомес спиральный   30 2s  размеры 460х840х730 мм  мощность 0 92 к т  напряжение 380   </v>
      </c>
    </row>
    <row r="4857">
      <c r="A4857" s="35" t="s">
        <v>11568</v>
      </c>
      <c r="B4857" s="31" t="s">
        <v>11569</v>
      </c>
      <c r="C4857" s="31"/>
      <c r="D4857" s="37" t="s">
        <v>14</v>
      </c>
      <c r="E4857" s="10"/>
      <c r="F4857" s="38">
        <v>129.0</v>
      </c>
      <c r="G4857" s="11">
        <v>2120590.0</v>
      </c>
      <c r="H4857" s="34" t="str">
        <f>IFERROR(__xludf.DUMMYFUNCTION("LOWER(REGEXREPLACE(B4857&amp;"" ""&amp;C4857,""[^а-яa-z0-9 ]"","" ""))")," естомес спиральный   50 2s  размеры 490х860х730 мм  мощность 1 98 к т  напряжение 380   ")</f>
        <v> естомес спиральный   50 2s  размеры 490х860х730 мм  мощность 1 98 к т  напряжение 380   </v>
      </c>
    </row>
    <row r="4858">
      <c r="A4858" s="35" t="s">
        <v>11570</v>
      </c>
      <c r="B4858" s="9" t="s">
        <v>11571</v>
      </c>
      <c r="C4858" s="31"/>
      <c r="D4858" s="37" t="s">
        <v>14</v>
      </c>
      <c r="E4858" s="38">
        <v>2.0</v>
      </c>
      <c r="F4858" s="38">
        <v>120.0</v>
      </c>
      <c r="G4858" s="11">
        <v>662786.0</v>
      </c>
      <c r="H4858" s="34" t="str">
        <f>IFERROR(__xludf.DUMMYFUNCTION("LOWER(REGEXREPLACE(B4858&amp;"" ""&amp;C4858,""[^а-яa-z0-9 ]"","" ""))")," естомес спиральный     20   1   1 скорость  несъемная дежа 20 л  неподъемная траверса  60 кг ч  э механическая панель  450х760х630 мм  1 2 к т  400   ременно цепной привод  ")</f>
        <v> естомес спиральный     20   1   1 скорость  несъемная дежа 20 л  неподъемная траверса  60 кг ч  э механическая панель  450х760х630 мм  1 2 к т  400   ременно цепной привод  </v>
      </c>
    </row>
    <row r="4859">
      <c r="A4859" s="35" t="s">
        <v>11572</v>
      </c>
      <c r="B4859" s="9" t="s">
        <v>11573</v>
      </c>
      <c r="C4859" s="31"/>
      <c r="D4859" s="37" t="s">
        <v>14</v>
      </c>
      <c r="E4859" s="38">
        <v>2.0</v>
      </c>
      <c r="F4859" s="38">
        <v>165.0</v>
      </c>
      <c r="G4859" s="11">
        <v>996771.0</v>
      </c>
      <c r="H4859" s="34" t="str">
        <f>IFERROR(__xludf.DUMMYFUNCTION("LOWER(REGEXREPLACE(B4859&amp;"" ""&amp;C4859,""[^а-яa-z0-9 ]"","" ""))"),"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f>
        <v>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v>
      </c>
    </row>
    <row r="4860">
      <c r="A4860" s="35" t="s">
        <v>11574</v>
      </c>
      <c r="B4860" s="9" t="s">
        <v>11575</v>
      </c>
      <c r="C4860" s="31"/>
      <c r="D4860" s="37" t="s">
        <v>14</v>
      </c>
      <c r="E4860" s="38">
        <v>2.0</v>
      </c>
      <c r="F4860" s="38">
        <v>270.0</v>
      </c>
      <c r="G4860" s="11">
        <v>1453737.0</v>
      </c>
      <c r="H4860" s="34" t="str">
        <f>IFERROR(__xludf.DUMMYFUNCTION("LOWER(REGEXREPLACE(B4860&amp;"" ""&amp;C4860,""[^а-яa-z0-9 ]"","" ""))"),"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f>
        <v>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v>
      </c>
    </row>
    <row r="4861">
      <c r="A4861" s="35" t="s">
        <v>11576</v>
      </c>
      <c r="B4861" s="31" t="s">
        <v>11577</v>
      </c>
      <c r="C4861" s="31"/>
      <c r="D4861" s="37" t="s">
        <v>14</v>
      </c>
      <c r="E4861" s="10"/>
      <c r="F4861" s="39">
        <v>7.8</v>
      </c>
      <c r="G4861" s="11">
        <v>89255.0</v>
      </c>
      <c r="H4861" s="34" t="str">
        <f>IFERROR(__xludf.DUMMYFUNCTION("LOWER(REGEXREPLACE(B4861&amp;"" ""&amp;C4861,""[^а-яa-z0-9 ]"","" ""))")," иксер планетарный             5      368x227x350 мм  220    0 8 к   объем дежи 5 л  6 скоростей   1 пульс  ")</f>
        <v> иксер планетарный             5      368x227x350 мм  220    0 8 к   объем дежи 5 л  6 скоростей   1 пульс  </v>
      </c>
    </row>
    <row r="4862">
      <c r="A4862" s="35" t="s">
        <v>11578</v>
      </c>
      <c r="B4862" s="9" t="s">
        <v>11579</v>
      </c>
      <c r="C4862" s="31"/>
      <c r="D4862" s="37" t="s">
        <v>14</v>
      </c>
      <c r="E4862" s="10"/>
      <c r="F4862" s="38">
        <v>52.0</v>
      </c>
      <c r="G4862" s="11">
        <v>265043.0</v>
      </c>
      <c r="H4862" s="34" t="str">
        <f>IFERROR(__xludf.DUMMYFUNCTION("LOWER(REGEXREPLACE(B4862&amp;"" ""&amp;C4862,""[^а-яa-z0-9 ]"","" ""))")," иксер планетарный  10  460х350х630 мм  10 л  170 340 об мин  0 37 к т  220    ")</f>
        <v> иксер планетарный  10  460х350х630 мм  10 л  170 340 об мин  0 37 к т  220    </v>
      </c>
    </row>
    <row r="4863">
      <c r="A4863" s="35" t="s">
        <v>11580</v>
      </c>
      <c r="B4863" s="9" t="s">
        <v>11581</v>
      </c>
      <c r="C4863" s="31"/>
      <c r="D4863" s="37" t="s">
        <v>14</v>
      </c>
      <c r="E4863" s="10"/>
      <c r="F4863" s="38">
        <v>86.0</v>
      </c>
      <c r="G4863" s="11">
        <v>749267.0</v>
      </c>
      <c r="H4863" s="34" t="str">
        <f>IFERROR(__xludf.DUMMYFUNCTION("LOWER(REGEXREPLACE(B4863&amp;"" ""&amp;C4863,""[^а-яa-z0-9 ]"","" ""))")," укопросеиватель     600   1070х1000х1010 мм  600 кг час  0 325 к т  ")</f>
        <v> укопросеиватель     600   1070х1000х1010 мм  600 кг час  0 325 к т  </v>
      </c>
    </row>
    <row r="4864">
      <c r="A4864" s="35" t="s">
        <v>11582</v>
      </c>
      <c r="B4864" s="9" t="s">
        <v>11583</v>
      </c>
      <c r="C4864" s="31"/>
      <c r="D4864" s="37" t="s">
        <v>14</v>
      </c>
      <c r="E4864" s="10"/>
      <c r="F4864" s="39">
        <v>35.5</v>
      </c>
      <c r="G4864" s="11">
        <v>332887.0</v>
      </c>
      <c r="H4864" s="34" t="str">
        <f>IFERROR(__xludf.DUMMYFUNCTION("LOWER(REGEXREPLACE(B4864&amp;"" ""&amp;C4864,""[^а-яa-z0-9 ]"","" ""))")," укопросеиватель вибрационный     150  390х570х825 мм  150 кг ч  0 25 к т  380    ")</f>
        <v> укопросеиватель вибрационный     150  390х570х825 мм  150 кг ч  0 25 к т  380    </v>
      </c>
    </row>
    <row r="4865">
      <c r="A4865" s="35" t="s">
        <v>11584</v>
      </c>
      <c r="B4865" s="9" t="s">
        <v>11585</v>
      </c>
      <c r="C4865" s="31"/>
      <c r="D4865" s="37" t="s">
        <v>14</v>
      </c>
      <c r="E4865" s="10"/>
      <c r="F4865" s="38">
        <v>80.0</v>
      </c>
      <c r="G4865" s="11">
        <v>1342834.0</v>
      </c>
      <c r="H4865" s="34" t="str">
        <f>IFERROR(__xludf.DUMMYFUNCTION("LOWER(REGEXREPLACE(B4865&amp;"" ""&amp;C4865,""[^а-яa-z0-9 ]"","" ""))")," ечь подовая            02      860x1150x400 мм  5 4 к т  380    ")</f>
        <v> ечь подовая            02      860x1150x400 мм  5 4 к т  380    </v>
      </c>
    </row>
    <row r="4866">
      <c r="A4866" s="35" t="s">
        <v>11586</v>
      </c>
      <c r="B4866" s="9" t="s">
        <v>11587</v>
      </c>
      <c r="C4866" s="31"/>
      <c r="D4866" s="37" t="s">
        <v>14</v>
      </c>
      <c r="E4866" s="10"/>
      <c r="F4866" s="38">
        <v>101.0</v>
      </c>
      <c r="G4866" s="11">
        <v>2032554.0</v>
      </c>
      <c r="H4866" s="34" t="str">
        <f>IFERROR(__xludf.DUMMYFUNCTION("LOWER(REGEXREPLACE(B4866&amp;"" ""&amp;C4866,""[^а-яa-z0-9 ]"","" ""))")," ечь подовая  esto  talia    4   1140х1130х500 мм  6 9 к т  1 секц  380  т  ")</f>
        <v> ечь подовая  esto  talia    4   1140х1130х500 мм  6 9 к т  1 секц  380  т  </v>
      </c>
    </row>
    <row r="4867">
      <c r="A4867" s="35" t="s">
        <v>11588</v>
      </c>
      <c r="B4867" s="9" t="s">
        <v>11589</v>
      </c>
      <c r="C4867" s="31"/>
      <c r="D4867" s="37" t="s">
        <v>14</v>
      </c>
      <c r="E4867" s="10"/>
      <c r="F4867" s="38">
        <v>30.0</v>
      </c>
      <c r="G4867" s="11">
        <v>687863.0</v>
      </c>
      <c r="H4867" s="34" t="str">
        <f>IFERROR(__xludf.DUMMYFUNCTION("LOWER(REGEXREPLACE(B4867&amp;"" ""&amp;C4867,""[^а-яa-z0-9 ]"","" ""))")," ашина тестораскаточная настольная     500  700х370х430 мм  420  т  230    120 кг ч  ")</f>
        <v> ашина тестораскаточная настольная     500  700х370х430 мм  420  т  230    120 кг ч  </v>
      </c>
    </row>
    <row r="4868">
      <c r="A4868" s="35" t="s">
        <v>11590</v>
      </c>
      <c r="B4868" s="31" t="s">
        <v>11591</v>
      </c>
      <c r="C4868" s="31"/>
      <c r="D4868" s="37" t="s">
        <v>14</v>
      </c>
      <c r="E4868" s="10"/>
      <c r="F4868" s="36"/>
      <c r="G4868" s="11"/>
      <c r="H4868" s="34" t="str">
        <f>IFERROR(__xludf.DUMMYFUNCTION("LOWER(REGEXREPLACE(B4868&amp;"" ""&amp;C4868,""[^а-яa-z0-9 ]"","" ""))")," ашина тестораскаточная ")</f>
        <v> ашина тестораскаточная </v>
      </c>
    </row>
    <row r="4869">
      <c r="A4869" s="35" t="s">
        <v>11592</v>
      </c>
      <c r="B4869" s="31" t="s">
        <v>11593</v>
      </c>
      <c r="C4869" s="31"/>
      <c r="D4869" s="37" t="s">
        <v>14</v>
      </c>
      <c r="E4869" s="10"/>
      <c r="F4869" s="38">
        <v>51.0</v>
      </c>
      <c r="G4869" s="11">
        <v>625479.0</v>
      </c>
      <c r="H4869" s="34" t="str">
        <f>IFERROR(__xludf.DUMMYFUNCTION("LOWER(REGEXREPLACE(B4869&amp;"" ""&amp;C4869,""[^а-яa-z0-9 ]"","" ""))")," ашина тестораскаточная настольная  ищ ех     2  размеры 645х500х420 440 мм  мощность 0 25 к т  напряжение 220   ")</f>
        <v> ашина тестораскаточная настольная  ищ ех     2  размеры 645х500х420 440 мм  мощность 0 25 к т  напряжение 220   </v>
      </c>
    </row>
    <row r="4870">
      <c r="A4870" s="35" t="s">
        <v>11594</v>
      </c>
      <c r="B4870" s="31" t="s">
        <v>11595</v>
      </c>
      <c r="C4870" s="31"/>
      <c r="D4870" s="37" t="s">
        <v>14</v>
      </c>
      <c r="E4870" s="10"/>
      <c r="F4870" s="38">
        <v>37.0</v>
      </c>
      <c r="G4870" s="11">
        <v>1031387.0</v>
      </c>
      <c r="H4870" s="34" t="str">
        <f>IFERROR(__xludf.DUMMYFUNCTION("LOWER(REGEXREPLACE(B4870&amp;"" ""&amp;C4870,""[^а-яa-z0-9 ]"","" ""))")," ашина тестораскаточная     30  размеры 530х480х560 мм  мощность 0 37 к т  напряжение 220   ")</f>
        <v> ашина тестораскаточная     30  размеры 530х480х560 мм  мощность 0 37 к т  напряжение 220   </v>
      </c>
    </row>
    <row r="4871">
      <c r="A4871" s="35" t="s">
        <v>11596</v>
      </c>
      <c r="B4871" s="31" t="s">
        <v>11597</v>
      </c>
      <c r="C4871" s="31"/>
      <c r="D4871" s="37" t="s">
        <v>14</v>
      </c>
      <c r="E4871" s="10"/>
      <c r="F4871" s="38">
        <v>220.0</v>
      </c>
      <c r="G4871" s="11">
        <v>2965850.0</v>
      </c>
      <c r="H4871" s="34" t="str">
        <f>IFERROR(__xludf.DUMMYFUNCTION("LOWER(REGEXREPLACE(B4871&amp;"" ""&amp;C4871,""[^а-яa-z0-9 ]"","" ""))")," ашина тестораскаточная   520  размеры 2550х1000х1280 мм  мощность 0 75 к т  напряжение 220   ")</f>
        <v> ашина тестораскаточная   520  размеры 2550х1000х1280 мм  мощность 0 75 к т  напряжение 220   </v>
      </c>
    </row>
    <row r="4872">
      <c r="A4872" s="35" t="s">
        <v>11598</v>
      </c>
      <c r="B4872" s="31" t="s">
        <v>11599</v>
      </c>
      <c r="C4872" s="31"/>
      <c r="D4872" s="37" t="s">
        <v>14</v>
      </c>
      <c r="E4872" s="10"/>
      <c r="F4872" s="38">
        <v>260.0</v>
      </c>
      <c r="G4872" s="11">
        <v>4155238.0</v>
      </c>
      <c r="H4872" s="34" t="str">
        <f>IFERROR(__xludf.DUMMYFUNCTION("LOWER(REGEXREPLACE(B4872&amp;"" ""&amp;C4872,""[^а-яa-z0-9 ]"","" ""))")," ашина тестораскаточная   630  размеры 3480х1110х1280 мм  мощность 0 75 к т  напряжение 220   ")</f>
        <v> ашина тестораскаточная   630  размеры 3480х1110х1280 мм  мощность 0 75 к т  напряжение 220   </v>
      </c>
    </row>
    <row r="4873">
      <c r="A4873" s="35" t="s">
        <v>11600</v>
      </c>
      <c r="B4873" s="31" t="s">
        <v>11601</v>
      </c>
      <c r="C4873" s="31"/>
      <c r="D4873" s="37" t="s">
        <v>14</v>
      </c>
      <c r="E4873" s="10"/>
      <c r="F4873" s="36"/>
      <c r="G4873" s="11">
        <v>535714.0</v>
      </c>
      <c r="H4873" s="34" t="str">
        <f>IFERROR(__xludf.DUMMYFUNCTION("LOWER(REGEXREPLACE(B4873&amp;"" ""&amp;C4873,""[^а-яa-z0-9 ]"","" ""))")," каф для хлеба    1200 480 1800  7 уровней ")</f>
        <v> каф для хлеба    1200 480 1800  7 уровней </v>
      </c>
    </row>
    <row r="4874">
      <c r="A4874" s="35" t="s">
        <v>11602</v>
      </c>
      <c r="B4874" s="31" t="s">
        <v>11603</v>
      </c>
      <c r="C4874" s="31"/>
      <c r="D4874" s="36"/>
      <c r="E4874" s="10"/>
      <c r="F4874" s="36"/>
      <c r="G4874" s="11"/>
      <c r="H4874" s="34" t="str">
        <f>IFERROR(__xludf.DUMMYFUNCTION("LOWER(REGEXREPLACE(B4874&amp;"" ""&amp;C4874,""[^а-яa-z0-9 ]"","" ""))")," осудомоечное оборудование ")</f>
        <v> осудомоечное оборудование </v>
      </c>
    </row>
    <row r="4875">
      <c r="A4875" s="35" t="s">
        <v>11604</v>
      </c>
      <c r="B4875" s="31" t="s">
        <v>11605</v>
      </c>
      <c r="C4875" s="31" t="s">
        <v>11606</v>
      </c>
      <c r="D4875" s="37" t="s">
        <v>14</v>
      </c>
      <c r="E4875" s="10"/>
      <c r="F4875" s="38">
        <v>415.0</v>
      </c>
      <c r="G4875" s="11">
        <v>3878053.0</v>
      </c>
      <c r="H4875" s="34" t="str">
        <f>IFERROR(__xludf.DUMMYFUNCTION("LOWER(REGEXREPLACE(B4875&amp;"" ""&amp;C4875,""[^а-яa-z0-9 ]"","" ""))"),"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п"&amp;"осуды по согласованию с заказчиком")</f>
        <v>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посуды по согласованию с заказчиком</v>
      </c>
    </row>
    <row r="4876">
      <c r="A4876" s="35" t="s">
        <v>11607</v>
      </c>
      <c r="B4876" s="31" t="s">
        <v>11608</v>
      </c>
      <c r="C4876" s="31" t="s">
        <v>11609</v>
      </c>
      <c r="D4876" s="37" t="s">
        <v>14</v>
      </c>
      <c r="E4876" s="10"/>
      <c r="F4876" s="38">
        <v>307.0</v>
      </c>
      <c r="G4876" s="11">
        <v>2349796.0</v>
      </c>
      <c r="H4876" s="34" t="str">
        <f>IFERROR(__xludf.DUMMYFUNCTION("LOWER(REGEXREPLACE(B4876&amp;"" ""&amp;C4876,""[^а-яa-z0-9 ]"","" ""))"),"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"&amp;"с заказчиком")</f>
        <v>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с заказчиком</v>
      </c>
    </row>
    <row r="4877">
      <c r="A4877" s="35" t="s">
        <v>11610</v>
      </c>
      <c r="B4877" s="9" t="s">
        <v>11611</v>
      </c>
      <c r="C4877" s="31"/>
      <c r="D4877" s="37" t="s">
        <v>14</v>
      </c>
      <c r="E4877" s="10"/>
      <c r="F4877" s="38">
        <v>230.0</v>
      </c>
      <c r="G4877" s="11">
        <v>3664569.0</v>
      </c>
      <c r="H4877" s="34" t="str">
        <f>IFERROR(__xludf.DUMMYFUNCTION("LOWER(REGEXREPLACE(B4877&amp;"" ""&amp;C4877,""[^а-яa-z0-9 ]"","" ""))")," ашина посудомоечная туннельная      1700    левая  1700 тар ч  2 дозатора  моющий и ополаскивающий   2 насоса  26 5 к т  380    1595х770х1965 2120 мм  ")</f>
        <v> ашина посудомоечная туннельная      1700    левая  1700 тар ч  2 дозатора  моющий и ополаскивающий   2 насоса  26 5 к т  380    1595х770х1965 2120 мм  </v>
      </c>
    </row>
    <row r="4878">
      <c r="A4878" s="35" t="s">
        <v>11612</v>
      </c>
      <c r="B4878" s="31" t="s">
        <v>11613</v>
      </c>
      <c r="C4878" s="31"/>
      <c r="D4878" s="37" t="s">
        <v>14</v>
      </c>
      <c r="E4878" s="10"/>
      <c r="F4878" s="38">
        <v>36.0</v>
      </c>
      <c r="G4878" s="11">
        <v>260638.0</v>
      </c>
      <c r="H4878" s="34" t="str">
        <f>IFERROR(__xludf.DUMMYFUNCTION("LOWER(REGEXREPLACE(B4878&amp;"" ""&amp;C4878,""[^а-яa-z0-9 ]"","" ""))")," тол для посудомоечной машины для грязной посуды    п    1200х720х850 1020 мм ")</f>
        <v> тол для посудомоечной машины для грязной посуды    п    1200х720х850 1020 мм </v>
      </c>
    </row>
    <row r="4879">
      <c r="A4879" s="35" t="s">
        <v>11614</v>
      </c>
      <c r="B4879" s="31" t="s">
        <v>11615</v>
      </c>
      <c r="C4879" s="31"/>
      <c r="D4879" s="37" t="s">
        <v>68</v>
      </c>
      <c r="E4879" s="10"/>
      <c r="F4879" s="38">
        <v>59.0</v>
      </c>
      <c r="G4879" s="11"/>
      <c r="H4879" s="34" t="str">
        <f>IFERROR(__xludf.DUMMYFUNCTION("LOWER(REGEXREPLACE(B4879&amp;"" ""&amp;C4879,""[^а-яa-z0-9 ]"","" ""))")," тол предмоечный ")</f>
        <v> тол предмоечный </v>
      </c>
    </row>
    <row r="4880">
      <c r="A4880" s="35" t="s">
        <v>11616</v>
      </c>
      <c r="B4880" s="31" t="s">
        <v>11617</v>
      </c>
      <c r="C4880" s="31"/>
      <c r="D4880" s="37" t="s">
        <v>68</v>
      </c>
      <c r="E4880" s="38">
        <v>2.0</v>
      </c>
      <c r="F4880" s="38">
        <v>59.0</v>
      </c>
      <c r="G4880" s="11">
        <v>381447.0</v>
      </c>
      <c r="H4880" s="34" t="str">
        <f>IFERROR(__xludf.DUMMYFUNCTION("LOWER(REGEXREPLACE(B4880&amp;"" ""&amp;C4880,""[^а-яa-z0-9 ]"","" ""))")," тол предмоечный      7 4  1304х725 мм  душ стойка  мойка цельнотянутая 400х400х250  для туннельных машин     ")</f>
        <v> тол предмоечный      7 4  1304х725 мм  душ стойка  мойка цельнотянутая 400х400х250  для туннельных машин     </v>
      </c>
    </row>
    <row r="4881">
      <c r="A4881" s="35" t="s">
        <v>11618</v>
      </c>
      <c r="B4881" s="31" t="s">
        <v>11619</v>
      </c>
      <c r="C4881" s="31"/>
      <c r="D4881" s="37" t="s">
        <v>68</v>
      </c>
      <c r="E4881" s="38">
        <v>2.0</v>
      </c>
      <c r="F4881" s="38">
        <v>40.0</v>
      </c>
      <c r="G4881" s="11">
        <v>309239.0</v>
      </c>
      <c r="H4881" s="34" t="str">
        <f>IFERROR(__xludf.DUMMYFUNCTION("LOWER(REGEXREPLACE(B4881&amp;"" ""&amp;C4881,""[^а-яa-z0-9 ]"","" ""))")," тол предмоечный      7 1  1166х724 мм  душ стойка  мойка цельнотянутая 400х400х250мм  для фронтальных машин     500 ")</f>
        <v> тол предмоечный      7 1  1166х724 мм  душ стойка  мойка цельнотянутая 400х400х250мм  для фронтальных машин     500 </v>
      </c>
    </row>
    <row r="4882">
      <c r="A4882" s="35" t="s">
        <v>11620</v>
      </c>
      <c r="B4882" s="31" t="s">
        <v>11621</v>
      </c>
      <c r="C4882" s="31"/>
      <c r="D4882" s="37" t="s">
        <v>68</v>
      </c>
      <c r="E4882" s="38">
        <v>2.0</v>
      </c>
      <c r="F4882" s="38">
        <v>30.0</v>
      </c>
      <c r="G4882" s="11">
        <v>207644.0</v>
      </c>
      <c r="H4882" s="34" t="str">
        <f>IFERROR(__xludf.DUMMYFUNCTION("LOWER(REGEXREPLACE(B4882&amp;"" ""&amp;C4882,""[^а-яa-z0-9 ]"","" ""))")," тол предмоечный      6 1  572x795 мм  душ  мойка цельнотянутая 400х400х250мм  для купольных машин     ")</f>
        <v> тол предмоечный      6 1  572x795 мм  душ  мойка цельнотянутая 400х400х250мм  для купольных машин     </v>
      </c>
    </row>
    <row r="4883">
      <c r="A4883" s="35" t="s">
        <v>11622</v>
      </c>
      <c r="B4883" s="31" t="s">
        <v>11623</v>
      </c>
      <c r="C4883" s="31"/>
      <c r="D4883" s="37" t="s">
        <v>68</v>
      </c>
      <c r="E4883" s="38">
        <v>2.0</v>
      </c>
      <c r="F4883" s="38">
        <v>65.0</v>
      </c>
      <c r="G4883" s="11">
        <v>379983.0</v>
      </c>
      <c r="H4883" s="34" t="str">
        <f>IFERROR(__xludf.DUMMYFUNCTION("LOWER(REGEXREPLACE(B4883&amp;"" ""&amp;C4883,""[^а-яa-z0-9 ]"","" ""))")," тол предмоечный      6 5  1512x702 мм  душ стойка  сбор отходов  мойка цельнотянутая 400х400х250мм  для купольных машин     ")</f>
        <v> тол предмоечный      6 5  1512x702 мм  душ стойка  сбор отходов  мойка цельнотянутая 400х400х250мм  для купольных машин     </v>
      </c>
    </row>
    <row r="4884">
      <c r="A4884" s="35" t="s">
        <v>11624</v>
      </c>
      <c r="B4884" s="31" t="s">
        <v>11625</v>
      </c>
      <c r="C4884" s="31"/>
      <c r="D4884" s="37" t="s">
        <v>68</v>
      </c>
      <c r="E4884" s="38">
        <v>2.0</v>
      </c>
      <c r="F4884" s="38">
        <v>60.0</v>
      </c>
      <c r="G4884" s="11">
        <v>419703.0</v>
      </c>
      <c r="H4884" s="34" t="str">
        <f>IFERROR(__xludf.DUMMYFUNCTION("LOWER(REGEXREPLACE(B4884&amp;"" ""&amp;C4884,""[^а-яa-z0-9 ]"","" ""))")," тол предмоечный      6 7   1712x702 мм  душ стойка  сбор отходов  направл  на 4 кассеты  мойка цельнотянутая 400х400х250мм  для купольных машин     ")</f>
        <v> тол предмоечный      6 7   1712x702 мм  душ стойка  сбор отходов  направл  на 4 кассеты  мойка цельнотянутая 400х400х250мм  для купольных машин     </v>
      </c>
    </row>
    <row r="4885">
      <c r="A4885" s="35" t="s">
        <v>11626</v>
      </c>
      <c r="B4885" s="31" t="s">
        <v>11627</v>
      </c>
      <c r="C4885" s="31"/>
      <c r="D4885" s="37" t="s">
        <v>68</v>
      </c>
      <c r="E4885" s="38">
        <v>2.0</v>
      </c>
      <c r="F4885" s="38">
        <v>60.0</v>
      </c>
      <c r="G4885" s="11">
        <v>406456.0</v>
      </c>
      <c r="H4885" s="34" t="str">
        <f>IFERROR(__xludf.DUMMYFUNCTION("LOWER(REGEXREPLACE(B4885&amp;"" ""&amp;C4885,""[^а-яa-z0-9 ]"","" ""))")," тол предмоечный      7 7   1715х705  для посудомоечных машин     и     с душирующим устройством ")</f>
        <v> тол предмоечный      7 7   1715х705  для посудомоечных машин     и     с душирующим устройством </v>
      </c>
    </row>
    <row r="4886">
      <c r="A4886" s="35" t="s">
        <v>11628</v>
      </c>
      <c r="B4886" s="31" t="s">
        <v>11629</v>
      </c>
      <c r="C4886" s="31" t="s">
        <v>11630</v>
      </c>
      <c r="D4886" s="37" t="s">
        <v>14</v>
      </c>
      <c r="E4886" s="38">
        <v>2.0</v>
      </c>
      <c r="F4886" s="38">
        <v>41.0</v>
      </c>
      <c r="G4886" s="11">
        <v>406855.0</v>
      </c>
      <c r="H4886" s="34" t="str">
        <f>IFERROR(__xludf.DUMMYFUNCTION("LOWER(REGEXREPLACE(B4886&amp;"" ""&amp;C4886,""[^а-яa-z0-9 ]"","" ""))"),"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"&amp;"усилена листом      16 мм ")</f>
        <v>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усилена листом      16 мм </v>
      </c>
    </row>
    <row r="4887">
      <c r="A4887" s="35" t="s">
        <v>11631</v>
      </c>
      <c r="B4887" s="31" t="s">
        <v>11632</v>
      </c>
      <c r="C4887" s="31" t="s">
        <v>11633</v>
      </c>
      <c r="D4887" s="37" t="s">
        <v>14</v>
      </c>
      <c r="E4887" s="38">
        <v>2.0</v>
      </c>
      <c r="F4887" s="38">
        <v>43.0</v>
      </c>
      <c r="G4887" s="11">
        <v>390264.0</v>
      </c>
      <c r="H4887" s="34" t="str">
        <f>IFERROR(__xludf.DUMMYFUNCTION("LOWER(REGEXREPLACE(B4887&amp;"" ""&amp;C4887,""[^а-яa-z0-9 ]"","" ""))"),"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ос"&amp;"новании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f>
        <v>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v>
      </c>
    </row>
    <row r="4888">
      <c r="A4888" s="35" t="s">
        <v>11634</v>
      </c>
      <c r="B4888" s="31" t="s">
        <v>11635</v>
      </c>
      <c r="C4888" s="31"/>
      <c r="D4888" s="37" t="s">
        <v>14</v>
      </c>
      <c r="E4888" s="10"/>
      <c r="F4888" s="36"/>
      <c r="G4888" s="11"/>
      <c r="H4888" s="34" t="str">
        <f>IFERROR(__xludf.DUMMYFUNCTION("LOWER(REGEXREPLACE(B4888&amp;"" ""&amp;C4888,""[^а-яa-z0-9 ]"","" ""))")," тол раздаточный для чистой посуды ")</f>
        <v> тол раздаточный для чистой посуды </v>
      </c>
    </row>
    <row r="4889">
      <c r="A4889" s="35" t="s">
        <v>11636</v>
      </c>
      <c r="B4889" s="31" t="s">
        <v>11637</v>
      </c>
      <c r="C4889" s="31"/>
      <c r="D4889" s="37" t="s">
        <v>14</v>
      </c>
      <c r="E4889" s="38">
        <v>2.0</v>
      </c>
      <c r="F4889" s="38">
        <v>16.0</v>
      </c>
      <c r="G4889" s="11">
        <v>91583.0</v>
      </c>
      <c r="H4889" s="34" t="str">
        <f>IFERROR(__xludf.DUMMYFUNCTION("LOWER(REGEXREPLACE(B4889&amp;"" ""&amp;C4889,""[^а-яa-z0-9 ]"","" ""))")," тол раздаточный      6 1  612x611 мм  для чистой посуды  для купольных машин     ")</f>
        <v> тол раздаточный      6 1  612x611 мм  для чистой посуды  для купольных машин     </v>
      </c>
    </row>
    <row r="4890">
      <c r="A4890" s="35" t="s">
        <v>11638</v>
      </c>
      <c r="B4890" s="31" t="s">
        <v>11639</v>
      </c>
      <c r="C4890" s="31"/>
      <c r="D4890" s="37" t="s">
        <v>14</v>
      </c>
      <c r="E4890" s="38">
        <v>2.0</v>
      </c>
      <c r="F4890" s="38">
        <v>26.0</v>
      </c>
      <c r="G4890" s="11">
        <v>123734.0</v>
      </c>
      <c r="H4890" s="34" t="str">
        <f>IFERROR(__xludf.DUMMYFUNCTION("LOWER(REGEXREPLACE(B4890&amp;"" ""&amp;C4890,""[^а-яa-z0-9 ]"","" ""))")," тол раздаточный      6 5  1062x611 мм  для чистой посуды  для купольных машин     ")</f>
        <v> тол раздаточный      6 5  1062x611 мм  для чистой посуды  для купольных машин     </v>
      </c>
    </row>
    <row r="4891">
      <c r="A4891" s="35" t="s">
        <v>11640</v>
      </c>
      <c r="B4891" s="31" t="s">
        <v>11641</v>
      </c>
      <c r="C4891" s="31" t="s">
        <v>11642</v>
      </c>
      <c r="D4891" s="37" t="s">
        <v>14</v>
      </c>
      <c r="E4891" s="38">
        <v>2.0</v>
      </c>
      <c r="F4891" s="38">
        <v>12.0</v>
      </c>
      <c r="G4891" s="11">
        <v>146124.0</v>
      </c>
      <c r="H4891" s="34" t="str">
        <f>IFERROR(__xludf.DUMMYFUNCTION("LOWER(REGEXREPLACE(B4891&amp;"" ""&amp;C4891,""[^а-яa-z0-9 ]"","" ""))"),"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2">
      <c r="A4892" s="35" t="s">
        <v>11643</v>
      </c>
      <c r="B4892" s="31" t="s">
        <v>11644</v>
      </c>
      <c r="C4892" s="31" t="s">
        <v>11642</v>
      </c>
      <c r="D4892" s="37" t="s">
        <v>14</v>
      </c>
      <c r="E4892" s="38">
        <v>2.0</v>
      </c>
      <c r="F4892" s="38">
        <v>13.0</v>
      </c>
      <c r="G4892" s="11">
        <v>152768.0</v>
      </c>
      <c r="H4892" s="34" t="str">
        <f>IFERROR(__xludf.DUMMYFUNCTION("LOWER(REGEXREPLACE(B4892&amp;"" ""&amp;C4892,""[^а-яa-z0-9 ]"","" ""))"),"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3">
      <c r="A4893" s="35" t="s">
        <v>11645</v>
      </c>
      <c r="B4893" s="31" t="s">
        <v>11646</v>
      </c>
      <c r="C4893" s="31" t="s">
        <v>11642</v>
      </c>
      <c r="D4893" s="37" t="s">
        <v>14</v>
      </c>
      <c r="E4893" s="38">
        <v>2.0</v>
      </c>
      <c r="F4893" s="38">
        <v>20.0</v>
      </c>
      <c r="G4893" s="11">
        <v>179356.0</v>
      </c>
      <c r="H4893" s="34" t="str">
        <f>IFERROR(__xludf.DUMMYFUNCTION("LOWER(REGEXREPLACE(B4893&amp;"" ""&amp;C4893,""[^а-яa-z0-9 ]"","" ""))"),"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тру"&amp;"бы 40х40 нерж сталь ")</f>
        <v>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4">
      <c r="A4894" s="35" t="s">
        <v>11647</v>
      </c>
      <c r="B4894" s="9" t="s">
        <v>11648</v>
      </c>
      <c r="C4894" s="31" t="s">
        <v>10940</v>
      </c>
      <c r="D4894" s="37" t="s">
        <v>14</v>
      </c>
      <c r="E4894" s="38">
        <v>2.0</v>
      </c>
      <c r="F4894" s="38">
        <v>21.0</v>
      </c>
      <c r="G4894" s="11">
        <v>164753.0</v>
      </c>
      <c r="H4894" s="34" t="str">
        <f>IFERROR(__xludf.DUMMYFUNCTION("LOWER(REGEXREPLACE(B4894&amp;"" ""&amp;C4894,""[^а-яa-z0-9 ]"","" ""))"),"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мм"&amp;"  4 ножки труба 40х40 мм из нержавеющей стали  толщиной не менее 1 2 мм  4 регулируемые по высоте опоры ")</f>
        <v>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895">
      <c r="A4895" s="35" t="s">
        <v>11649</v>
      </c>
      <c r="B4895" s="31" t="s">
        <v>11650</v>
      </c>
      <c r="C4895" s="31"/>
      <c r="D4895" s="37" t="s">
        <v>14</v>
      </c>
      <c r="E4895" s="10"/>
      <c r="F4895" s="38">
        <v>31.0</v>
      </c>
      <c r="G4895" s="11">
        <v>296620.0</v>
      </c>
      <c r="H4895" s="34" t="str">
        <f>IFERROR(__xludf.DUMMYFUNCTION("LOWER(REGEXREPLACE(B4895&amp;"" ""&amp;C4895,""[^а-яa-z0-9 ]"","" ""))")," тол для чистой посуды        430    361 1200 760     ")</f>
        <v> тол для чистой посуды        430    361 1200 760     </v>
      </c>
    </row>
    <row r="4896">
      <c r="A4896" s="35" t="s">
        <v>11651</v>
      </c>
      <c r="B4896" s="9" t="s">
        <v>11652</v>
      </c>
      <c r="C4896" s="31"/>
      <c r="D4896" s="37" t="s">
        <v>14</v>
      </c>
      <c r="E4896" s="10"/>
      <c r="F4896" s="38">
        <v>55.0</v>
      </c>
      <c r="G4896" s="11">
        <v>607874.0</v>
      </c>
      <c r="H4896" s="34" t="str">
        <f>IFERROR(__xludf.DUMMYFUNCTION("LOWER(REGEXREPLACE(B4896&amp;"" ""&amp;C4896,""[^а-яa-z0-9 ]"","" ""))")," таканомоечная машина  i  hief    640         490x570x780 мм  400х400 мм корз   доз  ополаск   ")</f>
        <v> таканомоечная машина  i  hief    640         490x570x780 мм  400х400 мм корз   доз  ополаск   </v>
      </c>
    </row>
    <row r="4897">
      <c r="A4897" s="35" t="s">
        <v>11653</v>
      </c>
      <c r="B4897" s="9" t="s">
        <v>11654</v>
      </c>
      <c r="C4897" s="31"/>
      <c r="D4897" s="37" t="s">
        <v>14</v>
      </c>
      <c r="E4897" s="10"/>
      <c r="F4897" s="38">
        <v>34.0</v>
      </c>
      <c r="G4897" s="11">
        <v>608741.0</v>
      </c>
      <c r="H4897" s="34" t="str">
        <f>IFERROR(__xludf.DUMMYFUNCTION("LOWER(REGEXREPLACE(B4897&amp;"" ""&amp;C4897,""[^а-яa-z0-9 ]"","" ""))")," ашина стаканомоечная  pach   400 фронтальная  436х535х670  220    3 5 к т  30 кас ч  ")</f>
        <v> ашина стаканомоечная  pach   400 фронтальная  436х535х670  220    3 5 к т  30 кас ч  </v>
      </c>
    </row>
    <row r="4898">
      <c r="A4898" s="35" t="s">
        <v>11655</v>
      </c>
      <c r="B4898" s="31" t="s">
        <v>11656</v>
      </c>
      <c r="C4898" s="31"/>
      <c r="D4898" s="37" t="s">
        <v>14</v>
      </c>
      <c r="E4898" s="10"/>
      <c r="F4898" s="38">
        <v>100.0</v>
      </c>
      <c r="G4898" s="11">
        <v>1305951.0</v>
      </c>
      <c r="H4898" s="34" t="str">
        <f>IFERROR(__xludf.DUMMYFUNCTION("LOWER(REGEXREPLACE(B4898&amp;"" ""&amp;C4898,""[^а-яa-z0-9 ]"","" ""))")," ашина посудомоечная универсальная     700 01 без столов загрузки и разгрузки  600x800x1400 мм  16 3 к т  380    масса 100 кг  ")</f>
        <v> ашина посудомоечная универсальная     700 01 без столов загрузки и разгрузки  600x800x1400 мм  16 3 к т  380    масса 100 кг  </v>
      </c>
    </row>
    <row r="4899">
      <c r="A4899" s="35" t="s">
        <v>11657</v>
      </c>
      <c r="B4899" s="31" t="s">
        <v>11658</v>
      </c>
      <c r="C4899" s="31"/>
      <c r="D4899" s="37" t="s">
        <v>14</v>
      </c>
      <c r="E4899" s="10"/>
      <c r="F4899" s="36"/>
      <c r="G4899" s="11"/>
      <c r="H4899" s="34" t="str">
        <f>IFERROR(__xludf.DUMMYFUNCTION("LOWER(REGEXREPLACE(B4899&amp;"" ""&amp;C4899,""[^а-яa-z0-9 ]"","" ""))")," ашина посудомоечная ")</f>
        <v> ашина посудомоечная </v>
      </c>
    </row>
    <row r="4900">
      <c r="A4900" s="35" t="s">
        <v>11659</v>
      </c>
      <c r="B4900" s="9" t="s">
        <v>11660</v>
      </c>
      <c r="C4900" s="31"/>
      <c r="D4900" s="37" t="s">
        <v>14</v>
      </c>
      <c r="E4900" s="10"/>
      <c r="F4900" s="38">
        <v>95.0</v>
      </c>
      <c r="G4900" s="11">
        <v>1091670.0</v>
      </c>
      <c r="H4900" s="34" t="str">
        <f>IFERROR(__xludf.DUMMYFUNCTION("LOWER(REGEXREPLACE(B4900&amp;"" ""&amp;C4900,""[^а-яa-z0-9 ]"","" ""))")," ашина посудомоечная  i  hief    1000         размеры 660x810x1390 1800  мм  мощность 9 75 к т  напряжение 380   ")</f>
        <v> ашина посудомоечная  i  hief    1000         размеры 660x810x1390 1800  мм  мощность 9 75 к т  напряжение 380   </v>
      </c>
    </row>
    <row r="4901">
      <c r="A4901" s="35" t="s">
        <v>11661</v>
      </c>
      <c r="B4901" s="31" t="s">
        <v>11662</v>
      </c>
      <c r="C4901" s="31"/>
      <c r="D4901" s="37" t="s">
        <v>14</v>
      </c>
      <c r="E4901" s="10"/>
      <c r="F4901" s="38">
        <v>200.0</v>
      </c>
      <c r="G4901" s="11">
        <v>9366819.0</v>
      </c>
      <c r="H4901" s="34" t="str">
        <f>IFERROR(__xludf.DUMMYFUNCTION("LOWER(REGEXREPLACE(B4901&amp;"" ""&amp;C4901,""[^а-яa-z0-9 ]"","" ""))")," ашина посудомоечная конвейерная   180  размеры 1500x810x1630 мм  мощность 36 к т   напряжение 380   ")</f>
        <v> ашина посудомоечная конвейерная   180  размеры 1500x810x1630 мм  мощность 36 к т   напряжение 380   </v>
      </c>
    </row>
    <row r="4902">
      <c r="A4902" s="35" t="s">
        <v>11663</v>
      </c>
      <c r="B4902" s="9" t="s">
        <v>11664</v>
      </c>
      <c r="C4902" s="31" t="s">
        <v>11665</v>
      </c>
      <c r="D4902" s="37" t="s">
        <v>68</v>
      </c>
      <c r="E4902" s="38">
        <v>2.0</v>
      </c>
      <c r="F4902" s="38">
        <v>405.0</v>
      </c>
      <c r="G4902" s="11">
        <v>1.5082127E7</v>
      </c>
      <c r="H4902" s="34" t="str">
        <f>IFERROR(__xludf.DUMMYFUNCTION("LOWER(REGEXREPLACE(B4902&amp;"" ""&amp;C4902,""[^а-яa-z0-9 ]"","" ""))"),"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двухсек"&amp;"ционной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основ"&amp;"ная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50"&amp;"0х500 для тарелок 10 шт   ассета типа        01 500х500 для стаканов 10 шт   ассета типа        01 для приборов 5 шт ")</f>
        <v>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3">
      <c r="A4903" s="35" t="s">
        <v>11666</v>
      </c>
      <c r="B4903" s="9" t="s">
        <v>11667</v>
      </c>
      <c r="C4903" s="31" t="s">
        <v>11668</v>
      </c>
      <c r="D4903" s="37" t="s">
        <v>68</v>
      </c>
      <c r="E4903" s="38">
        <v>2.0</v>
      </c>
      <c r="F4903" s="38">
        <v>112.0</v>
      </c>
      <c r="G4903" s="11">
        <v>4078696.0</v>
      </c>
      <c r="H4903" s="34" t="str">
        <f>IFERROR(__xludf.DUMMYFUNCTION("LOWER(REGEXREPLACE(B4903&amp;"" ""&amp;C4903,""[^а-яa-z0-9 ]"","" ""))"),"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р"&amp;"аздаточным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без"&amp;"опасности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"&amp;"ассета типа        01 для приборов 2 шт ")</f>
        <v>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ассета типа        01 для приборов 2 шт </v>
      </c>
    </row>
    <row r="4904">
      <c r="A4904" s="35" t="s">
        <v>11669</v>
      </c>
      <c r="B4904" s="31" t="s">
        <v>11670</v>
      </c>
      <c r="C4904" s="31" t="s">
        <v>11671</v>
      </c>
      <c r="D4904" s="37" t="s">
        <v>68</v>
      </c>
      <c r="E4904" s="38">
        <v>2.0</v>
      </c>
      <c r="F4904" s="38">
        <v>64.0</v>
      </c>
      <c r="G4904" s="11">
        <v>2390460.0</v>
      </c>
      <c r="H4904" s="34" t="str">
        <f>IFERROR(__xludf.DUMMYFUNCTION("LOWER(REGEXREPLACE(B4904&amp;"" ""&amp;C4904,""[^а-яa-z0-9 ]"","" ""))"),"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раздато"&amp;"чным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"&amp;"  ассета типа        01 500х500 для стаканов 3 шт   ассета типа        01 для приборов 2шт ")</f>
        <v>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ассета типа        01 500х500 для стаканов 3 шт   ассета типа        01 для приборов 2шт </v>
      </c>
    </row>
    <row r="4905">
      <c r="A4905" s="35" t="s">
        <v>11672</v>
      </c>
      <c r="B4905" s="9" t="s">
        <v>11673</v>
      </c>
      <c r="C4905" s="31" t="s">
        <v>11665</v>
      </c>
      <c r="D4905" s="37" t="s">
        <v>68</v>
      </c>
      <c r="E4905" s="38">
        <v>2.0</v>
      </c>
      <c r="F4905" s="38">
        <v>317.0</v>
      </c>
      <c r="G4905" s="11">
        <v>1.2754003E7</v>
      </c>
      <c r="H4905" s="34" t="str">
        <f>IFERROR(__xludf.DUMMYFUNCTION("LOWER(REGEXREPLACE(B4905&amp;"" ""&amp;C4905,""[^а-яa-z0-9 ]"","" ""))"),"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предмоечн"&amp;"ым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редварительная"&amp;"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типа"&amp;"        01 500х500 для тарелок 10 шт   ассета типа        01 500х500 для стаканов 10 шт   ассета типа        01 для приборов 5 шт ")</f>
        <v>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6">
      <c r="A4906" s="35" t="s">
        <v>11674</v>
      </c>
      <c r="B4906" s="9" t="s">
        <v>11675</v>
      </c>
      <c r="C4906" s="31" t="s">
        <v>11676</v>
      </c>
      <c r="D4906" s="37" t="s">
        <v>68</v>
      </c>
      <c r="E4906" s="38">
        <v>2.0</v>
      </c>
      <c r="F4906" s="38">
        <v>317.0</v>
      </c>
      <c r="G4906" s="11">
        <v>1.2754003E7</v>
      </c>
      <c r="H4906" s="34" t="str">
        <f>IFERROR(__xludf.DUMMYFUNCTION("LOWER(REGEXREPLACE(B4906&amp;"" ""&amp;C4906,""[^а-яa-z0-9 ]"","" ""))"),"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"&amp;"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"&amp;"мойка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"&amp;"       01 500х500 для тарелок 10шт   ассета типа        01 500х500 для стаканов 10шт   ассета типа        01 для приборов 5шт ")</f>
        <v>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10шт   ассета типа        01 500х500 для стаканов 10шт   ассета типа        01 для приборов 5шт </v>
      </c>
    </row>
    <row r="4907">
      <c r="A4907" s="35" t="s">
        <v>11677</v>
      </c>
      <c r="B4907" s="31" t="s">
        <v>11678</v>
      </c>
      <c r="C4907" s="31"/>
      <c r="D4907" s="37" t="s">
        <v>14</v>
      </c>
      <c r="E4907" s="38">
        <v>2.0</v>
      </c>
      <c r="F4907" s="38">
        <v>75.0</v>
      </c>
      <c r="G4907" s="11">
        <v>680275.0</v>
      </c>
      <c r="H4907" s="34" t="str">
        <f>IFERROR(__xludf.DUMMYFUNCTION("LOWER(REGEXREPLACE(B4907&amp;"" ""&amp;C4907,""[^а-яa-z0-9 ]"","" ""))")," ашина посудомоечная  фронтальная     500   500 тарелок час  2 программы мойки  1 дозатор  ополаскивающий   насос мойки  6 7к т  400   ")</f>
        <v> ашина посудомоечная  фронтальная     500   500 тарелок час  2 программы мойки  1 дозатор  ополаскивающий   насос мойки  6 7к т  400   </v>
      </c>
    </row>
    <row r="4908">
      <c r="A4908" s="35" t="s">
        <v>11679</v>
      </c>
      <c r="B4908" s="9" t="s">
        <v>11680</v>
      </c>
      <c r="C4908" s="31"/>
      <c r="D4908" s="37" t="s">
        <v>14</v>
      </c>
      <c r="E4908" s="38">
        <v>2.0</v>
      </c>
      <c r="F4908" s="38">
        <v>127.0</v>
      </c>
      <c r="G4908" s="11">
        <v>1148517.0</v>
      </c>
      <c r="H4908" s="34" t="str">
        <f>IFERROR(__xludf.DUMMYFUNCTION("LOWER(REGEXREPLACE(B4908&amp;"" ""&amp;C4908,""[^а-яa-z0-9 ]"","" ""))")," ашина посудомоечная купольная     700   700 тарелок час  2 программы мойки  2 дозатора  моющий  ополаскивающий   насос мойки  насос ополаскивания  10 5к т  400   ")</f>
        <v> ашина посудомоечная купольная     700   700 тарелок час  2 программы мойки  2 дозатора  моющий  ополаскивающий   насос мойки  насос ополаскивания  10 5к т  400   </v>
      </c>
    </row>
    <row r="4909">
      <c r="A4909" s="35" t="s">
        <v>11681</v>
      </c>
      <c r="B4909" s="9" t="s">
        <v>11682</v>
      </c>
      <c r="C4909" s="31"/>
      <c r="D4909" s="37" t="s">
        <v>14</v>
      </c>
      <c r="E4909" s="38">
        <v>2.0</v>
      </c>
      <c r="F4909" s="38">
        <v>120.0</v>
      </c>
      <c r="G4909" s="11">
        <v>1042518.0</v>
      </c>
      <c r="H4909" s="34" t="str">
        <f>IFERROR(__xludf.DUMMYFUNCTION("LOWER(REGEXREPLACE(B4909&amp;"" ""&amp;C4909,""[^а-яa-z0-9 ]"","" ""))")," ашина посудомоечная купольная     700  01  700 тарелок час  2 программы мойки  1 дозатор  ополаскивающий   насос мойки  10 5к т  400   ")</f>
        <v> ашина посудомоечная купольная     700  01  700 тарелок час  2 программы мойки  1 дозатор  ополаскивающий   насос мойки  10 5к т  400   </v>
      </c>
    </row>
    <row r="4910">
      <c r="A4910" s="35" t="s">
        <v>11683</v>
      </c>
      <c r="B4910" s="9" t="s">
        <v>11684</v>
      </c>
      <c r="C4910" s="31"/>
      <c r="D4910" s="37" t="s">
        <v>14</v>
      </c>
      <c r="E4910" s="38">
        <v>2.0</v>
      </c>
      <c r="F4910" s="38">
        <v>127.0</v>
      </c>
      <c r="G4910" s="11">
        <v>1192672.0</v>
      </c>
      <c r="H4910" s="34" t="str">
        <f>IFERROR(__xludf.DUMMYFUNCTION("LOWER(REGEXREPLACE(B4910&amp;"" ""&amp;C4910,""[^а-яa-z0-9 ]"","" ""))")," ашина посудомоечная купольная     1100   1100 тарелок час  3 программы мойки  2 дозатора  моющий  ополаскивающий   насос мойки  насос ополаскивания  13 5к т  400   ")</f>
        <v> ашина посудомоечная купольная     1100   1100 тарелок час  3 программы мойки  2 дозатора  моющий  ополаскивающий   насос мойки  насос ополаскивания  13 5к т  400   </v>
      </c>
    </row>
    <row r="4911">
      <c r="A4911" s="35" t="s">
        <v>11685</v>
      </c>
      <c r="B4911" s="9" t="s">
        <v>11686</v>
      </c>
      <c r="C4911" s="31"/>
      <c r="D4911" s="37" t="s">
        <v>14</v>
      </c>
      <c r="E4911" s="38">
        <v>2.0</v>
      </c>
      <c r="F4911" s="38">
        <v>290.0</v>
      </c>
      <c r="G4911" s="11">
        <v>2791708.0</v>
      </c>
      <c r="H4911" s="34" t="str">
        <f>IFERROR(__xludf.DUMMYFUNCTION("LOWER(REGEXREPLACE(B4911&amp;"" ""&amp;C4911,""[^а-яa-z0-9 ]"","" ""))")," ашина посудомоечная туннельная     1700 01  теплообменник  1700 тарелок час  3 программы мойки  2 дозатора  моющий  ополаскивающий   насос мойки  26 7 к т  400   ")</f>
        <v> ашина посудомоечная туннельная     1700 01  теплообменник  1700 тарелок час  3 программы мойки  2 дозатора  моющий  ополаскивающий   насос мойки  26 7 к т  400   </v>
      </c>
    </row>
    <row r="4912">
      <c r="A4912" s="35" t="s">
        <v>11687</v>
      </c>
      <c r="B4912" s="31" t="s">
        <v>11688</v>
      </c>
      <c r="C4912" s="31"/>
      <c r="D4912" s="37" t="s">
        <v>14</v>
      </c>
      <c r="E4912" s="10"/>
      <c r="F4912" s="38">
        <v>270.0</v>
      </c>
      <c r="G4912" s="11">
        <v>2558346.0</v>
      </c>
      <c r="H4912" s="34" t="str">
        <f>IFERROR(__xludf.DUMMYFUNCTION("LOWER(REGEXREPLACE(B4912&amp;"" ""&amp;C4912,""[^а-яa-z0-9 ]"","" ""))")," ашина котломоечная     65 65  камера 650х785х650 мм  19 шт час  4 цикла  2 дозатора  ")</f>
        <v> ашина котломоечная     65 65  камера 650х785х650 мм  19 шт час  4 цикла  2 дозатора  </v>
      </c>
    </row>
    <row r="4913">
      <c r="A4913" s="35" t="s">
        <v>11689</v>
      </c>
      <c r="B4913" s="31" t="s">
        <v>11690</v>
      </c>
      <c r="C4913" s="31"/>
      <c r="D4913" s="37" t="s">
        <v>14</v>
      </c>
      <c r="E4913" s="10"/>
      <c r="F4913" s="39">
        <v>9.5</v>
      </c>
      <c r="G4913" s="11">
        <v>81035.0</v>
      </c>
      <c r="H4913" s="34" t="str">
        <f>IFERROR(__xludf.DUMMYFUNCTION("LOWER(REGEXREPLACE(B4913&amp;"" ""&amp;C4913,""[^а-яa-z0-9 ]"","" ""))")," одоумягчитель   12 3 4       211103  ")</f>
        <v> одоумягчитель   12 3 4       211103  </v>
      </c>
    </row>
    <row r="4914">
      <c r="A4914" s="35" t="s">
        <v>11691</v>
      </c>
      <c r="B4914" s="31" t="s">
        <v>11692</v>
      </c>
      <c r="C4914" s="31"/>
      <c r="D4914" s="37" t="s">
        <v>14</v>
      </c>
      <c r="E4914" s="10"/>
      <c r="F4914" s="36"/>
      <c r="G4914" s="11"/>
      <c r="H4914" s="34" t="str">
        <f>IFERROR(__xludf.DUMMYFUNCTION("LOWER(REGEXREPLACE(B4914&amp;"" ""&amp;C4914,""[^а-яa-z0-9 ]"","" ""))")," стройство душирующее ")</f>
        <v> стройство душирующее </v>
      </c>
    </row>
    <row r="4915">
      <c r="A4915" s="35" t="s">
        <v>11693</v>
      </c>
      <c r="B4915" s="9" t="s">
        <v>11694</v>
      </c>
      <c r="C4915" s="31"/>
      <c r="D4915" s="37" t="s">
        <v>14</v>
      </c>
      <c r="E4915" s="38">
        <v>2.0</v>
      </c>
      <c r="F4915" s="38">
        <v>5.0</v>
      </c>
      <c r="G4915" s="11">
        <v>253393.0</v>
      </c>
      <c r="H4915" s="34" t="str">
        <f>IFERROR(__xludf.DUMMYFUNCTION("LOWER(REGEXREPLACE(B4915&amp;"" ""&amp;C4915,""[^а-яa-z0-9 ]"","" ""))")," стройство душирующее с гусаком   ертикальное положение  крепление на раковину  выполнено полностью из нержавеющей стали   абариты  750х250х69мм ")</f>
        <v> стройство душирующее с гусаком   ертикальное положение  крепление на раковину  выполнено полностью из нержавеющей стали   абариты  750х250х69мм </v>
      </c>
    </row>
    <row r="4916">
      <c r="A4916" s="35" t="s">
        <v>11695</v>
      </c>
      <c r="B4916" s="31" t="s">
        <v>11696</v>
      </c>
      <c r="C4916" s="31" t="s">
        <v>11697</v>
      </c>
      <c r="D4916" s="37" t="s">
        <v>14</v>
      </c>
      <c r="E4916" s="38">
        <v>2.0</v>
      </c>
      <c r="F4916" s="42">
        <v>5.567</v>
      </c>
      <c r="G4916" s="11">
        <v>242186.0</v>
      </c>
      <c r="H4916" s="34" t="str">
        <f>IFERROR(__xludf.DUMMYFUNCTION("LOWER(REGEXREPLACE(B4916&amp;"" ""&amp;C4916,""[^а-яa-z0-9 ]"","" ""))"),"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обор"&amp;"ота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"&amp;"сшитого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ожог"&amp;"ов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ги"&amp;"бкими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инима"&amp;"льное давление  0 5 бар  14   екомендуемое давление  1 3 бар ")</f>
        <v>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инимальное давление  0 5 бар  14   екомендуемое давление  1 3 бар </v>
      </c>
    </row>
    <row r="4917">
      <c r="A4917" s="35" t="s">
        <v>11698</v>
      </c>
      <c r="B4917" s="31" t="s">
        <v>11699</v>
      </c>
      <c r="C4917" s="31" t="s">
        <v>11700</v>
      </c>
      <c r="D4917" s="37" t="s">
        <v>14</v>
      </c>
      <c r="E4917" s="38">
        <v>2.0</v>
      </c>
      <c r="F4917" s="42">
        <v>3.719</v>
      </c>
      <c r="G4917" s="11">
        <v>169953.0</v>
      </c>
      <c r="H4917" s="34" t="str">
        <f>IFERROR(__xludf.DUMMYFUNCTION("LOWER(REGEXREPLACE(B4917&amp;"" ""&amp;C4917,""[^а-яa-z0-9 ]"","" ""))"),"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вкл"&amp;"ючены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гайками"&amp;"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"&amp;"с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8">
      <c r="A4918" s="35" t="s">
        <v>11701</v>
      </c>
      <c r="B4918" s="31" t="s">
        <v>11702</v>
      </c>
      <c r="C4918" s="31" t="s">
        <v>11703</v>
      </c>
      <c r="D4918" s="37" t="s">
        <v>14</v>
      </c>
      <c r="E4918" s="38">
        <v>2.0</v>
      </c>
      <c r="F4918" s="42">
        <v>3.688</v>
      </c>
      <c r="G4918" s="11">
        <v>186130.0</v>
      </c>
      <c r="H4918" s="34" t="str">
        <f>IFERROR(__xludf.DUMMYFUNCTION("LOWER(REGEXREPLACE(B4918&amp;"" ""&amp;C4918,""[^а-яa-z0-9 ]"","" ""))"),"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"&amp;"комплект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дюйма"&amp;"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картр"&amp;"идж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9">
      <c r="A4919" s="35" t="s">
        <v>11704</v>
      </c>
      <c r="B4919" s="31" t="s">
        <v>11705</v>
      </c>
      <c r="C4919" s="31" t="s">
        <v>11706</v>
      </c>
      <c r="D4919" s="37" t="s">
        <v>14</v>
      </c>
      <c r="E4919" s="38">
        <v>2.0</v>
      </c>
      <c r="F4919" s="42">
        <v>4.192</v>
      </c>
      <c r="G4919" s="11">
        <v>203885.0</v>
      </c>
      <c r="H4919" s="34" t="str">
        <f>IFERROR(__xludf.DUMMYFUNCTION("LOWER(REGEXREPLACE(B4919&amp;"" ""&amp;C4919,""[^а-яa-z0-9 ]"","" ""))"),"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подвод"&amp;"ками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полиэтилен"&amp;"а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и"&amp;"з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"&amp;"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инимальн"&amp;"ое давление  0 5 бар  15   екомендуемое давление  1 3 бар ")</f>
        <v>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инимальное давление  0 5 бар  15   екомендуемое давление  1 3 бар </v>
      </c>
    </row>
    <row r="4920">
      <c r="A4920" s="35" t="s">
        <v>11707</v>
      </c>
      <c r="B4920" s="31" t="s">
        <v>11708</v>
      </c>
      <c r="C4920" s="31"/>
      <c r="D4920" s="37" t="s">
        <v>14</v>
      </c>
      <c r="E4920" s="10"/>
      <c r="F4920" s="36"/>
      <c r="G4920" s="11"/>
      <c r="H4920" s="34" t="str">
        <f>IFERROR(__xludf.DUMMYFUNCTION("LOWER(REGEXREPLACE(B4920&amp;"" ""&amp;C4920,""[^а-яa-z0-9 ]"","" ""))")," тол для грязной посуды ")</f>
        <v> тол для грязной посуды </v>
      </c>
    </row>
    <row r="4921">
      <c r="A4921" s="35" t="s">
        <v>11709</v>
      </c>
      <c r="B4921" s="9" t="s">
        <v>11710</v>
      </c>
      <c r="C4921" s="31" t="s">
        <v>11711</v>
      </c>
      <c r="D4921" s="37" t="s">
        <v>14</v>
      </c>
      <c r="E4921" s="38">
        <v>2.0</v>
      </c>
      <c r="F4921" s="38">
        <v>50.0</v>
      </c>
      <c r="G4921" s="11">
        <v>539688.0</v>
      </c>
      <c r="H4921" s="34" t="str">
        <f>IFERROR(__xludf.DUMMYFUNCTION("LOWER(REGEXREPLACE(B4921&amp;"" ""&amp;C4921,""[^а-яa-z0-9 ]"","" ""))"),"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т"&amp;"олешница усилена листом     16 мм   утем несложного монтажа можно установить стол как в левом  так и в правом исполнении")</f>
        <v>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толешница усилена листом     16 мм   утем несложного монтажа можно установить стол как в левом  так и в правом исполнении</v>
      </c>
    </row>
    <row r="4922">
      <c r="A4922" s="35" t="s">
        <v>11712</v>
      </c>
      <c r="B4922" s="31" t="s">
        <v>11713</v>
      </c>
      <c r="C4922" s="31"/>
      <c r="D4922" s="36"/>
      <c r="E4922" s="10"/>
      <c r="F4922" s="36"/>
      <c r="G4922" s="11"/>
      <c r="H4922" s="34" t="str">
        <f>IFERROR(__xludf.DUMMYFUNCTION("LOWER(REGEXREPLACE(B4922&amp;"" ""&amp;C4922,""[^а-яa-z0-9 ]"","" ""))")," лектромеханическое оборудование ")</f>
        <v> лектромеханическое оборудование </v>
      </c>
    </row>
    <row r="4923">
      <c r="A4923" s="35" t="s">
        <v>11714</v>
      </c>
      <c r="B4923" s="31" t="s">
        <v>11715</v>
      </c>
      <c r="C4923" s="31"/>
      <c r="D4923" s="37" t="s">
        <v>14</v>
      </c>
      <c r="E4923" s="10"/>
      <c r="F4923" s="39">
        <v>77.5</v>
      </c>
      <c r="G4923" s="11">
        <v>990038.0</v>
      </c>
      <c r="H4923" s="34" t="str">
        <f>IFERROR(__xludf.DUMMYFUNCTION("LOWER(REGEXREPLACE(B4923&amp;"" ""&amp;C4923,""[^а-яa-z0-9 ]"","" ""))")," леборезка            300   1050х560х590 мм  300 бат час  облицовка  0 37 к т  380    ")</f>
        <v> леборезка            300   1050х560х590 мм  300 бат час  облицовка  0 37 к т  380    </v>
      </c>
    </row>
    <row r="4924">
      <c r="A4924" s="35" t="s">
        <v>11716</v>
      </c>
      <c r="B4924" s="31" t="s">
        <v>11717</v>
      </c>
      <c r="C4924" s="31"/>
      <c r="D4924" s="37" t="s">
        <v>14</v>
      </c>
      <c r="E4924" s="10"/>
      <c r="F4924" s="38">
        <v>80.0</v>
      </c>
      <c r="G4924" s="11"/>
      <c r="H4924" s="34" t="str">
        <f>IFERROR(__xludf.DUMMYFUNCTION("LOWER(REGEXREPLACE(B4924&amp;"" ""&amp;C4924,""[^а-яa-z0-9 ]"","" ""))")," леборезка ")</f>
        <v> леборезка </v>
      </c>
    </row>
    <row r="4925">
      <c r="A4925" s="35" t="s">
        <v>11718</v>
      </c>
      <c r="B4925" s="31" t="s">
        <v>11719</v>
      </c>
      <c r="C4925" s="31"/>
      <c r="D4925" s="37" t="s">
        <v>14</v>
      </c>
      <c r="E4925" s="10"/>
      <c r="F4925" s="38">
        <v>80.0</v>
      </c>
      <c r="G4925" s="11">
        <v>453023.0</v>
      </c>
      <c r="H4925" s="34" t="str">
        <f>IFERROR(__xludf.DUMMYFUNCTION("LOWER(REGEXREPLACE(B4925&amp;"" ""&amp;C4925,""[^а-яa-z0-9 ]"","" ""))")," леборезка  urakan         12  размеры 650x660x760 мм  мощность 0 25 к т  напряжение 220   ")</f>
        <v> леборезка  urakan         12  размеры 650x660x760 мм  мощность 0 25 к т  напряжение 220   </v>
      </c>
    </row>
    <row r="4926">
      <c r="A4926" s="35" t="s">
        <v>11720</v>
      </c>
      <c r="B4926" s="31" t="s">
        <v>11721</v>
      </c>
      <c r="C4926" s="31"/>
      <c r="D4926" s="37" t="s">
        <v>14</v>
      </c>
      <c r="E4926" s="10"/>
      <c r="F4926" s="38">
        <v>26.0</v>
      </c>
      <c r="G4926" s="11">
        <v>687596.0</v>
      </c>
      <c r="H4926" s="34" t="str">
        <f>IFERROR(__xludf.DUMMYFUNCTION("LOWER(REGEXREPLACE(B4926&amp;"" ""&amp;C4926,""[^а-яa-z0-9 ]"","" ""))")," леборезка настольная   31   размеры 650x770x770 мм  мощность 0 37 к т  напряжение 220   ")</f>
        <v> леборезка настольная   31   размеры 650x770x770 мм  мощность 0 37 к т  напряжение 220   </v>
      </c>
    </row>
    <row r="4927">
      <c r="A4927" s="35" t="s">
        <v>11722</v>
      </c>
      <c r="B4927" s="31" t="s">
        <v>11723</v>
      </c>
      <c r="C4927" s="31"/>
      <c r="D4927" s="37" t="s">
        <v>14</v>
      </c>
      <c r="E4927" s="10"/>
      <c r="F4927" s="39">
        <v>5.6</v>
      </c>
      <c r="G4927" s="11">
        <v>409341.0</v>
      </c>
      <c r="H4927" s="34" t="str">
        <f>IFERROR(__xludf.DUMMYFUNCTION("LOWER(REGEXREPLACE(B4927&amp;"" ""&amp;C4927,""[^а-яa-z0-9 ]"","" ""))")," иксер     250  ombi 34300   промышленный  ")</f>
        <v> иксер     250  ombi 34300   промышленный  </v>
      </c>
    </row>
    <row r="4928">
      <c r="A4928" s="35" t="s">
        <v>11724</v>
      </c>
      <c r="B4928" s="9" t="s">
        <v>11725</v>
      </c>
      <c r="C4928" s="31"/>
      <c r="D4928" s="37" t="s">
        <v>14</v>
      </c>
      <c r="E4928" s="10"/>
      <c r="F4928" s="39">
        <v>1.5</v>
      </c>
      <c r="G4928" s="11">
        <v>202804.0</v>
      </c>
      <c r="H4928" s="34" t="str">
        <f>IFERROR(__xludf.DUMMYFUNCTION("LOWER(REGEXREPLACE(B4928&amp;"" ""&amp;C4928,""[^а-яa-z0-9 ]"","" ""))")," иксер                      34900 34950  1500 14000 об мин  полностью из нержавеющей стали 165 мм  ")</f>
        <v> иксер                      34900 34950  1500 14000 об мин  полностью из нержавеющей стали 165 мм  </v>
      </c>
    </row>
    <row r="4929">
      <c r="A4929" s="35" t="s">
        <v>11726</v>
      </c>
      <c r="B4929" s="31" t="s">
        <v>3556</v>
      </c>
      <c r="C4929" s="31"/>
      <c r="D4929" s="37" t="s">
        <v>14</v>
      </c>
      <c r="E4929" s="10"/>
      <c r="F4929" s="36"/>
      <c r="G4929" s="11"/>
      <c r="H4929" s="34" t="str">
        <f>IFERROR(__xludf.DUMMYFUNCTION("LOWER(REGEXREPLACE(B4929&amp;"" ""&amp;C4929,""[^а-яa-z0-9 ]"","" ""))")," иксер ")</f>
        <v> иксер </v>
      </c>
    </row>
    <row r="4930">
      <c r="A4930" s="35" t="s">
        <v>11727</v>
      </c>
      <c r="B4930" s="31" t="s">
        <v>11728</v>
      </c>
      <c r="C4930" s="31"/>
      <c r="D4930" s="37" t="s">
        <v>14</v>
      </c>
      <c r="E4930" s="10"/>
      <c r="F4930" s="38">
        <v>5.0</v>
      </c>
      <c r="G4930" s="11">
        <v>680041.0</v>
      </c>
      <c r="H4930" s="34" t="str">
        <f>IFERROR(__xludf.DUMMYFUNCTION("LOWER(REGEXREPLACE(B4930&amp;"" ""&amp;C4930,""[^а-яa-z0-9 ]"","" ""))")," иксер  lectrolux  rofessional   6565 600384  размеры 138x120x965 мм  мощность 0 65 к т  напряжение 220   ")</f>
        <v> иксер  lectrolux  rofessional   6565 600384  размеры 138x120x965 мм  мощность 0 65 к т  напряжение 220   </v>
      </c>
    </row>
    <row r="4931">
      <c r="A4931" s="35" t="s">
        <v>11729</v>
      </c>
      <c r="B4931" s="9" t="s">
        <v>11730</v>
      </c>
      <c r="C4931" s="31"/>
      <c r="D4931" s="37" t="s">
        <v>14</v>
      </c>
      <c r="E4931" s="10"/>
      <c r="F4931" s="38">
        <v>13.0</v>
      </c>
      <c r="G4931" s="11">
        <v>430207.0</v>
      </c>
      <c r="H4931" s="34" t="str">
        <f>IFERROR(__xludf.DUMMYFUNCTION("LOWER(REGEXREPLACE(B4931&amp;"" ""&amp;C4931,""[^а-яa-z0-9 ]"","" ""))")," иксер     7  размеры 480х280х440 мм  мощность 0 75 к т  напряжение 220   ")</f>
        <v> иксер     7  размеры 480х280х440 мм  мощность 0 75 к т  напряжение 220   </v>
      </c>
    </row>
    <row r="4932">
      <c r="A4932" s="35" t="s">
        <v>11731</v>
      </c>
      <c r="B4932" s="9" t="s">
        <v>11732</v>
      </c>
      <c r="C4932" s="31"/>
      <c r="D4932" s="37" t="s">
        <v>14</v>
      </c>
      <c r="E4932" s="10"/>
      <c r="F4932" s="38">
        <v>13.0</v>
      </c>
      <c r="G4932" s="11">
        <v>352676.0</v>
      </c>
      <c r="H4932" s="34" t="str">
        <f>IFERROR(__xludf.DUMMYFUNCTION("LOWER(REGEXREPLACE(B4932&amp;"" ""&amp;C4932,""[^а-яa-z0-9 ]"","" ""))")," иксер  5   размеры 380х240х375 мм  мощность 0 5 к т  напряжение 220   ")</f>
        <v> иксер  5   размеры 380х240х375 мм  мощность 0 5 к т  напряжение 220   </v>
      </c>
    </row>
    <row r="4933">
      <c r="A4933" s="35" t="s">
        <v>11733</v>
      </c>
      <c r="B4933" s="9" t="s">
        <v>11734</v>
      </c>
      <c r="C4933" s="31"/>
      <c r="D4933" s="37" t="s">
        <v>14</v>
      </c>
      <c r="E4933" s="10"/>
      <c r="F4933" s="39">
        <v>13.3</v>
      </c>
      <c r="G4933" s="11">
        <v>380340.0</v>
      </c>
      <c r="H4933" s="34" t="str">
        <f>IFERROR(__xludf.DUMMYFUNCTION("LOWER(REGEXREPLACE(B4933&amp;"" ""&amp;C4933,""[^а-яa-z0-9 ]"","" ""))")," иксер  7   размеры 380х240х405 мм  мощность 0 5 к т напряжение 220   ")</f>
        <v> иксер  7   размеры 380х240х405 мм  мощность 0 5 к т напряжение 220   </v>
      </c>
    </row>
    <row r="4934">
      <c r="A4934" s="35" t="s">
        <v>11735</v>
      </c>
      <c r="B4934" s="9" t="s">
        <v>11736</v>
      </c>
      <c r="C4934" s="31"/>
      <c r="D4934" s="37" t="s">
        <v>14</v>
      </c>
      <c r="E4934" s="10"/>
      <c r="F4934" s="38">
        <v>15.0</v>
      </c>
      <c r="G4934" s="11">
        <v>481133.0</v>
      </c>
      <c r="H4934" s="34" t="str">
        <f>IFERROR(__xludf.DUMMYFUNCTION("LOWER(REGEXREPLACE(B4934&amp;"" ""&amp;C4934,""[^а-яa-z0-9 ]"","" ""))")," иксер  10   размеры 390х260х445 мм  мощность 0 5 к т  напряжение 220   ")</f>
        <v> иксер  10   размеры 390х260х445 мм  мощность 0 5 к т  напряжение 220   </v>
      </c>
    </row>
    <row r="4935">
      <c r="A4935" s="35" t="s">
        <v>11737</v>
      </c>
      <c r="B4935" s="31" t="s">
        <v>11738</v>
      </c>
      <c r="C4935" s="31"/>
      <c r="D4935" s="37" t="s">
        <v>14</v>
      </c>
      <c r="E4935" s="10"/>
      <c r="F4935" s="38">
        <v>56.0</v>
      </c>
      <c r="G4935" s="11">
        <v>651142.0</v>
      </c>
      <c r="H4935" s="34" t="str">
        <f>IFERROR(__xludf.DUMMYFUNCTION("LOWER(REGEXREPLACE(B4935&amp;"" ""&amp;C4935,""[^а-яa-z0-9 ]"","" ""))")," иксер  10  с защитой для рук  размеры 450х366х606 мм  мощность 0 72 к т  напряжение 220   ")</f>
        <v> иксер  10  с защитой для рук  размеры 450х366х606 мм  мощность 0 72 к т  напряжение 220   </v>
      </c>
    </row>
    <row r="4936">
      <c r="A4936" s="35" t="s">
        <v>11739</v>
      </c>
      <c r="B4936" s="31" t="s">
        <v>11740</v>
      </c>
      <c r="C4936" s="31"/>
      <c r="D4936" s="37" t="s">
        <v>14</v>
      </c>
      <c r="E4936" s="10"/>
      <c r="F4936" s="38">
        <v>78.0</v>
      </c>
      <c r="G4936" s="11">
        <v>763550.0</v>
      </c>
      <c r="H4936" s="34" t="str">
        <f>IFERROR(__xludf.DUMMYFUNCTION("LOWER(REGEXREPLACE(B4936&amp;"" ""&amp;C4936,""[^а-яa-z0-9 ]"","" ""))")," иксер  20  с защитой для рук  размеры 520х420х760 мм  мощность 1 1 к т  напряжение 220   ")</f>
        <v> иксер  20  с защитой для рук  размеры 520х420х760 мм  мощность 1 1 к т  напряжение 220   </v>
      </c>
    </row>
    <row r="4937">
      <c r="A4937" s="35" t="s">
        <v>11741</v>
      </c>
      <c r="B4937" s="31" t="s">
        <v>11742</v>
      </c>
      <c r="C4937" s="31"/>
      <c r="D4937" s="37" t="s">
        <v>14</v>
      </c>
      <c r="E4937" s="10"/>
      <c r="F4937" s="38">
        <v>86.0</v>
      </c>
      <c r="G4937" s="11">
        <v>904774.0</v>
      </c>
      <c r="H4937" s="34" t="str">
        <f>IFERROR(__xludf.DUMMYFUNCTION("LOWER(REGEXREPLACE(B4937&amp;"" ""&amp;C4937,""[^а-яa-z0-9 ]"","" ""))")," иксер  30  с защитой для рук  размеры 545х440х882 мм  мощность 1 5 к т  напряжение 220  т  ")</f>
        <v> иксер  30  с защитой для рук  размеры 545х440х882 мм  мощность 1 5 к т  напряжение 220  т  </v>
      </c>
    </row>
    <row r="4938">
      <c r="A4938" s="35" t="s">
        <v>11743</v>
      </c>
      <c r="B4938" s="31" t="s">
        <v>11744</v>
      </c>
      <c r="C4938" s="31"/>
      <c r="D4938" s="37" t="s">
        <v>14</v>
      </c>
      <c r="E4938" s="10"/>
      <c r="F4938" s="38">
        <v>150.0</v>
      </c>
      <c r="G4938" s="11">
        <v>1933240.0</v>
      </c>
      <c r="H4938" s="34" t="str">
        <f>IFERROR(__xludf.DUMMYFUNCTION("LOWER(REGEXREPLACE(B4938&amp;"" ""&amp;C4938,""[^а-яa-z0-9 ]"","" ""))")," иксер  40  с защитой для рук  размеры 620х630х1011 мм  мощность 2 к т  напряжение 220   ")</f>
        <v> иксер  40  с защитой для рук  размеры 620х630х1011 мм  мощность 2 к т  напряжение 220   </v>
      </c>
    </row>
    <row r="4939">
      <c r="A4939" s="35" t="s">
        <v>11745</v>
      </c>
      <c r="B4939" s="31" t="s">
        <v>11746</v>
      </c>
      <c r="C4939" s="31"/>
      <c r="D4939" s="37" t="s">
        <v>14</v>
      </c>
      <c r="E4939" s="10"/>
      <c r="F4939" s="38">
        <v>330.0</v>
      </c>
      <c r="G4939" s="11">
        <v>3929591.0</v>
      </c>
      <c r="H4939" s="34" t="str">
        <f>IFERROR(__xludf.DUMMYFUNCTION("LOWER(REGEXREPLACE(B4939&amp;"" ""&amp;C4939,""[^а-яa-z0-9 ]"","" ""))")," иксер  60  с защитой для рук  размеры 724х625х1300 мм  мощность 2 5 к т  напряжение 380   ")</f>
        <v> иксер  60  с защитой для рук  размеры 724х625х1300 мм  мощность 2 5 к т  напряжение 380   </v>
      </c>
    </row>
    <row r="4940">
      <c r="A4940" s="35" t="s">
        <v>11747</v>
      </c>
      <c r="B4940" s="31" t="s">
        <v>11748</v>
      </c>
      <c r="C4940" s="31"/>
      <c r="D4940" s="37" t="s">
        <v>14</v>
      </c>
      <c r="E4940" s="10"/>
      <c r="F4940" s="38">
        <v>550.0</v>
      </c>
      <c r="G4940" s="11">
        <v>7916205.0</v>
      </c>
      <c r="H4940" s="34" t="str">
        <f>IFERROR(__xludf.DUMMYFUNCTION("LOWER(REGEXREPLACE(B4940&amp;"" ""&amp;C4940,""[^а-яa-z0-9 ]"","" ""))")," иксер  80  с защитой для рук  размеры 1205х740х1620 мм  мощность 4 к т  напряжение 380   ")</f>
        <v> иксер  80  с защитой для рук  размеры 1205х740х1620 мм  мощность 4 к т  напряжение 380   </v>
      </c>
    </row>
    <row r="4941">
      <c r="A4941" s="35" t="s">
        <v>11749</v>
      </c>
      <c r="B4941" s="31" t="s">
        <v>11750</v>
      </c>
      <c r="C4941" s="31"/>
      <c r="D4941" s="37" t="s">
        <v>14</v>
      </c>
      <c r="E4941" s="10"/>
      <c r="F4941" s="39">
        <v>7.9</v>
      </c>
      <c r="G4941" s="11">
        <v>1374384.0</v>
      </c>
      <c r="H4941" s="34" t="str">
        <f>IFERROR(__xludf.DUMMYFUNCTION("LOWER(REGEXREPLACE(B4941&amp;"" ""&amp;C4941,""[^а-яa-z0-9 ]"","" ""))")," иксер ручной    350  ombi  ltra  размеры 125х125х805 мм   мощность 0 44 к т  напряжение 220   ")</f>
        <v> иксер ручной    350  ombi  ltra  размеры 125х125х805 мм   мощность 0 44 к т  напряжение 220   </v>
      </c>
    </row>
    <row r="4942">
      <c r="A4942" s="35" t="s">
        <v>11751</v>
      </c>
      <c r="B4942" s="31" t="s">
        <v>11752</v>
      </c>
      <c r="C4942" s="31"/>
      <c r="D4942" s="37" t="s">
        <v>14</v>
      </c>
      <c r="E4942" s="10"/>
      <c r="F4942" s="38">
        <v>13.0</v>
      </c>
      <c r="G4942" s="11">
        <v>381868.0</v>
      </c>
      <c r="H4942" s="34" t="str">
        <f>IFERROR(__xludf.DUMMYFUNCTION("LOWER(REGEXREPLACE(B4942&amp;"" ""&amp;C4942,""[^а-яa-z0-9 ]"","" ""))")," лайсер  usso 25         промышленный   480х363х365 мм  диаметр ножа 250 мм  0 14 к т  220    ")</f>
        <v> лайсер  usso 25         промышленный   480х363х365 мм  диаметр ножа 250 мм  0 14 к т  220    </v>
      </c>
    </row>
    <row r="4943">
      <c r="A4943" s="35" t="s">
        <v>11753</v>
      </c>
      <c r="B4943" s="9" t="s">
        <v>11754</v>
      </c>
      <c r="C4943" s="31"/>
      <c r="D4943" s="37" t="s">
        <v>14</v>
      </c>
      <c r="E4943" s="10"/>
      <c r="F4943" s="38">
        <v>15.0</v>
      </c>
      <c r="G4943" s="11">
        <v>204654.0</v>
      </c>
      <c r="H4943" s="34" t="str">
        <f>IFERROR(__xludf.DUMMYFUNCTION("LOWER(REGEXREPLACE(B4943&amp;"" ""&amp;C4943,""[^а-яa-z0-9 ]"","" ""))")," лайсер  iloma    220     470x410x310 мм  диаметр ножа 220 мм  0 12 к т  220    ")</f>
        <v> лайсер  iloma    220     470x410x310 мм  диаметр ножа 220 мм  0 12 к т  220    </v>
      </c>
    </row>
    <row r="4944">
      <c r="A4944" s="35" t="s">
        <v>11755</v>
      </c>
      <c r="B4944" s="9" t="s">
        <v>11756</v>
      </c>
      <c r="C4944" s="31"/>
      <c r="D4944" s="37" t="s">
        <v>14</v>
      </c>
      <c r="E4944" s="10"/>
      <c r="F4944" s="38">
        <v>18.0</v>
      </c>
      <c r="G4944" s="11">
        <v>203171.0</v>
      </c>
      <c r="H4944" s="34" t="str">
        <f>IFERROR(__xludf.DUMMYFUNCTION("LOWER(REGEXREPLACE(B4944&amp;"" ""&amp;C4944,""[^а-яa-z0-9 ]"","" ""))")," лайсер  urakan       250  470х400х370 мм  диаметр ножа 250 мм  0 15 к т  220    ")</f>
        <v> лайсер  urakan       250  470х400х370 мм  диаметр ножа 250 мм  0 15 к т  220    </v>
      </c>
    </row>
    <row r="4945">
      <c r="A4945" s="35" t="s">
        <v>11757</v>
      </c>
      <c r="B4945" s="9" t="s">
        <v>11758</v>
      </c>
      <c r="C4945" s="31"/>
      <c r="D4945" s="37" t="s">
        <v>14</v>
      </c>
      <c r="E4945" s="10"/>
      <c r="F4945" s="39">
        <v>17.6</v>
      </c>
      <c r="G4945" s="11">
        <v>975275.0</v>
      </c>
      <c r="H4945" s="34" t="str">
        <f>IFERROR(__xludf.DUMMYFUNCTION("LOWER(REGEXREPLACE(B4945&amp;"" ""&amp;C4945,""[^а-яa-z0-9 ]"","" ""))")," вощерезка   50  24440 промышленная  390х310х610 мм  375 об мин  ")</f>
        <v> вощерезка   50  24440 промышленная  390х310х610 мм  375 об мин  </v>
      </c>
    </row>
    <row r="4946">
      <c r="A4946" s="35" t="s">
        <v>11759</v>
      </c>
      <c r="B4946" s="31" t="s">
        <v>11760</v>
      </c>
      <c r="C4946" s="31"/>
      <c r="D4946" s="37" t="s">
        <v>14</v>
      </c>
      <c r="E4946" s="10"/>
      <c r="F4946" s="36"/>
      <c r="G4946" s="11">
        <v>564561.0</v>
      </c>
      <c r="H4946" s="34" t="str">
        <f>IFERROR(__xludf.DUMMYFUNCTION("LOWER(REGEXREPLACE(B4946&amp;"" ""&amp;C4946,""[^а-яa-z0-9 ]"","" ""))")," абор 8 ножей 1933   ")</f>
        <v> абор 8 ножей 1933   </v>
      </c>
    </row>
    <row r="4947">
      <c r="A4947" s="35" t="s">
        <v>11761</v>
      </c>
      <c r="B4947" s="9" t="s">
        <v>11762</v>
      </c>
      <c r="C4947" s="31"/>
      <c r="D4947" s="37" t="s">
        <v>14</v>
      </c>
      <c r="E4947" s="10"/>
      <c r="F4947" s="38">
        <v>25.0</v>
      </c>
      <c r="G4947" s="11">
        <v>327770.0</v>
      </c>
      <c r="H4947" s="34" t="str">
        <f>IFERROR(__xludf.DUMMYFUNCTION("LOWER(REGEXREPLACE(B4947&amp;"" ""&amp;C4947,""[^а-яa-z0-9 ]"","" ""))")," вощерезка                  600x240x590  ручн загр  100 300 кг ч  5 дисков  ломтики 2 и 4 мм  ")</f>
        <v> вощерезка                  600x240x590  ручн загр  100 300 кг ч  5 дисков  ломтики 2 и 4 мм  </v>
      </c>
    </row>
    <row r="4948">
      <c r="A4948" s="35" t="s">
        <v>11763</v>
      </c>
      <c r="B4948" s="31" t="s">
        <v>11764</v>
      </c>
      <c r="C4948" s="31"/>
      <c r="D4948" s="37" t="s">
        <v>14</v>
      </c>
      <c r="E4948" s="10"/>
      <c r="F4948" s="36"/>
      <c r="G4948" s="11"/>
      <c r="H4948" s="34" t="str">
        <f>IFERROR(__xludf.DUMMYFUNCTION("LOWER(REGEXREPLACE(B4948&amp;"" ""&amp;C4948,""[^а-яa-z0-9 ]"","" ""))")," ашина овощерезательная ")</f>
        <v> ашина овощерезательная </v>
      </c>
    </row>
    <row r="4949">
      <c r="A4949" s="35" t="s">
        <v>11765</v>
      </c>
      <c r="B4949" s="31" t="s">
        <v>11766</v>
      </c>
      <c r="C4949" s="31" t="s">
        <v>11767</v>
      </c>
      <c r="D4949" s="37" t="s">
        <v>14</v>
      </c>
      <c r="E4949" s="10"/>
      <c r="F4949" s="38">
        <v>14.0</v>
      </c>
      <c r="G4949" s="11">
        <v>471605.0</v>
      </c>
      <c r="H4949" s="34" t="str">
        <f>IFERROR(__xludf.DUMMYFUNCTION("LOWER(REGEXREPLACE(B4949&amp;"" ""&amp;C4949,""[^а-яa-z0-9 ]"","" ""))")," ашина овощерезательная  мощность 0 4 к т  напряжение 230    ашина овощерезательная электрическая  мощность 0 4 к т  напряжение 220    набор дисков в комплекте ")</f>
        <v> ашина овощерезательная  мощность 0 4 к т  напряжение 230    ашина овощерезательная электрическая  мощность 0 4 к т  напряжение 220    набор дисков в комплекте </v>
      </c>
    </row>
    <row r="4950">
      <c r="A4950" s="35" t="s">
        <v>11768</v>
      </c>
      <c r="B4950" s="31" t="s">
        <v>11769</v>
      </c>
      <c r="C4950" s="31"/>
      <c r="D4950" s="37" t="s">
        <v>14</v>
      </c>
      <c r="E4950" s="10"/>
      <c r="F4950" s="38">
        <v>26.0</v>
      </c>
      <c r="G4950" s="11">
        <v>819475.0</v>
      </c>
      <c r="H4950" s="34" t="str">
        <f>IFERROR(__xludf.DUMMYFUNCTION("LOWER(REGEXREPLACE(B4950&amp;"" ""&amp;C4950,""[^а-яa-z0-9 ]"","" ""))")," ашина овощерезательная     300  размеры 560х290х560 мм  мощность 0 55 к т  напряжение 220   ")</f>
        <v> ашина овощерезательная     300  размеры 560х290х560 мм  мощность 0 55 к т  напряжение 220   </v>
      </c>
    </row>
    <row r="4951">
      <c r="A4951" s="35" t="s">
        <v>11770</v>
      </c>
      <c r="B4951" s="31" t="s">
        <v>11771</v>
      </c>
      <c r="C4951" s="31"/>
      <c r="D4951" s="37" t="s">
        <v>14</v>
      </c>
      <c r="E4951" s="10"/>
      <c r="F4951" s="38">
        <v>31.0</v>
      </c>
      <c r="G4951" s="11">
        <v>388563.0</v>
      </c>
      <c r="H4951" s="34" t="str">
        <f>IFERROR(__xludf.DUMMYFUNCTION("LOWER(REGEXREPLACE(B4951&amp;"" ""&amp;C4951,""[^а-яa-z0-9 ]"","" ""))")," ашина овощерезательная     50  250 кг ч  0 5 к т  400   ")</f>
        <v> ашина овощерезательная     50  250 кг ч  0 5 к т  400   </v>
      </c>
    </row>
    <row r="4952">
      <c r="A4952" s="35" t="s">
        <v>11772</v>
      </c>
      <c r="B4952" s="31" t="s">
        <v>11773</v>
      </c>
      <c r="C4952" s="31"/>
      <c r="D4952" s="37" t="s">
        <v>14</v>
      </c>
      <c r="E4952" s="10"/>
      <c r="F4952" s="38">
        <v>48.0</v>
      </c>
      <c r="G4952" s="11">
        <v>404595.0</v>
      </c>
      <c r="H4952" s="34" t="str">
        <f>IFERROR(__xludf.DUMMYFUNCTION("LOWER(REGEXREPLACE(B4952&amp;"" ""&amp;C4952,""[^а-яa-z0-9 ]"","" ""))"),"    150   ашина картофелеочистительная  650х410х835 мм  150 кг ч  загрузка 7 кг  0 75 к т  380    ")</f>
        <v>    150   ашина картофелеочистительная  650х410х835 мм  150 кг ч  загрузка 7 кг  0 75 к т  380    </v>
      </c>
    </row>
    <row r="4953">
      <c r="A4953" s="35" t="s">
        <v>11774</v>
      </c>
      <c r="B4953" s="9" t="s">
        <v>11775</v>
      </c>
      <c r="C4953" s="31"/>
      <c r="D4953" s="37" t="s">
        <v>14</v>
      </c>
      <c r="E4953" s="10"/>
      <c r="F4953" s="38">
        <v>49.0</v>
      </c>
      <c r="G4953" s="11">
        <v>518728.0</v>
      </c>
      <c r="H4953" s="34" t="str">
        <f>IFERROR(__xludf.DUMMYFUNCTION("LOWER(REGEXREPLACE(B4953&amp;"" ""&amp;C4953,""[^а-яa-z0-9 ]"","" ""))"),"    300   ашина картофелеочистительная  650x410x870 мм  загрузка не более 10 кг  300 кг ч  0 75 к т  380    ")</f>
        <v>    300   ашина картофелеочистительная  650x410x870 мм  загрузка не более 10 кг  300 кг ч  0 75 к т  380    </v>
      </c>
    </row>
    <row r="4954">
      <c r="A4954" s="35" t="s">
        <v>11776</v>
      </c>
      <c r="B4954" s="31" t="s">
        <v>11777</v>
      </c>
      <c r="C4954" s="31"/>
      <c r="D4954" s="37" t="s">
        <v>14</v>
      </c>
      <c r="E4954" s="10"/>
      <c r="F4954" s="36"/>
      <c r="G4954" s="11"/>
      <c r="H4954" s="34" t="str">
        <f>IFERROR(__xludf.DUMMYFUNCTION("LOWER(REGEXREPLACE(B4954&amp;"" ""&amp;C4954,""[^а-яa-z0-9 ]"","" ""))")," ашина картофелеочистительная ")</f>
        <v> ашина картофелеочистительная </v>
      </c>
    </row>
    <row r="4955">
      <c r="A4955" s="35" t="s">
        <v>11778</v>
      </c>
      <c r="B4955" s="31" t="s">
        <v>11779</v>
      </c>
      <c r="C4955" s="31" t="s">
        <v>11780</v>
      </c>
      <c r="D4955" s="37" t="s">
        <v>14</v>
      </c>
      <c r="E4955" s="10"/>
      <c r="F4955" s="38">
        <v>46.0</v>
      </c>
      <c r="G4955" s="11">
        <v>436424.0</v>
      </c>
      <c r="H4955" s="34" t="str">
        <f>IFERROR(__xludf.DUMMYFUNCTION("LOWER(REGEXREPLACE(B4955&amp;"" ""&amp;C4955,""[^а-яa-z0-9 ]"","" ""))"),"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f>
        <v>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v>
      </c>
    </row>
    <row r="4956">
      <c r="A4956" s="35" t="s">
        <v>11781</v>
      </c>
      <c r="B4956" s="31" t="s">
        <v>11782</v>
      </c>
      <c r="C4956" s="31"/>
      <c r="D4956" s="37" t="s">
        <v>14</v>
      </c>
      <c r="E4956" s="10"/>
      <c r="F4956" s="39">
        <v>58.4</v>
      </c>
      <c r="G4956" s="11">
        <v>988272.0</v>
      </c>
      <c r="H4956" s="34" t="str">
        <f>IFERROR(__xludf.DUMMYFUNCTION("LOWER(REGEXREPLACE(B4956&amp;"" ""&amp;C4956,""[^а-яa-z0-9 ]"","" ""))")," ашина картофелеочистительная     15  размеры 476х646х1243 мм  мощность 0 75 к т  напряжение 220   ")</f>
        <v> ашина картофелеочистительная     15  размеры 476х646х1243 мм  мощность 0 75 к т  напряжение 220   </v>
      </c>
    </row>
    <row r="4957">
      <c r="A4957" s="35" t="s">
        <v>11783</v>
      </c>
      <c r="B4957" s="31" t="s">
        <v>11784</v>
      </c>
      <c r="C4957" s="31"/>
      <c r="D4957" s="37" t="s">
        <v>14</v>
      </c>
      <c r="E4957" s="10"/>
      <c r="F4957" s="38">
        <v>65.0</v>
      </c>
      <c r="G4957" s="11">
        <v>1109687.0</v>
      </c>
      <c r="H4957" s="34" t="str">
        <f>IFERROR(__xludf.DUMMYFUNCTION("LOWER(REGEXREPLACE(B4957&amp;"" ""&amp;C4957,""[^а-яa-z0-9 ]"","" ""))")," ашина картофелеочистительная     20  размеры 536х676х1273 мм  мощность 0 95 к т  напряжение 220   ")</f>
        <v> ашина картофелеочистительная     20  размеры 536х676х1273 мм  мощность 0 95 к т  напряжение 220   </v>
      </c>
    </row>
    <row r="4958">
      <c r="A4958" s="35" t="s">
        <v>11785</v>
      </c>
      <c r="B4958" s="31" t="s">
        <v>11786</v>
      </c>
      <c r="C4958" s="31"/>
      <c r="D4958" s="37" t="s">
        <v>14</v>
      </c>
      <c r="E4958" s="38">
        <v>2.0</v>
      </c>
      <c r="F4958" s="38">
        <v>60.0</v>
      </c>
      <c r="G4958" s="11">
        <v>379963.0</v>
      </c>
      <c r="H4958" s="34" t="str">
        <f>IFERROR(__xludf.DUMMYFUNCTION("LOWER(REGEXREPLACE(B4958&amp;"" ""&amp;C4958,""[^а-яa-z0-9 ]"","" ""))")," ашина картофелеочистительная     150  150 кг ч  10 кг  обработка 2 мин  0 75 к т  400   ")</f>
        <v> ашина картофелеочистительная     150  150 кг ч  10 кг  обработка 2 мин  0 75 к т  400   </v>
      </c>
    </row>
    <row r="4959">
      <c r="A4959" s="35" t="s">
        <v>11787</v>
      </c>
      <c r="B4959" s="31" t="s">
        <v>11788</v>
      </c>
      <c r="C4959" s="31"/>
      <c r="D4959" s="37" t="s">
        <v>14</v>
      </c>
      <c r="E4959" s="38">
        <v>2.0</v>
      </c>
      <c r="F4959" s="38">
        <v>65.0</v>
      </c>
      <c r="G4959" s="11">
        <v>402060.0</v>
      </c>
      <c r="H4959" s="34" t="str">
        <f>IFERROR(__xludf.DUMMYFUNCTION("LOWER(REGEXREPLACE(B4959&amp;"" ""&amp;C4959,""[^а-яa-z0-9 ]"","" ""))")," ашина картофелеочистительная     300  300 кг ч  17 кг  обработка 2 мин  0 75 к т  400   ")</f>
        <v> ашина картофелеочистительная     300  300 кг ч  17 кг  обработка 2 мин  0 75 к т  400   </v>
      </c>
    </row>
    <row r="4960">
      <c r="A4960" s="35" t="s">
        <v>11789</v>
      </c>
      <c r="B4960" s="31" t="s">
        <v>11790</v>
      </c>
      <c r="C4960" s="31"/>
      <c r="D4960" s="37" t="s">
        <v>14</v>
      </c>
      <c r="E4960" s="10"/>
      <c r="F4960" s="38">
        <v>45.0</v>
      </c>
      <c r="G4960" s="11">
        <v>475416.0</v>
      </c>
      <c r="H4960" s="34" t="str">
        <f>IFERROR(__xludf.DUMMYFUNCTION("LOWER(REGEXREPLACE(B4960&amp;"" ""&amp;C4960,""[^а-яa-z0-9 ]"","" ""))"),"    600   ясорубка  560х510х420 мм  600 кг ч  2 75 к т  380    ")</f>
        <v>    600   ясорубка  560х510х420 мм  600 кг ч  2 75 к т  380    </v>
      </c>
    </row>
    <row r="4961">
      <c r="A4961" s="35" t="s">
        <v>11791</v>
      </c>
      <c r="B4961" s="31" t="s">
        <v>11792</v>
      </c>
      <c r="C4961" s="31"/>
      <c r="D4961" s="37" t="s">
        <v>14</v>
      </c>
      <c r="E4961" s="10"/>
      <c r="F4961" s="38">
        <v>55.0</v>
      </c>
      <c r="G4961" s="11">
        <v>404263.0</v>
      </c>
      <c r="H4961" s="34" t="str">
        <f>IFERROR(__xludf.DUMMYFUNCTION("LOWER(REGEXREPLACE(B4961&amp;"" ""&amp;C4961,""[^а-яa-z0-9 ]"","" ""))")," ясорубка настольная   400      05   676х310х445 мм  400 кг ч  1 5 к т  380    ")</f>
        <v> ясорубка настольная   400      05   676х310х445 мм  400 кг ч  1 5 к т  380    </v>
      </c>
    </row>
    <row r="4962">
      <c r="A4962" s="35" t="s">
        <v>11793</v>
      </c>
      <c r="B4962" s="9" t="s">
        <v>11794</v>
      </c>
      <c r="C4962" s="31"/>
      <c r="D4962" s="37" t="s">
        <v>14</v>
      </c>
      <c r="E4962" s="10"/>
      <c r="F4962" s="38">
        <v>32.0</v>
      </c>
      <c r="G4962" s="11">
        <v>258941.0</v>
      </c>
      <c r="H4962" s="34" t="str">
        <f>IFERROR(__xludf.DUMMYFUNCTION("LOWER(REGEXREPLACE(B4962&amp;"" ""&amp;C4962,""[^а-яa-z0-9 ]"","" ""))")," ясорубка настольная     150  535х415х490  150 кг ч  1 05 к т  380    полный унгер  ")</f>
        <v> ясорубка настольная     150  535х415х490  150 кг ч  1 05 к т  380    полный унгер  </v>
      </c>
    </row>
    <row r="4963">
      <c r="A4963" s="35" t="s">
        <v>11795</v>
      </c>
      <c r="B4963" s="31" t="s">
        <v>11796</v>
      </c>
      <c r="C4963" s="31"/>
      <c r="D4963" s="37" t="s">
        <v>14</v>
      </c>
      <c r="E4963" s="10"/>
      <c r="F4963" s="38">
        <v>37.0</v>
      </c>
      <c r="G4963" s="11">
        <v>604152.0</v>
      </c>
      <c r="H4963" s="34" t="str">
        <f>IFERROR(__xludf.DUMMYFUNCTION("LOWER(REGEXREPLACE(B4963&amp;"" ""&amp;C4963,""[^а-яa-z0-9 ]"","" ""))")," ила для мяса    1550  3  23153402    промышленная  ")</f>
        <v> ила для мяса    1550  3  23153402    промышленная  </v>
      </c>
    </row>
    <row r="4964">
      <c r="A4964" s="35" t="s">
        <v>11797</v>
      </c>
      <c r="B4964" s="31" t="s">
        <v>11798</v>
      </c>
      <c r="C4964" s="31"/>
      <c r="D4964" s="37" t="s">
        <v>14</v>
      </c>
      <c r="E4964" s="10"/>
      <c r="F4964" s="39">
        <v>32.9</v>
      </c>
      <c r="G4964" s="11">
        <v>415909.0</v>
      </c>
      <c r="H4964" s="34" t="str">
        <f>IFERROR(__xludf.DUMMYFUNCTION("LOWER(REGEXREPLACE(B4964&amp;"" ""&amp;C4964,""[^а-яa-z0-9 ]"","" ""))")," ила для резки мяса     1650  470х490х865 мм  200 кг час  0 75 к т  220    ")</f>
        <v> ила для резки мяса     1650  470х490х865 мм  200 кг час  0 75 к т  220    </v>
      </c>
    </row>
    <row r="4965">
      <c r="A4965" s="35" t="s">
        <v>11799</v>
      </c>
      <c r="B4965" s="31" t="s">
        <v>11800</v>
      </c>
      <c r="C4965" s="31"/>
      <c r="D4965" s="37" t="s">
        <v>14</v>
      </c>
      <c r="E4965" s="10"/>
      <c r="F4965" s="36"/>
      <c r="G4965" s="11"/>
      <c r="H4965" s="34" t="str">
        <f>IFERROR(__xludf.DUMMYFUNCTION("LOWER(REGEXREPLACE(B4965&amp;"" ""&amp;C4965,""[^а-яa-z0-9 ]"","" ""))")," ила для резки мяса ")</f>
        <v> ила для резки мяса </v>
      </c>
    </row>
    <row r="4966">
      <c r="A4966" s="35" t="s">
        <v>11801</v>
      </c>
      <c r="B4966" s="31" t="s">
        <v>11802</v>
      </c>
      <c r="C4966" s="31"/>
      <c r="D4966" s="37" t="s">
        <v>14</v>
      </c>
      <c r="E4966" s="10"/>
      <c r="F4966" s="38">
        <v>35.0</v>
      </c>
      <c r="G4966" s="11">
        <v>415858.0</v>
      </c>
      <c r="H4966" s="34" t="str">
        <f>IFERROR(__xludf.DUMMYFUNCTION("LOWER(REGEXREPLACE(B4966&amp;"" ""&amp;C4966,""[^а-яa-z0-9 ]"","" ""))")," ила для резки мяса  размеры 470x480x850 мм  мощность 0 75 к т  напряжение 220   ")</f>
        <v> ила для резки мяса  размеры 470x480x850 мм  мощность 0 75 к т  напряжение 220   </v>
      </c>
    </row>
    <row r="4967">
      <c r="A4967" s="35" t="s">
        <v>11803</v>
      </c>
      <c r="B4967" s="31" t="s">
        <v>11804</v>
      </c>
      <c r="C4967" s="31" t="s">
        <v>11804</v>
      </c>
      <c r="D4967" s="37" t="s">
        <v>14</v>
      </c>
      <c r="E4967" s="10"/>
      <c r="F4967" s="39">
        <v>35.7</v>
      </c>
      <c r="G4967" s="11">
        <v>842804.0</v>
      </c>
      <c r="H4967" s="34" t="str">
        <f>IFERROR(__xludf.DUMMYFUNCTION("LOWER(REGEXREPLACE(B4967&amp;"" ""&amp;C4967,""[^а-яa-z0-9 ]"","" ""))"),"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f>
        <v>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v>
      </c>
    </row>
    <row r="4968">
      <c r="A4968" s="35" t="s">
        <v>11805</v>
      </c>
      <c r="B4968" s="31" t="s">
        <v>11806</v>
      </c>
      <c r="C4968" s="31"/>
      <c r="D4968" s="37" t="s">
        <v>14</v>
      </c>
      <c r="E4968" s="10"/>
      <c r="F4968" s="38">
        <v>45.0</v>
      </c>
      <c r="G4968" s="11">
        <v>817604.0</v>
      </c>
      <c r="H4968" s="34" t="str">
        <f>IFERROR(__xludf.DUMMYFUNCTION("LOWER(REGEXREPLACE(B4968&amp;"" ""&amp;C4968,""[^а-яa-z0-9 ]"","" ""))")," ила для резки мяса настольная  размеры 525х470х850 мм  мощность 0 65 к т  напряжение 220   ")</f>
        <v> ила для резки мяса настольная  размеры 525х470х850 мм  мощность 0 65 к т  напряжение 220   </v>
      </c>
    </row>
    <row r="4969">
      <c r="A4969" s="35" t="s">
        <v>11807</v>
      </c>
      <c r="B4969" s="31" t="s">
        <v>11808</v>
      </c>
      <c r="C4969" s="31"/>
      <c r="D4969" s="37" t="s">
        <v>14</v>
      </c>
      <c r="E4969" s="10"/>
      <c r="F4969" s="38">
        <v>78.0</v>
      </c>
      <c r="G4969" s="11">
        <v>1068169.0</v>
      </c>
      <c r="H4969" s="34" t="str">
        <f>IFERROR(__xludf.DUMMYFUNCTION("LOWER(REGEXREPLACE(B4969&amp;"" ""&amp;C4969,""[^а-яa-z0-9 ]"","" ""))")," ила для резки мяса настольная  размеры 590х570х1040 мм  мощность 1 5 к т  напряжение 220   ")</f>
        <v> ила для резки мяса настольная  размеры 590х570х1040 мм  мощность 1 5 к т  напряжение 220   </v>
      </c>
    </row>
    <row r="4970">
      <c r="A4970" s="35" t="s">
        <v>11809</v>
      </c>
      <c r="B4970" s="31" t="s">
        <v>11810</v>
      </c>
      <c r="C4970" s="31"/>
      <c r="D4970" s="37" t="s">
        <v>14</v>
      </c>
      <c r="E4970" s="10"/>
      <c r="F4970" s="36"/>
      <c r="G4970" s="11"/>
      <c r="H4970" s="34" t="str">
        <f>IFERROR(__xludf.DUMMYFUNCTION("LOWER(REGEXREPLACE(B4970&amp;"" ""&amp;C4970,""[^а-яa-z0-9 ]"","" ""))")," ясорубка ")</f>
        <v> ясорубка </v>
      </c>
    </row>
    <row r="4971">
      <c r="A4971" s="35" t="s">
        <v>11811</v>
      </c>
      <c r="B4971" s="31" t="s">
        <v>11812</v>
      </c>
      <c r="C4971" s="31" t="s">
        <v>11812</v>
      </c>
      <c r="D4971" s="37" t="s">
        <v>14</v>
      </c>
      <c r="E4971" s="10"/>
      <c r="F4971" s="38">
        <v>47.0</v>
      </c>
      <c r="G4971" s="11">
        <v>473560.0</v>
      </c>
      <c r="H4971" s="34" t="str">
        <f>IFERROR(__xludf.DUMMYFUNCTION("LOWER(REGEXREPLACE(B4971&amp;"" ""&amp;C4971,""[^а-яa-z0-9 ]"","" ""))")," ясорубка  производительность не менее 300 кг ч  мощность 1 5 к т  напряжение 380    ясорубка  производительность не менее 300 кг ч  мощность 1 5 к т  напряжение 380  ")</f>
        <v> ясорубка  производительность не менее 300 кг ч  мощность 1 5 к т  напряжение 380    ясорубка  производительность не менее 300 кг ч  мощность 1 5 к т  напряжение 380  </v>
      </c>
    </row>
    <row r="4972">
      <c r="A4972" s="35" t="s">
        <v>11813</v>
      </c>
      <c r="B4972" s="31" t="s">
        <v>11814</v>
      </c>
      <c r="C4972" s="31"/>
      <c r="D4972" s="37" t="s">
        <v>14</v>
      </c>
      <c r="E4972" s="10"/>
      <c r="F4972" s="38">
        <v>27.0</v>
      </c>
      <c r="G4972" s="11">
        <v>315174.0</v>
      </c>
      <c r="H4972" s="34" t="str">
        <f>IFERROR(__xludf.DUMMYFUNCTION("LOWER(REGEXREPLACE(B4972&amp;"" ""&amp;C4972,""[^а-яa-z0-9 ]"","" ""))")," ясорубка    12  размеры 400х190х410 мм  производительность 120 кг ч  мощность 0 55 к т  напряжение 220   ")</f>
        <v> ясорубка    12  размеры 400х190х410 мм  производительность 120 кг ч  мощность 0 55 к т  напряжение 220   </v>
      </c>
    </row>
    <row r="4973">
      <c r="A4973" s="35" t="s">
        <v>11815</v>
      </c>
      <c r="B4973" s="31" t="s">
        <v>11816</v>
      </c>
      <c r="C4973" s="31"/>
      <c r="D4973" s="37" t="s">
        <v>14</v>
      </c>
      <c r="E4973" s="10"/>
      <c r="F4973" s="38">
        <v>35.0</v>
      </c>
      <c r="G4973" s="11">
        <v>429162.0</v>
      </c>
      <c r="H4973" s="34" t="str">
        <f>IFERROR(__xludf.DUMMYFUNCTION("LOWER(REGEXREPLACE(B4973&amp;"" ""&amp;C4973,""[^а-яa-z0-9 ]"","" ""))")," ясорубка    22  размеры 410х240х450 мм  производительность 220 кг ч  мощность 0 75 к т  напряжение 220   ")</f>
        <v> ясорубка    22  размеры 410х240х450 мм  производительность 220 кг ч  мощность 0 75 к т  напряжение 220   </v>
      </c>
    </row>
    <row r="4974">
      <c r="A4974" s="35" t="s">
        <v>11817</v>
      </c>
      <c r="B4974" s="31" t="s">
        <v>11818</v>
      </c>
      <c r="C4974" s="31"/>
      <c r="D4974" s="37" t="s">
        <v>14</v>
      </c>
      <c r="E4974" s="10"/>
      <c r="F4974" s="38">
        <v>76.0</v>
      </c>
      <c r="G4974" s="11">
        <v>872344.0</v>
      </c>
      <c r="H4974" s="34" t="str">
        <f>IFERROR(__xludf.DUMMYFUNCTION("LOWER(REGEXREPLACE(B4974&amp;"" ""&amp;C4974,""[^а-яa-z0-9 ]"","" ""))")," ясорубка    32  размеры 530х270х500 мм  производительность 320 кг ч  мощность 1 5 к т  напряжение 220   ")</f>
        <v> ясорубка    32  размеры 530х270х500 мм  производительность 320 кг ч  мощность 1 5 к т  напряжение 220   </v>
      </c>
    </row>
    <row r="4975">
      <c r="A4975" s="35" t="s">
        <v>11819</v>
      </c>
      <c r="B4975" s="31" t="s">
        <v>11820</v>
      </c>
      <c r="C4975" s="31"/>
      <c r="D4975" s="37" t="s">
        <v>14</v>
      </c>
      <c r="E4975" s="10"/>
      <c r="F4975" s="38">
        <v>107.0</v>
      </c>
      <c r="G4975" s="11">
        <v>1609472.0</v>
      </c>
      <c r="H4975" s="34" t="str">
        <f>IFERROR(__xludf.DUMMYFUNCTION("LOWER(REGEXREPLACE(B4975&amp;"" ""&amp;C4975,""[^а-яa-z0-9 ]"","" ""))")," ясорубка    42  размеры 530х1020х950 мм  производительность 630 кг ч  мощность 4 к т  напряжение 380   ")</f>
        <v> ясорубка    42  размеры 530х1020х950 мм  производительность 630 кг ч  мощность 4 к т  напряжение 380   </v>
      </c>
    </row>
    <row r="4976">
      <c r="A4976" s="35" t="s">
        <v>11821</v>
      </c>
      <c r="B4976" s="31" t="s">
        <v>11822</v>
      </c>
      <c r="C4976" s="31"/>
      <c r="D4976" s="37" t="s">
        <v>14</v>
      </c>
      <c r="E4976" s="10"/>
      <c r="F4976" s="38">
        <v>438.0</v>
      </c>
      <c r="G4976" s="11">
        <v>2795417.0</v>
      </c>
      <c r="H4976" s="34" t="str">
        <f>IFERROR(__xludf.DUMMYFUNCTION("LOWER(REGEXREPLACE(B4976&amp;"" ""&amp;C4976,""[^а-яa-z0-9 ]"","" ""))")," ясорубка    52  размеры 800х1350х1220 мм  производительность 1300 кг ч  мощность 5 5 к т  напряжение 380   ")</f>
        <v> ясорубка    52  размеры 800х1350х1220 мм  производительность 1300 кг ч  мощность 5 5 к т  напряжение 380   </v>
      </c>
    </row>
    <row r="4977">
      <c r="A4977" s="35" t="s">
        <v>11823</v>
      </c>
      <c r="B4977" s="31" t="s">
        <v>11824</v>
      </c>
      <c r="C4977" s="31"/>
      <c r="D4977" s="37" t="s">
        <v>14</v>
      </c>
      <c r="E4977" s="38">
        <v>2.0</v>
      </c>
      <c r="F4977" s="38">
        <v>62.0</v>
      </c>
      <c r="G4977" s="11">
        <v>485943.0</v>
      </c>
      <c r="H4977" s="34" t="str">
        <f>IFERROR(__xludf.DUMMYFUNCTION("LOWER(REGEXREPLACE(B4977&amp;"" ""&amp;C4977,""[^а-яa-z0-9 ]"","" ""))")," ясорубка электрическая     300  300 кг ч  полный унгер  реверс  250 об мин  690х420х472 мм  1 5 к т  400    вся нерж   ")</f>
        <v> ясорубка электрическая     300  300 кг ч  полный унгер  реверс  250 об мин  690х420х472 мм  1 5 к т  400    вся нерж   </v>
      </c>
    </row>
    <row r="4978">
      <c r="A4978" s="35" t="s">
        <v>11825</v>
      </c>
      <c r="B4978" s="31" t="s">
        <v>11826</v>
      </c>
      <c r="C4978" s="31"/>
      <c r="D4978" s="37" t="s">
        <v>14</v>
      </c>
      <c r="E4978" s="10"/>
      <c r="F4978" s="39">
        <v>15.5</v>
      </c>
      <c r="G4978" s="11"/>
      <c r="H4978" s="34" t="str">
        <f>IFERROR(__xludf.DUMMYFUNCTION("LOWER(REGEXREPLACE(B4978&amp;"" ""&amp;C4978,""[^а-яa-z0-9 ]"","" ""))")," лайсер ")</f>
        <v> лайсер </v>
      </c>
    </row>
    <row r="4979">
      <c r="A4979" s="35" t="s">
        <v>11827</v>
      </c>
      <c r="B4979" s="31" t="s">
        <v>11828</v>
      </c>
      <c r="C4979" s="31"/>
      <c r="D4979" s="37" t="s">
        <v>14</v>
      </c>
      <c r="E4979" s="10"/>
      <c r="F4979" s="39">
        <v>15.5</v>
      </c>
      <c r="G4979" s="11">
        <v>370432.0</v>
      </c>
      <c r="H4979" s="34" t="str">
        <f>IFERROR(__xludf.DUMMYFUNCTION("LOWER(REGEXREPLACE(B4979&amp;"" ""&amp;C4979,""[^а-яa-z0-9 ]"","" ""))")," лайсер полуавтоматический       250      размеры 530х480х390 мм  мощность 0 14 к т  напряжение 220   ")</f>
        <v> лайсер полуавтоматический       250      размеры 530х480х390 мм  мощность 0 14 к т  напряжение 220   </v>
      </c>
    </row>
    <row r="4980">
      <c r="A4980" s="35" t="s">
        <v>11829</v>
      </c>
      <c r="B4980" s="31" t="s">
        <v>11830</v>
      </c>
      <c r="C4980" s="31"/>
      <c r="D4980" s="37" t="s">
        <v>14</v>
      </c>
      <c r="E4980" s="10"/>
      <c r="F4980" s="39">
        <v>14.4</v>
      </c>
      <c r="G4980" s="11">
        <v>336134.0</v>
      </c>
      <c r="H4980" s="34" t="str">
        <f>IFERROR(__xludf.DUMMYFUNCTION("LOWER(REGEXREPLACE(B4980&amp;"" ""&amp;C4980,""[^а-яa-z0-9 ]"","" ""))")," лайсер полуавтоматический     220   размеры 575х465х415 мм  мощность 0 12 к т  напряжение 220   ")</f>
        <v> лайсер полуавтоматический     220   размеры 575х465х415 мм  мощность 0 12 к т  напряжение 220   </v>
      </c>
    </row>
    <row r="4981">
      <c r="A4981" s="35" t="s">
        <v>11831</v>
      </c>
      <c r="B4981" s="31" t="s">
        <v>11832</v>
      </c>
      <c r="C4981" s="31"/>
      <c r="D4981" s="37" t="s">
        <v>14</v>
      </c>
      <c r="E4981" s="10"/>
      <c r="F4981" s="39">
        <v>15.5</v>
      </c>
      <c r="G4981" s="11">
        <v>376800.0</v>
      </c>
      <c r="H4981" s="34" t="str">
        <f>IFERROR(__xludf.DUMMYFUNCTION("LOWER(REGEXREPLACE(B4981&amp;"" ""&amp;C4981,""[^а-яa-z0-9 ]"","" ""))")," лайсер полуавтоматический     250   размеры 575х465х510 мм  мощность 0 15 к т  напряжение 220   ")</f>
        <v> лайсер полуавтоматический     250   размеры 575х465х510 мм  мощность 0 15 к т  напряжение 220   </v>
      </c>
    </row>
    <row r="4982">
      <c r="A4982" s="35" t="s">
        <v>11833</v>
      </c>
      <c r="B4982" s="31" t="s">
        <v>11834</v>
      </c>
      <c r="C4982" s="31"/>
      <c r="D4982" s="37" t="s">
        <v>14</v>
      </c>
      <c r="E4982" s="10"/>
      <c r="F4982" s="39">
        <v>22.2</v>
      </c>
      <c r="G4982" s="11">
        <v>515458.0</v>
      </c>
      <c r="H4982" s="34" t="str">
        <f>IFERROR(__xludf.DUMMYFUNCTION("LOWER(REGEXREPLACE(B4982&amp;"" ""&amp;C4982,""[^а-яa-z0-9 ]"","" ""))")," лайсер полуавтоматический     300   размеры 615х525х510 мм  мощность 0 25 к т  напряжение 220   ")</f>
        <v> лайсер полуавтоматический     300   размеры 615х525х510 мм  мощность 0 25 к т  напряжение 220   </v>
      </c>
    </row>
    <row r="4983">
      <c r="A4983" s="35" t="s">
        <v>11835</v>
      </c>
      <c r="B4983" s="31" t="s">
        <v>11836</v>
      </c>
      <c r="C4983" s="31"/>
      <c r="D4983" s="37" t="s">
        <v>14</v>
      </c>
      <c r="E4983" s="10"/>
      <c r="F4983" s="36"/>
      <c r="G4983" s="11"/>
      <c r="H4983" s="34" t="str">
        <f>IFERROR(__xludf.DUMMYFUNCTION("LOWER(REGEXREPLACE(B4983&amp;"" ""&amp;C4983,""[^а-яa-z0-9 ]"","" ""))")," воскоп ")</f>
        <v> воскоп </v>
      </c>
    </row>
    <row r="4984">
      <c r="A4984" s="35" t="s">
        <v>11837</v>
      </c>
      <c r="B4984" s="31" t="s">
        <v>11838</v>
      </c>
      <c r="C4984" s="31"/>
      <c r="D4984" s="37" t="s">
        <v>14</v>
      </c>
      <c r="E4984" s="10"/>
      <c r="F4984" s="39">
        <v>0.5</v>
      </c>
      <c r="G4984" s="11">
        <v>59991.0</v>
      </c>
      <c r="H4984" s="34" t="str">
        <f>IFERROR(__xludf.DUMMYFUNCTION("LOWER(REGEXREPLACE(B4984&amp;"" ""&amp;C4984,""[^а-яa-z0-9 ]"","" ""))")," воскоп  прибор контроля качества яиц   на 10шт    ощность 0 06 к т    10 ")</f>
        <v> воскоп  прибор контроля качества яиц   на 10шт    ощность 0 06 к т    10 </v>
      </c>
    </row>
    <row r="4985">
      <c r="A4985" s="35" t="s">
        <v>11839</v>
      </c>
      <c r="B4985" s="31" t="s">
        <v>11840</v>
      </c>
      <c r="C4985" s="31"/>
      <c r="D4985" s="37" t="s">
        <v>14</v>
      </c>
      <c r="E4985" s="10"/>
      <c r="F4985" s="36"/>
      <c r="G4985" s="11"/>
      <c r="H4985" s="34" t="str">
        <f>IFERROR(__xludf.DUMMYFUNCTION("LOWER(REGEXREPLACE(B4985&amp;"" ""&amp;C4985,""[^а-яa-z0-9 ]"","" ""))")," уттер ")</f>
        <v> уттер </v>
      </c>
    </row>
    <row r="4986">
      <c r="A4986" s="35" t="s">
        <v>11841</v>
      </c>
      <c r="B4986" s="31" t="s">
        <v>11842</v>
      </c>
      <c r="C4986" s="31"/>
      <c r="D4986" s="37" t="s">
        <v>14</v>
      </c>
      <c r="E4986" s="10"/>
      <c r="F4986" s="39">
        <v>19.8</v>
      </c>
      <c r="G4986" s="11">
        <v>477112.0</v>
      </c>
      <c r="H4986" s="34" t="str">
        <f>IFERROR(__xludf.DUMMYFUNCTION("LOWER(REGEXREPLACE(B4986&amp;"" ""&amp;C4986,""[^а-яa-z0-9 ]"","" ""))")," уттер настольный    9  размеры 570х385х460 мм  мощность 1 8 к т  напряжение 220   ")</f>
        <v> уттер настольный    9  размеры 570х385х460 мм  мощность 1 8 к т  напряжение 220   </v>
      </c>
    </row>
    <row r="4987">
      <c r="A4987" s="35" t="s">
        <v>11843</v>
      </c>
      <c r="B4987" s="31" t="s">
        <v>11844</v>
      </c>
      <c r="C4987" s="31"/>
      <c r="D4987" s="37" t="s">
        <v>14</v>
      </c>
      <c r="E4987" s="10"/>
      <c r="F4987" s="39">
        <v>21.4</v>
      </c>
      <c r="G4987" s="11">
        <v>539103.0</v>
      </c>
      <c r="H4987" s="34" t="str">
        <f>IFERROR(__xludf.DUMMYFUNCTION("LOWER(REGEXREPLACE(B4987&amp;"" ""&amp;C4987,""[^а-яa-z0-9 ]"","" ""))")," уттер настольный    12  размеры 570х385х525 мм  мощность 2 к т  напряжение 220   ")</f>
        <v> уттер настольный    12  размеры 570х385х525 мм  мощность 2 к т  напряжение 220   </v>
      </c>
    </row>
    <row r="4988">
      <c r="A4988" s="35" t="s">
        <v>11845</v>
      </c>
      <c r="B4988" s="31" t="s">
        <v>11846</v>
      </c>
      <c r="C4988" s="31"/>
      <c r="D4988" s="37" t="s">
        <v>14</v>
      </c>
      <c r="E4988" s="10"/>
      <c r="F4988" s="36"/>
      <c r="G4988" s="11"/>
      <c r="H4988" s="34" t="str">
        <f>IFERROR(__xludf.DUMMYFUNCTION("LOWER(REGEXREPLACE(B4988&amp;"" ""&amp;C4988,""[^а-яa-z0-9 ]"","" ""))")," ыротерка ")</f>
        <v> ыротерка </v>
      </c>
    </row>
    <row r="4989">
      <c r="A4989" s="35" t="s">
        <v>11847</v>
      </c>
      <c r="B4989" s="31" t="s">
        <v>11848</v>
      </c>
      <c r="C4989" s="31"/>
      <c r="D4989" s="37" t="s">
        <v>14</v>
      </c>
      <c r="E4989" s="10"/>
      <c r="F4989" s="38">
        <v>16.0</v>
      </c>
      <c r="G4989" s="11">
        <v>734393.0</v>
      </c>
      <c r="H4989" s="34" t="str">
        <f>IFERROR(__xludf.DUMMYFUNCTION("LOWER(REGEXREPLACE(B4989&amp;"" ""&amp;C4989,""[^а-яa-z0-9 ]"","" ""))")," ыротерка    55    размеры 500х315х550 мм  мощность 0 75 к т  напряжение 220   ")</f>
        <v> ыротерка    55    размеры 500х315х550 мм  мощность 0 75 к т  напряжение 220   </v>
      </c>
    </row>
    <row r="4990">
      <c r="A4990" s="35" t="s">
        <v>11849</v>
      </c>
      <c r="B4990" s="31" t="s">
        <v>11850</v>
      </c>
      <c r="C4990" s="31"/>
      <c r="D4990" s="37" t="s">
        <v>14</v>
      </c>
      <c r="E4990" s="10"/>
      <c r="F4990" s="36"/>
      <c r="G4990" s="11"/>
      <c r="H4990" s="34" t="str">
        <f>IFERROR(__xludf.DUMMYFUNCTION("LOWER(REGEXREPLACE(B4990&amp;"" ""&amp;C4990,""[^а-яa-z0-9 ]"","" ""))")," ашина для пасты  лапши  ")</f>
        <v> ашина для пасты  лапши  </v>
      </c>
    </row>
    <row r="4991">
      <c r="A4991" s="35" t="s">
        <v>11851</v>
      </c>
      <c r="B4991" s="31" t="s">
        <v>11852</v>
      </c>
      <c r="C4991" s="31"/>
      <c r="D4991" s="37" t="s">
        <v>14</v>
      </c>
      <c r="E4991" s="10"/>
      <c r="F4991" s="39">
        <v>22.5</v>
      </c>
      <c r="G4991" s="11">
        <v>253690.0</v>
      </c>
      <c r="H4991" s="34" t="str">
        <f>IFERROR(__xludf.DUMMYFUNCTION("LOWER(REGEXREPLACE(B4991&amp;"" ""&amp;C4991,""[^а-яa-z0-9 ]"","" ""))")," ашина для пасты  лапши      240  размеры 450х325х405 мм  мощность 0 75 к т  напряжение 220   ")</f>
        <v> ашина для пасты  лапши      240  размеры 450х325х405 мм  мощность 0 75 к т  напряжение 220   </v>
      </c>
    </row>
    <row r="4992">
      <c r="A4992" s="35" t="s">
        <v>11853</v>
      </c>
      <c r="B4992" s="31" t="s">
        <v>11854</v>
      </c>
      <c r="C4992" s="31"/>
      <c r="D4992" s="36"/>
      <c r="E4992" s="10"/>
      <c r="F4992" s="36"/>
      <c r="G4992" s="11"/>
      <c r="H4992" s="34" t="str">
        <f>IFERROR(__xludf.DUMMYFUNCTION("LOWER(REGEXREPLACE(B4992&amp;"" ""&amp;C4992,""[^а-яa-z0-9 ]"","" ""))")," есовое оборудование ")</f>
        <v> есовое оборудование </v>
      </c>
    </row>
    <row r="4993">
      <c r="A4993" s="35" t="s">
        <v>11855</v>
      </c>
      <c r="B4993" s="31" t="s">
        <v>11856</v>
      </c>
      <c r="C4993" s="31" t="s">
        <v>11857</v>
      </c>
      <c r="D4993" s="37" t="s">
        <v>14</v>
      </c>
      <c r="E4993" s="10"/>
      <c r="F4993" s="39">
        <v>2.7</v>
      </c>
      <c r="G4993" s="11">
        <v>108516.0</v>
      </c>
      <c r="H4993" s="34" t="str">
        <f>IFERROR(__xludf.DUMMYFUNCTION("LOWER(REGEXREPLACE(B4993&amp;"" ""&amp;C4993,""[^а-яa-z0-9 ]"","" ""))")," есы порционные  наибольший предел взвешивания до 10 кг  азмеры не менее 287х260х137мм   ощность 0 025 к т  напряжение 220     аибольший предел взвешивания до 10 кг ")</f>
        <v> есы порционные  наибольший предел взвешивания до 10 кг  азмеры не менее 287х260х137мм   ощность 0 025 к т  напряжение 220     аибольший предел взвешивания до 10 кг </v>
      </c>
    </row>
    <row r="4994">
      <c r="A4994" s="35" t="s">
        <v>11858</v>
      </c>
      <c r="B4994" s="31" t="s">
        <v>11859</v>
      </c>
      <c r="C4994" s="31" t="s">
        <v>11860</v>
      </c>
      <c r="D4994" s="37" t="s">
        <v>14</v>
      </c>
      <c r="E4994" s="10"/>
      <c r="F4994" s="39">
        <v>2.7</v>
      </c>
      <c r="G4994" s="11">
        <v>61620.0</v>
      </c>
      <c r="H4994" s="34" t="str">
        <f>IFERROR(__xludf.DUMMYFUNCTION("LOWER(REGEXREPLACE(B4994&amp;"" ""&amp;C4994,""[^а-яa-z0-9 ]"","" ""))")," есы порционные  наибольший предел взвешивания до 5 кг  азмеры не менее 287х260х137мм   ощность 0 025 к т  напряжение 220     аибольший предел взвешивания до 5 кг ")</f>
        <v> есы порционные  наибольший предел взвешивания до 5 кг  азмеры не менее 287х260х137мм   ощность 0 025 к т  напряжение 220     аибольший предел взвешивания до 5 кг </v>
      </c>
    </row>
    <row r="4995">
      <c r="A4995" s="35" t="s">
        <v>11861</v>
      </c>
      <c r="B4995" s="31" t="s">
        <v>11862</v>
      </c>
      <c r="C4995" s="31" t="s">
        <v>11863</v>
      </c>
      <c r="D4995" s="37" t="s">
        <v>14</v>
      </c>
      <c r="E4995" s="10"/>
      <c r="F4995" s="38">
        <v>12.0</v>
      </c>
      <c r="G4995" s="11">
        <v>243256.0</v>
      </c>
      <c r="H4995" s="34" t="str">
        <f>IFERROR(__xludf.DUMMYFUNCTION("LOWER(REGEXREPLACE(B4995&amp;"" ""&amp;C4995,""[^а-яa-z0-9 ]"","" ""))")," есы напольные  наибольший предел взвешивания до 200 кг  азмеры не менее 420х655х710 мм   апряжение 220    мощность 0 4 к т  идкокристаллический дисплей на стойке ")</f>
        <v> есы напольные  наибольший предел взвешивания до 200 кг  азмеры не менее 420х655х710 мм   апряжение 220    мощность 0 4 к т  идкокристаллический дисплей на стойке </v>
      </c>
    </row>
    <row r="4996">
      <c r="A4996" s="35" t="s">
        <v>11864</v>
      </c>
      <c r="B4996" s="31" t="s">
        <v>11865</v>
      </c>
      <c r="C4996" s="31"/>
      <c r="D4996" s="37" t="s">
        <v>14</v>
      </c>
      <c r="E4996" s="10"/>
      <c r="F4996" s="38">
        <v>17.0</v>
      </c>
      <c r="G4996" s="11">
        <v>105084.0</v>
      </c>
      <c r="H4996" s="34" t="str">
        <f>IFERROR(__xludf.DUMMYFUNCTION("LOWER(REGEXREPLACE(B4996&amp;"" ""&amp;C4996,""[^а-яa-z0-9 ]"","" ""))")," есы      335      300 50  600х460               ")</f>
        <v> есы      335      300 50  600х460               </v>
      </c>
    </row>
    <row r="4997">
      <c r="A4997" s="35" t="s">
        <v>11866</v>
      </c>
      <c r="B4997" s="31" t="s">
        <v>11867</v>
      </c>
      <c r="C4997" s="31"/>
      <c r="D4997" s="37" t="s">
        <v>14</v>
      </c>
      <c r="E4997" s="10"/>
      <c r="F4997" s="38">
        <v>10.0</v>
      </c>
      <c r="G4997" s="11">
        <v>56669.0</v>
      </c>
      <c r="H4997" s="34" t="str">
        <f>IFERROR(__xludf.DUMMYFUNCTION("LOWER(REGEXREPLACE(B4997&amp;"" ""&amp;C4997,""[^а-яa-z0-9 ]"","" ""))")," есы напольные товарные  ор    836  150 20  450х600   ектор ")</f>
        <v> есы напольные товарные  ор    836  150 20  450х600   ектор </v>
      </c>
    </row>
    <row r="4998">
      <c r="A4998" s="35" t="s">
        <v>11868</v>
      </c>
      <c r="B4998" s="31" t="s">
        <v>11869</v>
      </c>
      <c r="C4998" s="31"/>
      <c r="D4998" s="36"/>
      <c r="E4998" s="10"/>
      <c r="F4998" s="36"/>
      <c r="G4998" s="11"/>
      <c r="H4998" s="34" t="str">
        <f>IFERROR(__xludf.DUMMYFUNCTION("LOWER(REGEXREPLACE(B4998&amp;"" ""&amp;C4998,""[^а-яa-z0-9 ]"","" ""))")," арное оборудование ")</f>
        <v> арное оборудование </v>
      </c>
    </row>
    <row r="4999">
      <c r="A4999" s="35" t="s">
        <v>11870</v>
      </c>
      <c r="B4999" s="31" t="s">
        <v>11871</v>
      </c>
      <c r="C4999" s="31"/>
      <c r="D4999" s="37" t="s">
        <v>14</v>
      </c>
      <c r="E4999" s="10"/>
      <c r="F4999" s="39">
        <v>7.8</v>
      </c>
      <c r="G4999" s="11">
        <v>119573.0</v>
      </c>
      <c r="H4999" s="34" t="str">
        <f>IFERROR(__xludf.DUMMYFUNCTION("LOWER(REGEXREPLACE(B4999&amp;"" ""&amp;C4999,""[^а-яa-z0-9 ]"","" ""))")," ипятильник электрический накопительный     30  размеры 306х306х605 мм  объем 30 л  мощность 3 к т  напряжение 220   ")</f>
        <v> ипятильник электрический накопительный     30  размеры 306х306х605 мм  объем 30 л  мощность 3 к т  напряжение 220   </v>
      </c>
    </row>
    <row r="5000">
      <c r="A5000" s="35" t="s">
        <v>11872</v>
      </c>
      <c r="B5000" s="31" t="s">
        <v>11873</v>
      </c>
      <c r="C5000" s="31"/>
      <c r="D5000" s="37" t="s">
        <v>14</v>
      </c>
      <c r="E5000" s="10"/>
      <c r="F5000" s="36"/>
      <c r="G5000" s="11"/>
      <c r="H5000" s="34" t="str">
        <f>IFERROR(__xludf.DUMMYFUNCTION("LOWER(REGEXREPLACE(B5000&amp;"" ""&amp;C5000,""[^а-яa-z0-9 ]"","" ""))")," ипятильник электрический ")</f>
        <v> ипятильник электрический </v>
      </c>
    </row>
    <row r="5001">
      <c r="A5001" s="35" t="s">
        <v>11874</v>
      </c>
      <c r="B5001" s="31" t="s">
        <v>11875</v>
      </c>
      <c r="C5001" s="31"/>
      <c r="D5001" s="37" t="s">
        <v>14</v>
      </c>
      <c r="E5001" s="10"/>
      <c r="F5001" s="38">
        <v>6.0</v>
      </c>
      <c r="G5001" s="11">
        <v>83424.0</v>
      </c>
      <c r="H5001" s="34" t="str">
        <f>IFERROR(__xludf.DUMMYFUNCTION("LOWER(REGEXREPLACE(B5001&amp;"" ""&amp;C5001,""[^а-яa-z0-9 ]"","" ""))")," ипятильник электрический накопительный     15  размеры 306х306х385 мм  объем 15 л  мощность 3 к т  напряжение 220   ")</f>
        <v> ипятильник электрический накопительный     15  размеры 306х306х385 мм  объем 15 л  мощность 3 к т  напряжение 220   </v>
      </c>
    </row>
    <row r="5002">
      <c r="A5002" s="35" t="s">
        <v>11876</v>
      </c>
      <c r="B5002" s="31" t="s">
        <v>11877</v>
      </c>
      <c r="C5002" s="31"/>
      <c r="D5002" s="37" t="s">
        <v>14</v>
      </c>
      <c r="E5002" s="10"/>
      <c r="F5002" s="39">
        <v>2.7</v>
      </c>
      <c r="G5002" s="11">
        <v>70319.0</v>
      </c>
      <c r="H5002" s="34" t="str">
        <f>IFERROR(__xludf.DUMMYFUNCTION("LOWER(REGEXREPLACE(B5002&amp;"" ""&amp;C5002,""[^а-яa-z0-9 ]"","" ""))")," ипятильник электрический    10   размеры 280х310х395 мм  объем 10 л  мощность 2 к т  напряжение 220   ")</f>
        <v> ипятильник электрический    10   размеры 280х310х395 мм  объем 10 л  мощность 2 к т  напряжение 220   </v>
      </c>
    </row>
    <row r="5003">
      <c r="A5003" s="35" t="s">
        <v>11878</v>
      </c>
      <c r="B5003" s="31" t="s">
        <v>11879</v>
      </c>
      <c r="C5003" s="31"/>
      <c r="D5003" s="37" t="s">
        <v>14</v>
      </c>
      <c r="E5003" s="10"/>
      <c r="F5003" s="39">
        <v>3.6</v>
      </c>
      <c r="G5003" s="11">
        <v>80654.0</v>
      </c>
      <c r="H5003" s="34" t="str">
        <f>IFERROR(__xludf.DUMMYFUNCTION("LOWER(REGEXREPLACE(B5003&amp;"" ""&amp;C5003,""[^а-яa-z0-9 ]"","" ""))")," ипятильник электрический    20   размеры 265х265х550 мм  объем 20 л  мощность 2 5 к т  напряжение 220   ")</f>
        <v> ипятильник электрический    20   размеры 265х265х550 мм  объем 20 л  мощность 2 5 к т  напряжение 220   </v>
      </c>
    </row>
    <row r="5004">
      <c r="A5004" s="35" t="s">
        <v>11880</v>
      </c>
      <c r="B5004" s="31" t="s">
        <v>11881</v>
      </c>
      <c r="C5004" s="31" t="s">
        <v>11882</v>
      </c>
      <c r="D5004" s="37" t="s">
        <v>14</v>
      </c>
      <c r="E5004" s="10"/>
      <c r="F5004" s="39">
        <v>4.2</v>
      </c>
      <c r="G5004" s="11">
        <v>90988.0</v>
      </c>
      <c r="H5004" s="34" t="str">
        <f>IFERROR(__xludf.DUMMYFUNCTION("LOWER(REGEXREPLACE(B5004&amp;"" ""&amp;C5004,""[^а-яa-z0-9 ]"","" ""))"),"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f>
        <v>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v>
      </c>
    </row>
    <row r="5005">
      <c r="A5005" s="35" t="s">
        <v>11883</v>
      </c>
      <c r="B5005" s="31" t="s">
        <v>11884</v>
      </c>
      <c r="C5005" s="31" t="s">
        <v>11885</v>
      </c>
      <c r="D5005" s="37" t="s">
        <v>14</v>
      </c>
      <c r="E5005" s="10"/>
      <c r="F5005" s="39">
        <v>4.6</v>
      </c>
      <c r="G5005" s="11">
        <v>101321.0</v>
      </c>
      <c r="H5005" s="34" t="str">
        <f>IFERROR(__xludf.DUMMYFUNCTION("LOWER(REGEXREPLACE(B5005&amp;"" ""&amp;C5005,""[^а-яa-z0-9 ]"","" ""))"),"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f>
        <v>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v>
      </c>
    </row>
    <row r="5006">
      <c r="A5006" s="35" t="s">
        <v>11886</v>
      </c>
      <c r="B5006" s="31" t="s">
        <v>11887</v>
      </c>
      <c r="C5006" s="31"/>
      <c r="D5006" s="37" t="s">
        <v>14</v>
      </c>
      <c r="E5006" s="10"/>
      <c r="F5006" s="39">
        <v>2.3</v>
      </c>
      <c r="G5006" s="11">
        <v>63616.0</v>
      </c>
      <c r="H5006" s="34" t="str">
        <f>IFERROR(__xludf.DUMMYFUNCTION("LOWER(REGEXREPLACE(B5006&amp;"" ""&amp;C5006,""[^а-яa-z0-9 ]"","" ""))")," ипятильник электрический    10   двойные стенки   размеры 270х270х450 мм  объем 10 л  мощность 2 к т  напряжение 220   ")</f>
        <v> ипятильник электрический    10   двойные стенки   размеры 270х270х450 мм  объем 10 л  мощность 2 к т  напряжение 220   </v>
      </c>
    </row>
    <row r="5007">
      <c r="A5007" s="35" t="s">
        <v>11888</v>
      </c>
      <c r="B5007" s="31" t="s">
        <v>11889</v>
      </c>
      <c r="C5007" s="31"/>
      <c r="D5007" s="37" t="s">
        <v>14</v>
      </c>
      <c r="E5007" s="10"/>
      <c r="F5007" s="39">
        <v>2.7</v>
      </c>
      <c r="G5007" s="11">
        <v>68051.0</v>
      </c>
      <c r="H5007" s="34" t="str">
        <f>IFERROR(__xludf.DUMMYFUNCTION("LOWER(REGEXREPLACE(B5007&amp;"" ""&amp;C5007,""[^а-яa-z0-9 ]"","" ""))")," ипятильник электрический    10   двойные стенки  размеры 270х270х550 мм  объем 20 л  мощность 2 к т  напряжение 220   ")</f>
        <v> ипятильник электрический    10   двойные стенки  размеры 270х270х550 мм  объем 20 л  мощность 2 к т  напряжение 220   </v>
      </c>
    </row>
    <row r="5008">
      <c r="A5008" s="35" t="s">
        <v>11890</v>
      </c>
      <c r="B5008" s="31" t="s">
        <v>11891</v>
      </c>
      <c r="C5008" s="31"/>
      <c r="D5008" s="37" t="s">
        <v>14</v>
      </c>
      <c r="E5008" s="10"/>
      <c r="F5008" s="40">
        <v>2.75</v>
      </c>
      <c r="G5008" s="11">
        <v>72873.0</v>
      </c>
      <c r="H5008" s="34" t="str">
        <f>IFERROR(__xludf.DUMMYFUNCTION("LOWER(REGEXREPLACE(B5008&amp;"" ""&amp;C5008,""[^а-яa-z0-9 ]"","" ""))")," ипятильник электрический    10   двойные стенки  размеры 320х320х550 мм  объем 30 л  мощность 2 к т  напряжение 220   ")</f>
        <v> ипятильник электрический    10   двойные стенки  размеры 320х320х550 мм  объем 30 л  мощность 2 к т  напряжение 220   </v>
      </c>
    </row>
    <row r="5009">
      <c r="A5009" s="35" t="s">
        <v>11892</v>
      </c>
      <c r="B5009" s="31" t="s">
        <v>11893</v>
      </c>
      <c r="C5009" s="31"/>
      <c r="D5009" s="37" t="s">
        <v>14</v>
      </c>
      <c r="E5009" s="10"/>
      <c r="F5009" s="40">
        <v>3.33</v>
      </c>
      <c r="G5009" s="11">
        <v>80911.0</v>
      </c>
      <c r="H5009" s="34" t="str">
        <f>IFERROR(__xludf.DUMMYFUNCTION("LOWER(REGEXREPLACE(B5009&amp;"" ""&amp;C5009,""[^а-яa-z0-9 ]"","" ""))")," ипятильник электрический    10   двойные стенки  размеры 320х320х600 мм  объем 40 л  мощность 2 5 к т  напряжение 220   ")</f>
        <v> ипятильник электрический    10   двойные стенки  размеры 320х320х600 мм  объем 40 л  мощность 2 5 к т  напряжение 220   </v>
      </c>
    </row>
    <row r="5010">
      <c r="A5010" s="35" t="s">
        <v>11894</v>
      </c>
      <c r="B5010" s="31" t="s">
        <v>11895</v>
      </c>
      <c r="C5010" s="31"/>
      <c r="D5010" s="37" t="s">
        <v>14</v>
      </c>
      <c r="E5010" s="10"/>
      <c r="F5010" s="39">
        <v>8.5</v>
      </c>
      <c r="G5010" s="11">
        <v>361404.0</v>
      </c>
      <c r="H5010" s="34" t="str">
        <f>IFERROR(__xludf.DUMMYFUNCTION("LOWER(REGEXREPLACE(B5010&amp;"" ""&amp;C5010,""[^а-яa-z0-9 ]"","" ""))")," ипятильник электрический     20   размеры 190х280х690мм  объем 20 л  мощность 3 к т  напряжение 220   ")</f>
        <v> ипятильник электрический     20   размеры 190х280х690мм  объем 20 л  мощность 3 к т  напряжение 220   </v>
      </c>
    </row>
    <row r="5011">
      <c r="A5011" s="35" t="s">
        <v>11896</v>
      </c>
      <c r="B5011" s="31" t="s">
        <v>11897</v>
      </c>
      <c r="C5011" s="31"/>
      <c r="D5011" s="37" t="s">
        <v>14</v>
      </c>
      <c r="E5011" s="10"/>
      <c r="F5011" s="38">
        <v>9.0</v>
      </c>
      <c r="G5011" s="11">
        <v>382836.0</v>
      </c>
      <c r="H5011" s="34" t="str">
        <f>IFERROR(__xludf.DUMMYFUNCTION("LOWER(REGEXREPLACE(B5011&amp;"" ""&amp;C5011,""[^а-яa-z0-9 ]"","" ""))")," ипятильник электрический     30   размеры 190х340х740мм  объем 30 л  мощность 3 к т  напряжение 220   ")</f>
        <v> ипятильник электрический     30   размеры 190х340х740мм  объем 30 л  мощность 3 к т  напряжение 220   </v>
      </c>
    </row>
    <row r="5012">
      <c r="A5012" s="35" t="s">
        <v>11898</v>
      </c>
      <c r="B5012" s="31" t="s">
        <v>11899</v>
      </c>
      <c r="C5012" s="31"/>
      <c r="D5012" s="37" t="s">
        <v>14</v>
      </c>
      <c r="E5012" s="10"/>
      <c r="F5012" s="38">
        <v>9.0</v>
      </c>
      <c r="G5012" s="11">
        <v>476679.0</v>
      </c>
      <c r="H5012" s="34" t="str">
        <f>IFERROR(__xludf.DUMMYFUNCTION("LOWER(REGEXREPLACE(B5012&amp;"" ""&amp;C5012,""[^а-яa-z0-9 ]"","" ""))")," ипятильник электрический     40   размеры 450х300х680мм  объем 40 л  мощность 3 к т  напряжение 220   ")</f>
        <v> ипятильник электрический     40   размеры 450х300х680мм  объем 40 л  мощность 3 к т  напряжение 220   </v>
      </c>
    </row>
    <row r="5013">
      <c r="A5013" s="35" t="s">
        <v>11900</v>
      </c>
      <c r="B5013" s="31" t="s">
        <v>11901</v>
      </c>
      <c r="C5013" s="31"/>
      <c r="D5013" s="37" t="s">
        <v>14</v>
      </c>
      <c r="E5013" s="10"/>
      <c r="F5013" s="38">
        <v>13.0</v>
      </c>
      <c r="G5013" s="11">
        <v>534887.0</v>
      </c>
      <c r="H5013" s="34" t="str">
        <f>IFERROR(__xludf.DUMMYFUNCTION("LOWER(REGEXREPLACE(B5013&amp;"" ""&amp;C5013,""[^а-яa-z0-9 ]"","" ""))")," ипятильник электрический     60   размеры 450х340х680мм  объем 60 л  мощность 6 к т  напряжение 380   ")</f>
        <v> ипятильник электрический     60   размеры 450х340х680мм  объем 60 л  мощность 6 к т  напряжение 380   </v>
      </c>
    </row>
    <row r="5014">
      <c r="A5014" s="35" t="s">
        <v>11902</v>
      </c>
      <c r="B5014" s="31" t="s">
        <v>11903</v>
      </c>
      <c r="C5014" s="31"/>
      <c r="D5014" s="37" t="s">
        <v>14</v>
      </c>
      <c r="E5014" s="38">
        <v>2.0</v>
      </c>
      <c r="F5014" s="38">
        <v>20.0</v>
      </c>
      <c r="G5014" s="11">
        <v>225267.0</v>
      </c>
      <c r="H5014" s="34" t="str">
        <f>IFERROR(__xludf.DUMMYFUNCTION("LOWER(REGEXREPLACE(B5014&amp;"" ""&amp;C5014,""[^а-яa-z0-9 ]"","" ""))")," ипятильник электрический проточный  прямоугольный      50  размеры 355х685х391мм  производительность 50л час  мощность 6 6к т  напряжение 380  ")</f>
        <v> ипятильник электрический проточный  прямоугольный      50  размеры 355х685х391мм  производительность 50л час  мощность 6 6к т  напряжение 380  </v>
      </c>
    </row>
    <row r="5015">
      <c r="A5015" s="35" t="s">
        <v>11904</v>
      </c>
      <c r="B5015" s="31" t="s">
        <v>11905</v>
      </c>
      <c r="C5015" s="31"/>
      <c r="D5015" s="37" t="s">
        <v>14</v>
      </c>
      <c r="E5015" s="38">
        <v>2.0</v>
      </c>
      <c r="F5015" s="38">
        <v>21.0</v>
      </c>
      <c r="G5015" s="11">
        <v>247348.0</v>
      </c>
      <c r="H5015" s="34" t="str">
        <f>IFERROR(__xludf.DUMMYFUNCTION("LOWER(REGEXREPLACE(B5015&amp;"" ""&amp;C5015,""[^а-яa-z0-9 ]"","" ""))")," ипятильник электрический проточный  прямоугольный      100  размеры 355х685х391мм  производительность 100л час  мощность 13 2к т  напряжение 380  ")</f>
        <v> ипятильник электрический проточный  прямоугольный      100  размеры 355х685х391мм  производительность 100л час  мощность 13 2к т  напряжение 380  </v>
      </c>
    </row>
    <row r="5016">
      <c r="A5016" s="35" t="s">
        <v>11906</v>
      </c>
      <c r="B5016" s="9" t="s">
        <v>11907</v>
      </c>
      <c r="C5016" s="31"/>
      <c r="D5016" s="37" t="s">
        <v>14</v>
      </c>
      <c r="E5016" s="38">
        <v>2.0</v>
      </c>
      <c r="F5016" s="38">
        <v>8.0</v>
      </c>
      <c r="G5016" s="11">
        <v>110418.0</v>
      </c>
      <c r="H5016" s="34" t="str">
        <f>IFERROR(__xludf.DUMMYFUNCTION("LOWER(REGEXREPLACE(B5016&amp;"" ""&amp;C5016,""[^а-яa-z0-9 ]"","" ""))")," ипятильник электрический непрерывного действия     50 100  размеры 300х250х470мм  производительность 50 100л час  мощность 6 12к т  напряжение 380   2 режима работы ")</f>
        <v> ипятильник электрический непрерывного действия     50 100  размеры 300х250х470мм  производительность 50 100л час  мощность 6 12к т  напряжение 380   2 режима работы </v>
      </c>
    </row>
    <row r="5017">
      <c r="A5017" s="35" t="s">
        <v>11908</v>
      </c>
      <c r="B5017" s="9" t="s">
        <v>11909</v>
      </c>
      <c r="C5017" s="31"/>
      <c r="D5017" s="37" t="s">
        <v>14</v>
      </c>
      <c r="E5017" s="10"/>
      <c r="F5017" s="39">
        <v>17.3</v>
      </c>
      <c r="G5017" s="11">
        <v>61097.0</v>
      </c>
      <c r="H5017" s="34" t="str">
        <f>IFERROR(__xludf.DUMMYFUNCTION("LOWER(REGEXREPLACE(B5017&amp;"" ""&amp;C5017,""[^а-яa-z0-9 ]"","" ""))")," одонагреватель накопительный  aranterm    50        50     455х445х558 мм  1 5 к т  50 л  ")</f>
        <v> одонагреватель накопительный  aranterm    50        50     455х445х558 мм  1 5 к т  50 л  </v>
      </c>
    </row>
    <row r="5018">
      <c r="A5018" s="35" t="s">
        <v>11910</v>
      </c>
      <c r="B5018" s="31" t="s">
        <v>11911</v>
      </c>
      <c r="C5018" s="31"/>
      <c r="D5018" s="37" t="s">
        <v>14</v>
      </c>
      <c r="E5018" s="10"/>
      <c r="F5018" s="39">
        <v>22.4</v>
      </c>
      <c r="G5018" s="11">
        <v>69476.0</v>
      </c>
      <c r="H5018" s="34" t="str">
        <f>IFERROR(__xludf.DUMMYFUNCTION("LOWER(REGEXREPLACE(B5018&amp;"" ""&amp;C5018,""[^а-яa-z0-9 ]"","" ""))")," одонагреватель накопительный  aranterm    80        80     455х445х798 мм  80 л  1 5 к т  ")</f>
        <v> одонагреватель накопительный  aranterm    80        80     455х445х798 мм  80 л  1 5 к т  </v>
      </c>
    </row>
    <row r="5019">
      <c r="A5019" s="35" t="s">
        <v>11912</v>
      </c>
      <c r="B5019" s="9" t="s">
        <v>11913</v>
      </c>
      <c r="C5019" s="31"/>
      <c r="D5019" s="37" t="s">
        <v>14</v>
      </c>
      <c r="E5019" s="10"/>
      <c r="F5019" s="39">
        <v>3.9</v>
      </c>
      <c r="G5019" s="11">
        <v>55733.0</v>
      </c>
      <c r="H5019" s="34" t="str">
        <f>IFERROR(__xludf.DUMMYFUNCTION("LOWER(REGEXREPLACE(B5019&amp;"" ""&amp;C5019,""[^а-яa-z0-9 ]"","" ""))")," оковыжималка       180  308x220x350 мм  0 18 к т  220    ")</f>
        <v> оковыжималка       180  308x220x350 мм  0 18 к т  220    </v>
      </c>
    </row>
    <row r="5020">
      <c r="A5020" s="35" t="s">
        <v>11914</v>
      </c>
      <c r="B5020" s="31" t="s">
        <v>11915</v>
      </c>
      <c r="C5020" s="31"/>
      <c r="D5020" s="37" t="s">
        <v>14</v>
      </c>
      <c r="E5020" s="10"/>
      <c r="F5020" s="38">
        <v>3.0</v>
      </c>
      <c r="G5020" s="11">
        <v>183221.0</v>
      </c>
      <c r="H5020" s="34" t="str">
        <f>IFERROR(__xludf.DUMMYFUNCTION("LOWER(REGEXREPLACE(B5020&amp;"" ""&amp;C5020,""[^а-яa-z0-9 ]"","" ""))")," оковыжималка          1      210х210х280 мм  320 об мин  0 15 к т  220    ")</f>
        <v> оковыжималка          1      210х210х280 мм  320 об мин  0 15 к т  220    </v>
      </c>
    </row>
    <row r="5021">
      <c r="A5021" s="35" t="s">
        <v>11916</v>
      </c>
      <c r="B5021" s="31" t="s">
        <v>11917</v>
      </c>
      <c r="C5021" s="31"/>
      <c r="D5021" s="37" t="s">
        <v>14</v>
      </c>
      <c r="E5021" s="10"/>
      <c r="F5021" s="36"/>
      <c r="G5021" s="11"/>
      <c r="H5021" s="34" t="str">
        <f>IFERROR(__xludf.DUMMYFUNCTION("LOWER(REGEXREPLACE(B5021&amp;"" ""&amp;C5021,""[^а-яa-z0-9 ]"","" ""))")," ипятильник кофеварка ")</f>
        <v> ипятильник кофеварка </v>
      </c>
    </row>
    <row r="5022">
      <c r="A5022" s="35" t="s">
        <v>11918</v>
      </c>
      <c r="B5022" s="31" t="s">
        <v>11919</v>
      </c>
      <c r="C5022" s="31"/>
      <c r="D5022" s="37" t="s">
        <v>14</v>
      </c>
      <c r="E5022" s="10"/>
      <c r="F5022" s="39">
        <v>3.7</v>
      </c>
      <c r="G5022" s="11">
        <v>85694.0</v>
      </c>
      <c r="H5022" s="34" t="str">
        <f>IFERROR(__xludf.DUMMYFUNCTION("LOWER(REGEXREPLACE(B5022&amp;"" ""&amp;C5022,""[^а-яa-z0-9 ]"","" ""))")," ипятильник кофеварка    06   размеры 300х300х480 мм  объем 6 л  мощность 1 2 к т  напряжение 220   ")</f>
        <v> ипятильник кофеварка    06   размеры 300х300х480 мм  объем 6 л  мощность 1 2 к т  напряжение 220   </v>
      </c>
    </row>
    <row r="5023">
      <c r="A5023" s="35" t="s">
        <v>11920</v>
      </c>
      <c r="B5023" s="31" t="s">
        <v>11921</v>
      </c>
      <c r="C5023" s="31"/>
      <c r="D5023" s="37" t="s">
        <v>14</v>
      </c>
      <c r="E5023" s="10"/>
      <c r="F5023" s="40">
        <v>3.96</v>
      </c>
      <c r="G5023" s="11">
        <v>90987.0</v>
      </c>
      <c r="H5023" s="34" t="str">
        <f>IFERROR(__xludf.DUMMYFUNCTION("LOWER(REGEXREPLACE(B5023&amp;"" ""&amp;C5023,""[^а-яa-z0-9 ]"","" ""))")," ипятильник кофеварка    10   размеры 340х340х490 мм  объем 10 л  мощность 1 5 к т  напряжение 220   ")</f>
        <v> ипятильник кофеварка    10   размеры 340х340х490 мм  объем 10 л  мощность 1 5 к т  напряжение 220   </v>
      </c>
    </row>
    <row r="5024">
      <c r="A5024" s="35" t="s">
        <v>11922</v>
      </c>
      <c r="B5024" s="31" t="s">
        <v>11923</v>
      </c>
      <c r="C5024" s="31"/>
      <c r="D5024" s="37" t="s">
        <v>14</v>
      </c>
      <c r="E5024" s="10"/>
      <c r="F5024" s="39">
        <v>4.6</v>
      </c>
      <c r="G5024" s="11">
        <v>96281.0</v>
      </c>
      <c r="H5024" s="34" t="str">
        <f>IFERROR(__xludf.DUMMYFUNCTION("LOWER(REGEXREPLACE(B5024&amp;"" ""&amp;C5024,""[^а-яa-z0-9 ]"","" ""))")," ипятильник кофеварка    15   размеры 340х340х600 мм  объем 15 л  мощность 1 5 к т  напряжение 220   ")</f>
        <v> ипятильник кофеварка    15   размеры 340х340х600 мм  объем 15 л  мощность 1 5 к т  напряжение 220   </v>
      </c>
    </row>
    <row r="5025">
      <c r="A5025" s="35" t="s">
        <v>11924</v>
      </c>
      <c r="B5025" s="31" t="s">
        <v>11925</v>
      </c>
      <c r="C5025" s="31"/>
      <c r="D5025" s="37" t="s">
        <v>14</v>
      </c>
      <c r="E5025" s="10"/>
      <c r="F5025" s="36"/>
      <c r="G5025" s="11"/>
      <c r="H5025" s="34" t="str">
        <f>IFERROR(__xludf.DUMMYFUNCTION("LOWER(REGEXREPLACE(B5025&amp;"" ""&amp;C5025,""[^а-яa-z0-9 ]"","" ""))")," окоохладитель ")</f>
        <v> окоохладитель </v>
      </c>
    </row>
    <row r="5026">
      <c r="A5026" s="35" t="s">
        <v>11926</v>
      </c>
      <c r="B5026" s="31" t="s">
        <v>11927</v>
      </c>
      <c r="C5026" s="31"/>
      <c r="D5026" s="37" t="s">
        <v>14</v>
      </c>
      <c r="E5026" s="10"/>
      <c r="F5026" s="38">
        <v>23.0</v>
      </c>
      <c r="G5026" s="11">
        <v>428686.0</v>
      </c>
      <c r="H5026" s="34" t="str">
        <f>IFERROR(__xludf.DUMMYFUNCTION("LOWER(REGEXREPLACE(B5026&amp;"" ""&amp;C5026,""[^а-яa-z0-9 ]"","" ""))")," окоохладитель    161   размеры 265х375х700мм  объем 16 л  мощность 0 18 к т  напряжение 220   ")</f>
        <v> окоохладитель    161   размеры 265х375х700мм  объем 16 л  мощность 0 18 к т  напряжение 220   </v>
      </c>
    </row>
    <row r="5027">
      <c r="A5027" s="35" t="s">
        <v>11928</v>
      </c>
      <c r="B5027" s="31" t="s">
        <v>11929</v>
      </c>
      <c r="C5027" s="31"/>
      <c r="D5027" s="37" t="s">
        <v>14</v>
      </c>
      <c r="E5027" s="10"/>
      <c r="F5027" s="38">
        <v>28.0</v>
      </c>
      <c r="G5027" s="11">
        <v>541028.0</v>
      </c>
      <c r="H5027" s="34" t="str">
        <f>IFERROR(__xludf.DUMMYFUNCTION("LOWER(REGEXREPLACE(B5027&amp;"" ""&amp;C5027,""[^а-яa-z0-9 ]"","" ""))")," окоохладитель    162   размеры 420х450х680мм  объем 16 л  мощность 0 235 к т  напряжение 220   ")</f>
        <v> окоохладитель    162   размеры 420х450х680мм  объем 16 л  мощность 0 235 к т  напряжение 220   </v>
      </c>
    </row>
    <row r="5028">
      <c r="A5028" s="35" t="s">
        <v>11930</v>
      </c>
      <c r="B5028" s="31" t="s">
        <v>11931</v>
      </c>
      <c r="C5028" s="31"/>
      <c r="D5028" s="37" t="s">
        <v>14</v>
      </c>
      <c r="E5028" s="10"/>
      <c r="F5028" s="38">
        <v>32.0</v>
      </c>
      <c r="G5028" s="11">
        <v>711600.0</v>
      </c>
      <c r="H5028" s="34" t="str">
        <f>IFERROR(__xludf.DUMMYFUNCTION("LOWER(REGEXREPLACE(B5028&amp;"" ""&amp;C5028,""[^а-яa-z0-9 ]"","" ""))")," окоохладитель    163   размеры 820х450х680мм  объем 16 л  мощность 0 33 к т  напряжение 220   ")</f>
        <v> окоохладитель    163   размеры 820х450х680мм  объем 16 л  мощность 0 33 к т  напряжение 220   </v>
      </c>
    </row>
    <row r="5029">
      <c r="A5029" s="35" t="s">
        <v>11932</v>
      </c>
      <c r="B5029" s="31" t="s">
        <v>11933</v>
      </c>
      <c r="C5029" s="31"/>
      <c r="D5029" s="36"/>
      <c r="E5029" s="10"/>
      <c r="F5029" s="36"/>
      <c r="G5029" s="11"/>
      <c r="H5029" s="34" t="str">
        <f>IFERROR(__xludf.DUMMYFUNCTION("LOWER(REGEXREPLACE(B5029&amp;"" ""&amp;C5029,""[^а-яa-z0-9 ]"","" ""))")," анитарно гигиеническое оборудование ")</f>
        <v> анитарно гигиеническое оборудование </v>
      </c>
    </row>
    <row r="5030">
      <c r="A5030" s="35" t="s">
        <v>11934</v>
      </c>
      <c r="B5030" s="9" t="s">
        <v>11935</v>
      </c>
      <c r="C5030" s="31" t="s">
        <v>11936</v>
      </c>
      <c r="D5030" s="37" t="s">
        <v>14</v>
      </c>
      <c r="E5030" s="10"/>
      <c r="F5030" s="39">
        <v>8.5</v>
      </c>
      <c r="G5030" s="11">
        <v>162831.0</v>
      </c>
      <c r="H5030" s="34" t="str">
        <f>IFERROR(__xludf.DUMMYFUNCTION("LOWER(REGEXREPLACE(B5030&amp;"" ""&amp;C5030,""[^а-яa-z0-9 ]"","" ""))")," терилизатор для ножей  мощность 0 03 к т  напряжение 220    не менее 18 ножей  терилизатор для ножей  мощность 0 03 к т  напряжение 220    не менее 18 ножей")</f>
        <v> терилизатор для ножей  мощность 0 03 к т  напряжение 220    не менее 18 ножей  терилизатор для ножей  мощность 0 03 к т  напряжение 220    не менее 18 ножей</v>
      </c>
    </row>
    <row r="5031">
      <c r="A5031" s="35" t="s">
        <v>11937</v>
      </c>
      <c r="B5031" s="9" t="s">
        <v>11938</v>
      </c>
      <c r="C5031" s="31"/>
      <c r="D5031" s="37" t="s">
        <v>14</v>
      </c>
      <c r="E5031" s="10"/>
      <c r="F5031" s="38">
        <v>24.0</v>
      </c>
      <c r="G5031" s="11">
        <v>155520.0</v>
      </c>
      <c r="H5031" s="34" t="str">
        <f>IFERROR(__xludf.DUMMYFUNCTION("LOWER(REGEXREPLACE(B5031&amp;"" ""&amp;C5031,""[^а-яa-z0-9 ]"","" ""))")," терилизатор ножей     1 18 02 1  465х145х605 мм  8  т  220    ")</f>
        <v> терилизатор ножей     1 18 02 1  465х145х605 мм  8  т  220    </v>
      </c>
    </row>
    <row r="5032">
      <c r="A5032" s="35" t="s">
        <v>11939</v>
      </c>
      <c r="B5032" s="9" t="s">
        <v>11940</v>
      </c>
      <c r="C5032" s="31"/>
      <c r="D5032" s="37" t="s">
        <v>14</v>
      </c>
      <c r="E5032" s="10"/>
      <c r="F5032" s="39">
        <v>4.3</v>
      </c>
      <c r="G5032" s="11">
        <v>71370.0</v>
      </c>
      <c r="H5032" s="34" t="str">
        <f>IFERROR(__xludf.DUMMYFUNCTION("LOWER(REGEXREPLACE(B5032&amp;"" ""&amp;C5032,""[^а-яa-z0-9 ]"","" ""))")," змельчитель отходов                370   235x235x405 мм  220    0 37 к т  ")</f>
        <v> змельчитель отходов                370   235x235x405 мм  220    0 37 к т  </v>
      </c>
    </row>
    <row r="5033">
      <c r="A5033" s="35" t="s">
        <v>11941</v>
      </c>
      <c r="B5033" s="9" t="s">
        <v>11942</v>
      </c>
      <c r="C5033" s="31"/>
      <c r="D5033" s="37" t="s">
        <v>14</v>
      </c>
      <c r="E5033" s="10"/>
      <c r="F5033" s="38">
        <v>5.0</v>
      </c>
      <c r="G5033" s="11">
        <v>87115.0</v>
      </c>
      <c r="H5033" s="34" t="str">
        <f>IFERROR(__xludf.DUMMYFUNCTION("LOWER(REGEXREPLACE(B5033&amp;"" ""&amp;C5033,""[^а-яa-z0-9 ]"","" ""))")," змельчитель отходов                450   235x235x405 мм  220    0 45 к т  ")</f>
        <v> змельчитель отходов                450   235x235x405 мм  220    0 45 к т  </v>
      </c>
    </row>
    <row r="5034">
      <c r="A5034" s="35" t="s">
        <v>11943</v>
      </c>
      <c r="B5034" s="31" t="s">
        <v>11944</v>
      </c>
      <c r="C5034" s="31"/>
      <c r="D5034" s="36"/>
      <c r="E5034" s="10"/>
      <c r="F5034" s="36"/>
      <c r="G5034" s="11"/>
      <c r="H5034" s="34" t="str">
        <f>IFERROR(__xludf.DUMMYFUNCTION("LOWER(REGEXREPLACE(B5034&amp;"" ""&amp;C5034,""[^а-яa-z0-9 ]"","" ""))")," инии раздачи ")</f>
        <v> инии раздачи </v>
      </c>
    </row>
    <row r="5035">
      <c r="A5035" s="35" t="s">
        <v>11945</v>
      </c>
      <c r="B5035" s="31" t="s">
        <v>11946</v>
      </c>
      <c r="C5035" s="31"/>
      <c r="D5035" s="37" t="s">
        <v>14</v>
      </c>
      <c r="E5035" s="10"/>
      <c r="F5035" s="38">
        <v>78.0</v>
      </c>
      <c r="G5035" s="11">
        <v>94286.0</v>
      </c>
      <c r="H5035" s="34" t="str">
        <f>IFERROR(__xludf.DUMMYFUNCTION("LOWER(REGEXREPLACE(B5035&amp;"" ""&amp;C5035,""[^а-яa-z0-9 ]"","" ""))")," рилавок холодильный        70       1120х705 1030х1240  ")</f>
        <v> рилавок холодильный        70       1120х705 1030х1240  </v>
      </c>
    </row>
    <row r="5036">
      <c r="A5036" s="35" t="s">
        <v>11947</v>
      </c>
      <c r="B5036" s="31" t="s">
        <v>11948</v>
      </c>
      <c r="C5036" s="31"/>
      <c r="D5036" s="37" t="s">
        <v>14</v>
      </c>
      <c r="E5036" s="10"/>
      <c r="F5036" s="38">
        <v>101.0</v>
      </c>
      <c r="G5036" s="11">
        <v>943750.0</v>
      </c>
      <c r="H5036" s="34" t="str">
        <f>IFERROR(__xludf.DUMMYFUNCTION("LOWER(REGEXREPLACE(B5036&amp;"" ""&amp;C5036,""[^а-яa-z0-9 ]"","" ""))")," рилавок холодильный        70   01     1500х705 1030х1240  ")</f>
        <v> рилавок холодильный        70   01     1500х705 1030х1240  </v>
      </c>
    </row>
    <row r="5037">
      <c r="A5037" s="35" t="s">
        <v>11949</v>
      </c>
      <c r="B5037" s="31" t="s">
        <v>11950</v>
      </c>
      <c r="C5037" s="31"/>
      <c r="D5037" s="37" t="s">
        <v>14</v>
      </c>
      <c r="E5037" s="10"/>
      <c r="F5037" s="38">
        <v>101.0</v>
      </c>
      <c r="G5037" s="11">
        <v>676200.0</v>
      </c>
      <c r="H5037" s="34" t="str">
        <f>IFERROR(__xludf.DUMMYFUNCTION("LOWER(REGEXREPLACE(B5037&amp;"" ""&amp;C5037,""[^а-яa-z0-9 ]"","" ""))")," рилавок холодильный        70   02     1120х705 1030х1240  ")</f>
        <v> рилавок холодильный        70   02     1120х705 1030х1240  </v>
      </c>
    </row>
    <row r="5038">
      <c r="A5038" s="35" t="s">
        <v>11951</v>
      </c>
      <c r="B5038" s="31" t="s">
        <v>11952</v>
      </c>
      <c r="C5038" s="31"/>
      <c r="D5038" s="37" t="s">
        <v>14</v>
      </c>
      <c r="E5038" s="10"/>
      <c r="F5038" s="38">
        <v>121.0</v>
      </c>
      <c r="G5038" s="11">
        <v>991071.0</v>
      </c>
      <c r="H5038" s="34" t="str">
        <f>IFERROR(__xludf.DUMMYFUNCTION("LOWER(REGEXREPLACE(B5038&amp;"" ""&amp;C5038,""[^а-яa-z0-9 ]"","" ""))")," рилавок холодильный        70   03     1500х705 1030х1240  ")</f>
        <v> рилавок холодильный        70   03     1500х705 1030х1240  </v>
      </c>
    </row>
    <row r="5039">
      <c r="A5039" s="35" t="s">
        <v>11953</v>
      </c>
      <c r="B5039" s="31" t="s">
        <v>11954</v>
      </c>
      <c r="C5039" s="31" t="s">
        <v>11955</v>
      </c>
      <c r="D5039" s="37" t="s">
        <v>14</v>
      </c>
      <c r="E5039" s="10"/>
      <c r="F5039" s="38">
        <v>155.0</v>
      </c>
      <c r="G5039" s="11">
        <v>1464014.0</v>
      </c>
      <c r="H5039" s="34" t="str">
        <f>IFERROR(__xludf.DUMMYFUNCTION("LOWER(REGEXREPLACE(B5039&amp;"" ""&amp;C5039,""[^а-яa-z0-9 ]"","" ""))"),"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регу"&amp;"лируемыми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f>
        <v>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v>
      </c>
    </row>
    <row r="5040">
      <c r="A5040" s="35" t="s">
        <v>11956</v>
      </c>
      <c r="B5040" s="31" t="s">
        <v>11957</v>
      </c>
      <c r="C5040" s="31"/>
      <c r="D5040" s="37" t="s">
        <v>14</v>
      </c>
      <c r="E5040" s="10"/>
      <c r="F5040" s="38">
        <v>180.0</v>
      </c>
      <c r="G5040" s="11">
        <v>2203571.0</v>
      </c>
      <c r="H5040" s="34" t="str">
        <f>IFERROR(__xludf.DUMMYFUNCTION("LOWER(REGEXREPLACE(B5040&amp;"" ""&amp;C5040,""[^а-яa-z0-9 ]"","" ""))")," рилавок витрина холодильный        70     01    вся нерж   1500х705 1030х1720  ")</f>
        <v> рилавок витрина холодильный        70     01    вся нерж   1500х705 1030х1720  </v>
      </c>
    </row>
    <row r="5041">
      <c r="A5041" s="35" t="s">
        <v>11958</v>
      </c>
      <c r="B5041" s="31" t="s">
        <v>11959</v>
      </c>
      <c r="C5041" s="31"/>
      <c r="D5041" s="37" t="s">
        <v>14</v>
      </c>
      <c r="E5041" s="10"/>
      <c r="F5041" s="38">
        <v>170.0</v>
      </c>
      <c r="G5041" s="11">
        <v>1577548.0</v>
      </c>
      <c r="H5041" s="34" t="str">
        <f>IFERROR(__xludf.DUMMYFUNCTION("LOWER(REGEXREPLACE(B5041&amp;"" ""&amp;C5041,""[^а-яa-z0-9 ]"","" ""))")," рилавок витрина холодильный        70     02     1120х705 1030х1720  ")</f>
        <v> рилавок витрина холодильный        70     02     1120х705 1030х1720  </v>
      </c>
    </row>
    <row r="5042">
      <c r="A5042" s="35" t="s">
        <v>11960</v>
      </c>
      <c r="B5042" s="31" t="s">
        <v>11961</v>
      </c>
      <c r="C5042" s="31"/>
      <c r="D5042" s="37" t="s">
        <v>14</v>
      </c>
      <c r="E5042" s="10"/>
      <c r="F5042" s="38">
        <v>201.0</v>
      </c>
      <c r="G5042" s="11">
        <v>2234821.0</v>
      </c>
      <c r="H5042" s="34" t="str">
        <f>IFERROR(__xludf.DUMMYFUNCTION("LOWER(REGEXREPLACE(B5042&amp;"" ""&amp;C5042,""[^а-яa-z0-9 ]"","" ""))")," рилавок витрина холодильный        70     03     1500х705 1030х1240  ")</f>
        <v> рилавок витрина холодильный        70     03     1500х705 1030х1240  </v>
      </c>
    </row>
    <row r="5043">
      <c r="A5043" s="35" t="s">
        <v>11962</v>
      </c>
      <c r="B5043" s="31" t="s">
        <v>11963</v>
      </c>
      <c r="C5043" s="31"/>
      <c r="D5043" s="37" t="s">
        <v>14</v>
      </c>
      <c r="E5043" s="10"/>
      <c r="F5043" s="36"/>
      <c r="G5043" s="11"/>
      <c r="H5043" s="34" t="str">
        <f>IFERROR(__xludf.DUMMYFUNCTION("LOWER(REGEXREPLACE(B5043&amp;"" ""&amp;C5043,""[^а-яa-z0-9 ]"","" ""))")," рилавок витрина холодильный ")</f>
        <v> рилавок витрина холодильный </v>
      </c>
    </row>
    <row r="5044">
      <c r="A5044" s="35" t="s">
        <v>11964</v>
      </c>
      <c r="B5044" s="31" t="s">
        <v>11965</v>
      </c>
      <c r="C5044" s="31"/>
      <c r="D5044" s="37" t="s">
        <v>14</v>
      </c>
      <c r="E5044" s="10"/>
      <c r="F5044" s="38">
        <v>212.0</v>
      </c>
      <c r="G5044" s="11">
        <v>2240129.0</v>
      </c>
      <c r="H5044" s="34" t="str">
        <f>IFERROR(__xludf.DUMMYFUNCTION("LOWER(REGEXREPLACE(B5044&amp;"" ""&amp;C5044,""[^а-яa-z0-9 ]"","" ""))")," рилавок витрина холодильный        70     01     1500х755 1080х1720  ")</f>
        <v> рилавок витрина холодильный        70     01     1500х755 1080х1720  </v>
      </c>
    </row>
    <row r="5045">
      <c r="A5045" s="35" t="s">
        <v>11966</v>
      </c>
      <c r="B5045" s="31" t="s">
        <v>11967</v>
      </c>
      <c r="C5045" s="31"/>
      <c r="D5045" s="37" t="s">
        <v>14</v>
      </c>
      <c r="E5045" s="10"/>
      <c r="F5045" s="38">
        <v>180.0</v>
      </c>
      <c r="G5045" s="11">
        <v>2712048.0</v>
      </c>
      <c r="H5045" s="34" t="str">
        <f>IFERROR(__xludf.DUMMYFUNCTION("LOWER(REGEXREPLACE(B5045&amp;"" ""&amp;C5045,""[^а-яa-z0-9 ]"","" ""))")," рилавок витрина холодильный 1500х700 1000 х1800   ощность 3 25к т  с подсветкой         70     01    ")</f>
        <v> рилавок витрина холодильный 1500х700 1000 х1800   ощность 3 25к т  с подсветкой         70     01    </v>
      </c>
    </row>
    <row r="5046">
      <c r="A5046" s="35" t="s">
        <v>11968</v>
      </c>
      <c r="B5046" s="9" t="s">
        <v>11969</v>
      </c>
      <c r="C5046" s="31"/>
      <c r="D5046" s="37" t="s">
        <v>14</v>
      </c>
      <c r="E5046" s="38">
        <v>2.0</v>
      </c>
      <c r="F5046" s="40">
        <v>64.76</v>
      </c>
      <c r="G5046" s="11">
        <v>407429.0</v>
      </c>
      <c r="H5046" s="34" t="str">
        <f>IFERROR(__xludf.DUMMYFUNCTION("LOWER(REGEXREPLACE(B5046&amp;"" ""&amp;C5046,""[^а-яa-z0-9 ]"","" ""))")," иния холодного сервиса           1 1 3 120   ержавеющая сталь   бъем  3   1 1 150  220   50 ц  1 к т   азмер  1200x700x850 1300мм ")</f>
        <v> иния холодного сервиса           1 1 3 120   ержавеющая сталь   бъем  3   1 1 150  220   50 ц  1 к т   азмер  1200x700x850 1300мм </v>
      </c>
    </row>
    <row r="5047">
      <c r="A5047" s="35" t="s">
        <v>11970</v>
      </c>
      <c r="B5047" s="9" t="s">
        <v>11971</v>
      </c>
      <c r="C5047" s="31"/>
      <c r="D5047" s="37" t="s">
        <v>14</v>
      </c>
      <c r="E5047" s="38">
        <v>2.0</v>
      </c>
      <c r="F5047" s="40">
        <v>75.91</v>
      </c>
      <c r="G5047" s="11">
        <v>438222.0</v>
      </c>
      <c r="H5047" s="34" t="str">
        <f>IFERROR(__xludf.DUMMYFUNCTION("LOWER(REGEXREPLACE(B5047&amp;"" ""&amp;C5047,""[^а-яa-z0-9 ]"","" ""))")," иния холодного сервиса           1 1 4 150   ержавеющая сталь   бъем  3   1 1 150  220   50 ц  1 к т   азмер  1500x700x850 1300мм ")</f>
        <v> иния холодного сервиса           1 1 4 150   ержавеющая сталь   бъем  3   1 1 150  220   50 ц  1 к т   азмер  1500x700x850 1300мм </v>
      </c>
    </row>
    <row r="5048">
      <c r="A5048" s="35" t="s">
        <v>11972</v>
      </c>
      <c r="B5048" s="9" t="s">
        <v>11973</v>
      </c>
      <c r="C5048" s="31"/>
      <c r="D5048" s="37" t="s">
        <v>14</v>
      </c>
      <c r="E5048" s="38">
        <v>2.0</v>
      </c>
      <c r="F5048" s="40">
        <v>88.49</v>
      </c>
      <c r="G5048" s="11">
        <v>470372.0</v>
      </c>
      <c r="H5048" s="34" t="str">
        <f>IFERROR(__xludf.DUMMYFUNCTION("LOWER(REGEXREPLACE(B5048&amp;"" ""&amp;C5048,""[^а-яa-z0-9 ]"","" ""))")," иния холодного сервиса           1 1 5 180   ержавеющая сталь   бъем  3   1 1 150  220   50 ц  1 к т   азмер  1800x700x850 1350мм ")</f>
        <v> иния холодного сервиса           1 1 5 180   ержавеющая сталь   бъем  3   1 1 150  220   50 ц  1 к т   азмер  1800x700x850 1350мм </v>
      </c>
    </row>
    <row r="5049">
      <c r="A5049" s="35" t="s">
        <v>11974</v>
      </c>
      <c r="B5049" s="31" t="s">
        <v>11975</v>
      </c>
      <c r="C5049" s="31"/>
      <c r="D5049" s="37" t="s">
        <v>14</v>
      </c>
      <c r="E5049" s="38">
        <v>2.0</v>
      </c>
      <c r="F5049" s="40">
        <v>186.22</v>
      </c>
      <c r="G5049" s="11">
        <v>716072.0</v>
      </c>
      <c r="H5049" s="34" t="str">
        <f>IFERROR(__xludf.DUMMYFUNCTION("LOWER(REGEXREPLACE(B5049&amp;"" ""&amp;C5049,""[^а-яa-z0-9 ]"","" ""))")," иния холодного сервиса       120 70   ержавеющая сталь  3 стеклянные полки  холодильный шкаф  с ползунком для подноса  220   50 ц  1к т   азмер  1200x700x850 1615мм ")</f>
        <v> иния холодного сервиса       120 70   ержавеющая сталь  3 стеклянные полки  холодильный шкаф  с ползунком для подноса  220   50 ц  1к т   азмер  1200x700x850 1615мм </v>
      </c>
    </row>
    <row r="5050">
      <c r="A5050" s="35" t="s">
        <v>11976</v>
      </c>
      <c r="B5050" s="31" t="s">
        <v>11977</v>
      </c>
      <c r="C5050" s="31"/>
      <c r="D5050" s="37" t="s">
        <v>14</v>
      </c>
      <c r="E5050" s="38">
        <v>2.0</v>
      </c>
      <c r="F5050" s="40">
        <v>208.46</v>
      </c>
      <c r="G5050" s="11">
        <v>756369.0</v>
      </c>
      <c r="H5050" s="34" t="str">
        <f>IFERROR(__xludf.DUMMYFUNCTION("LOWER(REGEXREPLACE(B5050&amp;"" ""&amp;C5050,""[^а-яa-z0-9 ]"","" ""))")," иния холодного сервиса       140 70   ержавеющая сталь  3 стеклянные полки  холодильный шкаф  с ползунком для подноса  220   50 ц  1к т   азмер  1400x700x850 1615мм ")</f>
        <v> иния холодного сервиса       140 70   ержавеющая сталь  3 стеклянные полки  холодильный шкаф  с ползунком для подноса  220   50 ц  1к т   азмер  1400x700x850 1615мм </v>
      </c>
    </row>
    <row r="5051">
      <c r="A5051" s="35" t="s">
        <v>11978</v>
      </c>
      <c r="B5051" s="31" t="s">
        <v>11979</v>
      </c>
      <c r="C5051" s="31"/>
      <c r="D5051" s="37" t="s">
        <v>14</v>
      </c>
      <c r="E5051" s="38">
        <v>2.0</v>
      </c>
      <c r="F5051" s="38">
        <v>150.0</v>
      </c>
      <c r="G5051" s="11">
        <v>2332950.0</v>
      </c>
      <c r="H5051" s="34" t="str">
        <f>IFERROR(__xludf.DUMMYFUNCTION("LOWER(REGEXREPLACE(B5051&amp;"" ""&amp;C5051,""[^а-яa-z0-9 ]"","" ""))"),"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направляющие"&amp;" для подносов входят в комплект ")</f>
        <v>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входят в комплект </v>
      </c>
    </row>
    <row r="5052">
      <c r="A5052" s="35" t="s">
        <v>11980</v>
      </c>
      <c r="B5052" s="31" t="s">
        <v>11981</v>
      </c>
      <c r="C5052" s="31"/>
      <c r="D5052" s="37" t="s">
        <v>14</v>
      </c>
      <c r="E5052" s="38">
        <v>2.0</v>
      </c>
      <c r="F5052" s="38">
        <v>120.0</v>
      </c>
      <c r="G5052" s="11">
        <v>1926251.0</v>
      </c>
      <c r="H5052" s="34" t="str">
        <f>IFERROR(__xludf.DUMMYFUNCTION("LOWER(REGEXREPLACE(B5052&amp;"" ""&amp;C5052,""[^а-яa-z0-9 ]"","" ""))"),"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направляющи"&amp;"е для подносов ввходят в комплект ")</f>
        <v>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ввходят в комплект </v>
      </c>
    </row>
    <row r="5053">
      <c r="A5053" s="35" t="s">
        <v>11982</v>
      </c>
      <c r="B5053" s="9" t="s">
        <v>11983</v>
      </c>
      <c r="C5053" s="31"/>
      <c r="D5053" s="37" t="s">
        <v>14</v>
      </c>
      <c r="E5053" s="38">
        <v>2.0</v>
      </c>
      <c r="F5053" s="38">
        <v>80.0</v>
      </c>
      <c r="G5053" s="11">
        <v>1084826.0</v>
      </c>
      <c r="H5053" s="34" t="str">
        <f>IFERROR(__xludf.DUMMYFUNCTION("LOWER(REGEXREPLACE(B5053&amp;"" ""&amp;C5053,""[^а-яa-z0-9 ]"","" ""))"),"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4">
      <c r="A5054" s="35" t="s">
        <v>11984</v>
      </c>
      <c r="B5054" s="9" t="s">
        <v>11985</v>
      </c>
      <c r="C5054" s="31"/>
      <c r="D5054" s="37" t="s">
        <v>14</v>
      </c>
      <c r="E5054" s="38">
        <v>2.0</v>
      </c>
      <c r="F5054" s="38">
        <v>70.0</v>
      </c>
      <c r="G5054" s="11">
        <v>896658.0</v>
      </c>
      <c r="H5054" s="34" t="str">
        <f>IFERROR(__xludf.DUMMYFUNCTION("LOWER(REGEXREPLACE(B5054&amp;"" ""&amp;C5054,""[^а-яa-z0-9 ]"","" ""))"),"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5">
      <c r="A5055" s="35" t="s">
        <v>11986</v>
      </c>
      <c r="B5055" s="31" t="s">
        <v>11987</v>
      </c>
      <c r="C5055" s="31"/>
      <c r="D5055" s="37" t="s">
        <v>14</v>
      </c>
      <c r="E5055" s="10"/>
      <c r="F5055" s="38">
        <v>80.0</v>
      </c>
      <c r="G5055" s="11">
        <v>502500.0</v>
      </c>
      <c r="H5055" s="34" t="str">
        <f>IFERROR(__xludf.DUMMYFUNCTION("LOWER(REGEXREPLACE(B5055&amp;"" ""&amp;C5055,""[^а-яa-z0-9 ]"","" ""))")," рилавок для горячих напитков     70   03  1500х705 1030х870  ")</f>
        <v> рилавок для горячих напитков     70   03  1500х705 1030х870  </v>
      </c>
    </row>
    <row r="5056">
      <c r="A5056" s="35" t="s">
        <v>11988</v>
      </c>
      <c r="B5056" s="31" t="s">
        <v>11989</v>
      </c>
      <c r="C5056" s="31"/>
      <c r="D5056" s="37" t="s">
        <v>14</v>
      </c>
      <c r="E5056" s="10"/>
      <c r="F5056" s="38">
        <v>75.0</v>
      </c>
      <c r="G5056" s="11">
        <v>331407.0</v>
      </c>
      <c r="H5056" s="34" t="str">
        <f>IFERROR(__xludf.DUMMYFUNCTION("LOWER(REGEXREPLACE(B5056&amp;"" ""&amp;C5056,""[^а-яa-z0-9 ]"","" ""))")," рилавок для горячих напитков     70    1120х705 1030х1485  ")</f>
        <v> рилавок для горячих напитков     70    1120х705 1030х1485  </v>
      </c>
    </row>
    <row r="5057">
      <c r="A5057" s="35" t="s">
        <v>11990</v>
      </c>
      <c r="B5057" s="31" t="s">
        <v>11991</v>
      </c>
      <c r="C5057" s="31"/>
      <c r="D5057" s="37" t="s">
        <v>14</v>
      </c>
      <c r="E5057" s="10"/>
      <c r="F5057" s="38">
        <v>102.0</v>
      </c>
      <c r="G5057" s="11">
        <v>775821.0</v>
      </c>
      <c r="H5057" s="34" t="str">
        <f>IFERROR(__xludf.DUMMYFUNCTION("LOWER(REGEXREPLACE(B5057&amp;"" ""&amp;C5057,""[^а-яa-z0-9 ]"","" ""))")," рилавок тепловой     70   02  1500х705 1030х869  ")</f>
        <v> рилавок тепловой     70   02  1500х705 1030х869  </v>
      </c>
    </row>
    <row r="5058">
      <c r="A5058" s="35" t="s">
        <v>11992</v>
      </c>
      <c r="B5058" s="31" t="s">
        <v>11993</v>
      </c>
      <c r="C5058" s="31"/>
      <c r="D5058" s="37" t="s">
        <v>14</v>
      </c>
      <c r="E5058" s="10"/>
      <c r="F5058" s="38">
        <v>34.0</v>
      </c>
      <c r="G5058" s="11">
        <v>282967.0</v>
      </c>
      <c r="H5058" s="34" t="str">
        <f>IFERROR(__xludf.DUMMYFUNCTION("LOWER(REGEXREPLACE(B5058&amp;"" ""&amp;C5058,""[^а-яa-z0-9 ]"","" ""))")," рилавок для столовых приборов      70    630х675х1340  ")</f>
        <v> рилавок для столовых приборов      70    630х675х1340  </v>
      </c>
    </row>
    <row r="5059">
      <c r="A5059" s="35" t="s">
        <v>11994</v>
      </c>
      <c r="B5059" s="31" t="s">
        <v>11995</v>
      </c>
      <c r="C5059" s="31"/>
      <c r="D5059" s="37" t="s">
        <v>14</v>
      </c>
      <c r="E5059" s="10"/>
      <c r="F5059" s="36"/>
      <c r="G5059" s="11"/>
      <c r="H5059" s="34" t="str">
        <f>IFERROR(__xludf.DUMMYFUNCTION("LOWER(REGEXREPLACE(B5059&amp;"" ""&amp;C5059,""[^а-яa-z0-9 ]"","" ""))")," рилавок для столовых приборов ")</f>
        <v> рилавок для столовых приборов </v>
      </c>
    </row>
    <row r="5060">
      <c r="A5060" s="35" t="s">
        <v>11996</v>
      </c>
      <c r="B5060" s="31" t="s">
        <v>11995</v>
      </c>
      <c r="C5060" s="31" t="s">
        <v>11997</v>
      </c>
      <c r="D5060" s="37" t="s">
        <v>14</v>
      </c>
      <c r="E5060" s="10"/>
      <c r="F5060" s="38">
        <v>40.0</v>
      </c>
      <c r="G5060" s="11">
        <v>270834.0</v>
      </c>
      <c r="H5060" s="34" t="str">
        <f>IFERROR(__xludf.DUMMYFUNCTION("LOWER(REGEXREPLACE(B5060&amp;"" ""&amp;C5060,""[^а-яa-z0-9 ]"","" ""))"),"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f>
        <v>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v>
      </c>
    </row>
    <row r="5061">
      <c r="A5061" s="35" t="s">
        <v>11998</v>
      </c>
      <c r="B5061" s="31" t="s">
        <v>11999</v>
      </c>
      <c r="C5061" s="31"/>
      <c r="D5061" s="37" t="s">
        <v>14</v>
      </c>
      <c r="E5061" s="10"/>
      <c r="F5061" s="38">
        <v>40.0</v>
      </c>
      <c r="G5061" s="11">
        <v>386449.0</v>
      </c>
      <c r="H5061" s="34" t="str">
        <f>IFERROR(__xludf.DUMMYFUNCTION("LOWER(REGEXREPLACE(B5061&amp;"" ""&amp;C5061,""[^а-яa-z0-9 ]"","" ""))")," рилавок для столовых приборов из нержавеющей стали 700х770х1220 с подсветкой       70   ")</f>
        <v> рилавок для столовых приборов из нержавеющей стали 700х770х1220 с подсветкой       70   </v>
      </c>
    </row>
    <row r="5062">
      <c r="A5062" s="35" t="s">
        <v>12000</v>
      </c>
      <c r="B5062" s="9" t="s">
        <v>12001</v>
      </c>
      <c r="C5062" s="31"/>
      <c r="D5062" s="37" t="s">
        <v>14</v>
      </c>
      <c r="E5062" s="38">
        <v>2.0</v>
      </c>
      <c r="F5062" s="40">
        <v>32.06</v>
      </c>
      <c r="G5062" s="11">
        <v>152520.0</v>
      </c>
      <c r="H5062" s="34" t="str">
        <f>IFERROR(__xludf.DUMMYFUNCTION("LOWER(REGEXREPLACE(B5062&amp;"" ""&amp;C5062,""[^а-яa-z0-9 ]"","" ""))")," рилавок для столовых приборов       70 70   ержавеющая сталь    3 ячейками для ножей  ложек и вилок   азмер  700x700x1250мм ")</f>
        <v> рилавок для столовых приборов       70 70   ержавеющая сталь    3 ячейками для ножей  ложек и вилок   азмер  700x700x1250мм </v>
      </c>
    </row>
    <row r="5063">
      <c r="A5063" s="35" t="s">
        <v>12002</v>
      </c>
      <c r="B5063" s="9" t="s">
        <v>12003</v>
      </c>
      <c r="C5063" s="31"/>
      <c r="D5063" s="37" t="s">
        <v>14</v>
      </c>
      <c r="E5063" s="38">
        <v>2.0</v>
      </c>
      <c r="F5063" s="38">
        <v>21.0</v>
      </c>
      <c r="G5063" s="11">
        <v>385747.0</v>
      </c>
      <c r="H5063" s="34" t="str">
        <f>IFERROR(__xludf.DUMMYFUNCTION("LOWER(REGEXREPLACE(B5063&amp;"" ""&amp;C5063,""[^а-яa-z0-9 ]"","" ""))"),"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4">
      <c r="A5064" s="35" t="s">
        <v>12004</v>
      </c>
      <c r="B5064" s="9" t="s">
        <v>12005</v>
      </c>
      <c r="C5064" s="31"/>
      <c r="D5064" s="37" t="s">
        <v>14</v>
      </c>
      <c r="E5064" s="38">
        <v>2.0</v>
      </c>
      <c r="F5064" s="38">
        <v>23.0</v>
      </c>
      <c r="G5064" s="11">
        <v>408441.0</v>
      </c>
      <c r="H5064" s="34" t="str">
        <f>IFERROR(__xludf.DUMMYFUNCTION("LOWER(REGEXREPLACE(B5064&amp;"" ""&amp;C5064,""[^а-яa-z0-9 ]"","" ""))"),"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5">
      <c r="A5065" s="35" t="s">
        <v>12006</v>
      </c>
      <c r="B5065" s="9" t="s">
        <v>12007</v>
      </c>
      <c r="C5065" s="31"/>
      <c r="D5065" s="37" t="s">
        <v>14</v>
      </c>
      <c r="E5065" s="38">
        <v>2.0</v>
      </c>
      <c r="F5065" s="38">
        <v>20.0</v>
      </c>
      <c r="G5065" s="11">
        <v>389904.0</v>
      </c>
      <c r="H5065" s="34" t="str">
        <f>IFERROR(__xludf.DUMMYFUNCTION("LOWER(REGEXREPLACE(B5065&amp;"" ""&amp;C5065,""[^а-яa-z0-9 ]"","" ""))"),"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6">
      <c r="A5066" s="35" t="s">
        <v>12008</v>
      </c>
      <c r="B5066" s="9" t="s">
        <v>12009</v>
      </c>
      <c r="C5066" s="31"/>
      <c r="D5066" s="37" t="s">
        <v>14</v>
      </c>
      <c r="E5066" s="10"/>
      <c r="F5066" s="38">
        <v>90.0</v>
      </c>
      <c r="G5066" s="11">
        <v>486837.0</v>
      </c>
      <c r="H5066" s="34" t="str">
        <f>IFERROR(__xludf.DUMMYFUNCTION("LOWER(REGEXREPLACE(B5066&amp;"" ""&amp;C5066,""[^а-яa-z0-9 ]"","" ""))")," рилавок для горячих напитков     70   01 нейтральный стол  две полки  1500х705 1030х1485 мм  ")</f>
        <v> рилавок для горячих напитков     70   01 нейтральный стол  две полки  1500х705 1030х1485 мм  </v>
      </c>
    </row>
    <row r="5067">
      <c r="A5067" s="35" t="s">
        <v>12010</v>
      </c>
      <c r="B5067" s="31" t="s">
        <v>12011</v>
      </c>
      <c r="C5067" s="31"/>
      <c r="D5067" s="37" t="s">
        <v>14</v>
      </c>
      <c r="E5067" s="10"/>
      <c r="F5067" s="36"/>
      <c r="G5067" s="11"/>
      <c r="H5067" s="34" t="str">
        <f>IFERROR(__xludf.DUMMYFUNCTION("LOWER(REGEXREPLACE(B5067&amp;"" ""&amp;C5067,""[^а-яa-z0-9 ]"","" ""))")," рилавок для горячих напитков ")</f>
        <v> рилавок для горячих напитков </v>
      </c>
    </row>
    <row r="5068">
      <c r="A5068" s="35" t="s">
        <v>12012</v>
      </c>
      <c r="B5068" s="31" t="s">
        <v>12013</v>
      </c>
      <c r="C5068" s="31"/>
      <c r="D5068" s="37" t="s">
        <v>14</v>
      </c>
      <c r="E5068" s="10"/>
      <c r="F5068" s="38">
        <v>66.0</v>
      </c>
      <c r="G5068" s="11">
        <v>348518.0</v>
      </c>
      <c r="H5068" s="34" t="str">
        <f>IFERROR(__xludf.DUMMYFUNCTION("LOWER(REGEXREPLACE(B5068&amp;"" ""&amp;C5068,""[^а-яa-z0-9 ]"","" ""))")," рилавок для горячих напитков     70   02  1120х705 1030х870  ")</f>
        <v> рилавок для горячих напитков     70   02  1120х705 1030х870  </v>
      </c>
    </row>
    <row r="5069">
      <c r="A5069" s="35" t="s">
        <v>12014</v>
      </c>
      <c r="B5069" s="31" t="s">
        <v>12015</v>
      </c>
      <c r="C5069" s="31"/>
      <c r="D5069" s="37" t="s">
        <v>14</v>
      </c>
      <c r="E5069" s="10"/>
      <c r="F5069" s="38">
        <v>80.0</v>
      </c>
      <c r="G5069" s="11">
        <v>724906.0</v>
      </c>
      <c r="H5069" s="34" t="str">
        <f>IFERROR(__xludf.DUMMYFUNCTION("LOWER(REGEXREPLACE(B5069&amp;"" ""&amp;C5069,""[^а-яa-z0-9 ]"","" ""))")," рилавок для горячих напитков 1500х700 1000 х850  с подсветкой   ощность 2 5 к т      70   03 ")</f>
        <v> рилавок для горячих напитков 1500х700 1000 х850  с подсветкой   ощность 2 5 к т      70   03 </v>
      </c>
    </row>
    <row r="5070">
      <c r="A5070" s="35" t="s">
        <v>12016</v>
      </c>
      <c r="B5070" s="31" t="s">
        <v>12017</v>
      </c>
      <c r="C5070" s="31"/>
      <c r="D5070" s="37" t="s">
        <v>14</v>
      </c>
      <c r="E5070" s="10"/>
      <c r="F5070" s="38">
        <v>70.0</v>
      </c>
      <c r="G5070" s="11">
        <v>481040.0</v>
      </c>
      <c r="H5070" s="34" t="str">
        <f>IFERROR(__xludf.DUMMYFUNCTION("LOWER(REGEXREPLACE(B5070&amp;"" ""&amp;C5070,""[^а-яa-z0-9 ]"","" ""))")," рилавок     70   80  630х705 1030х920  ")</f>
        <v> рилавок     70   80  630х705 1030х920  </v>
      </c>
    </row>
    <row r="5071">
      <c r="A5071" s="35" t="s">
        <v>12018</v>
      </c>
      <c r="B5071" s="31" t="s">
        <v>12019</v>
      </c>
      <c r="C5071" s="31"/>
      <c r="D5071" s="37" t="s">
        <v>14</v>
      </c>
      <c r="E5071" s="10"/>
      <c r="F5071" s="38">
        <v>55.0</v>
      </c>
      <c r="G5071" s="11">
        <v>369287.0</v>
      </c>
      <c r="H5071" s="34" t="str">
        <f>IFERROR(__xludf.DUMMYFUNCTION("LOWER(REGEXREPLACE(B5071&amp;"" ""&amp;C5071,""[^а-яa-z0-9 ]"","" ""))")," ассовая кабина    70    1120х705 1030х870  ")</f>
        <v> ассовая кабина    70    1120х705 1030х870  </v>
      </c>
    </row>
    <row r="5072">
      <c r="A5072" s="35" t="s">
        <v>12020</v>
      </c>
      <c r="B5072" s="31" t="s">
        <v>12021</v>
      </c>
      <c r="C5072" s="31"/>
      <c r="D5072" s="37" t="s">
        <v>14</v>
      </c>
      <c r="E5072" s="10"/>
      <c r="F5072" s="38">
        <v>38.0</v>
      </c>
      <c r="G5072" s="11">
        <v>260357.0</v>
      </c>
      <c r="H5072" s="34" t="str">
        <f>IFERROR(__xludf.DUMMYFUNCTION("LOWER(REGEXREPLACE(B5072&amp;"" ""&amp;C5072,""[^а-яa-z0-9 ]"","" ""))")," одуль нейтральный    70    630х705 1030х870  ")</f>
        <v> одуль нейтральный    70    630х705 1030х870  </v>
      </c>
    </row>
    <row r="5073">
      <c r="A5073" s="35" t="s">
        <v>12022</v>
      </c>
      <c r="B5073" s="31" t="s">
        <v>12023</v>
      </c>
      <c r="C5073" s="31"/>
      <c r="D5073" s="37" t="s">
        <v>14</v>
      </c>
      <c r="E5073" s="10"/>
      <c r="F5073" s="38">
        <v>39.0</v>
      </c>
      <c r="G5073" s="11">
        <v>323214.0</v>
      </c>
      <c r="H5073" s="34" t="str">
        <f>IFERROR(__xludf.DUMMYFUNCTION("LOWER(REGEXREPLACE(B5073&amp;"" ""&amp;C5073,""[^а-яa-z0-9 ]"","" ""))")," одуль поворотный    90    внешн  90 градус   997 1440х705 1030х870  ")</f>
        <v> одуль поворотный    90    внешн  90 градус   997 1440х705 1030х870  </v>
      </c>
    </row>
    <row r="5074">
      <c r="A5074" s="35" t="s">
        <v>12024</v>
      </c>
      <c r="B5074" s="31" t="s">
        <v>12025</v>
      </c>
      <c r="C5074" s="31"/>
      <c r="D5074" s="37" t="s">
        <v>14</v>
      </c>
      <c r="E5074" s="10"/>
      <c r="F5074" s="38">
        <v>51.0</v>
      </c>
      <c r="G5074" s="11">
        <v>349286.0</v>
      </c>
      <c r="H5074" s="34" t="str">
        <f>IFERROR(__xludf.DUMMYFUNCTION("LOWER(REGEXREPLACE(B5074&amp;"" ""&amp;C5074,""[^а-яa-z0-9 ]"","" ""))")," одуль поворотный    90   01  внутрен  90 градус  без направляющей  1430х705х870  ")</f>
        <v> одуль поворотный    90   01  внутрен  90 градус  без направляющей  1430х705х870  </v>
      </c>
    </row>
    <row r="5075">
      <c r="A5075" s="35" t="s">
        <v>12026</v>
      </c>
      <c r="B5075" s="31" t="s">
        <v>12027</v>
      </c>
      <c r="C5075" s="31"/>
      <c r="D5075" s="37" t="s">
        <v>14</v>
      </c>
      <c r="E5075" s="10"/>
      <c r="F5075" s="38">
        <v>30.0</v>
      </c>
      <c r="G5075" s="11">
        <v>286071.0</v>
      </c>
      <c r="H5075" s="34" t="str">
        <f>IFERROR(__xludf.DUMMYFUNCTION("LOWER(REGEXREPLACE(B5075&amp;"" ""&amp;C5075,""[^а-яa-z0-9 ]"","" ""))")," одуль поворотный    45    внешн  45 градус   566 813х705 1030х870  ")</f>
        <v> одуль поворотный    45    внешн  45 градус   566 813х705 1030х870  </v>
      </c>
    </row>
    <row r="5076">
      <c r="A5076" s="35" t="s">
        <v>12028</v>
      </c>
      <c r="B5076" s="31" t="s">
        <v>12029</v>
      </c>
      <c r="C5076" s="31"/>
      <c r="D5076" s="37" t="s">
        <v>14</v>
      </c>
      <c r="E5076" s="10"/>
      <c r="F5076" s="38">
        <v>31.0</v>
      </c>
      <c r="G5076" s="11">
        <v>266786.0</v>
      </c>
      <c r="H5076" s="34" t="str">
        <f>IFERROR(__xludf.DUMMYFUNCTION("LOWER(REGEXREPLACE(B5076&amp;"" ""&amp;C5076,""[^а-яa-z0-9 ]"","" ""))")," одуль поворотный    45   01  внутрен  45 градус  без направляющей  784х705х870  ")</f>
        <v> одуль поворотный    45   01  внутрен  45 градус  без направляющей  784х705х870  </v>
      </c>
    </row>
    <row r="5077">
      <c r="A5077" s="35" t="s">
        <v>12030</v>
      </c>
      <c r="B5077" s="31" t="s">
        <v>12031</v>
      </c>
      <c r="C5077" s="31"/>
      <c r="D5077" s="37" t="s">
        <v>14</v>
      </c>
      <c r="E5077" s="10"/>
      <c r="F5077" s="36"/>
      <c r="G5077" s="11"/>
      <c r="H5077" s="34" t="str">
        <f>IFERROR(__xludf.DUMMYFUNCTION("LOWER(REGEXREPLACE(B5077&amp;"" ""&amp;C5077,""[^а-яa-z0-9 ]"","" ""))")," рилавок для подогрева первых блюд ")</f>
        <v> рилавок для подогрева первых блюд </v>
      </c>
    </row>
    <row r="5078">
      <c r="A5078" s="35" t="s">
        <v>12032</v>
      </c>
      <c r="B5078" s="9" t="s">
        <v>12033</v>
      </c>
      <c r="C5078" s="31"/>
      <c r="D5078" s="37" t="s">
        <v>14</v>
      </c>
      <c r="E5078" s="38">
        <v>2.0</v>
      </c>
      <c r="F5078" s="40">
        <v>55.31</v>
      </c>
      <c r="G5078" s="11">
        <v>202621.0</v>
      </c>
      <c r="H5078" s="34" t="str">
        <f>IFERROR(__xludf.DUMMYFUNCTION("LOWER(REGEXREPLACE(B5078&amp;"" ""&amp;C5078,""[^а-яa-z0-9 ]"","" ""))"),"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f>
        <v>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v>
      </c>
    </row>
    <row r="5079">
      <c r="A5079" s="35" t="s">
        <v>12034</v>
      </c>
      <c r="B5079" s="31" t="s">
        <v>12035</v>
      </c>
      <c r="C5079" s="31"/>
      <c r="D5079" s="37" t="s">
        <v>14</v>
      </c>
      <c r="E5079" s="38">
        <v>2.0</v>
      </c>
      <c r="F5079" s="38">
        <v>50.0</v>
      </c>
      <c r="G5079" s="11">
        <v>1087403.0</v>
      </c>
      <c r="H5079" s="34" t="str">
        <f>IFERROR(__xludf.DUMMYFUNCTION("LOWER(REGEXREPLACE(B5079&amp;"" ""&amp;C5079,""[^а-яa-z0-9 ]"","" ""))"),"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"&amp;"регулируемые ")</f>
        <v>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0">
      <c r="A5080" s="35" t="s">
        <v>12036</v>
      </c>
      <c r="B5080" s="31" t="s">
        <v>12037</v>
      </c>
      <c r="C5080" s="31"/>
      <c r="D5080" s="37" t="s">
        <v>14</v>
      </c>
      <c r="E5080" s="38">
        <v>2.0</v>
      </c>
      <c r="F5080" s="38">
        <v>45.0</v>
      </c>
      <c r="G5080" s="11">
        <v>1016271.0</v>
      </c>
      <c r="H5080" s="34" t="str">
        <f>IFERROR(__xludf.DUMMYFUNCTION("LOWER(REGEXREPLACE(B5080&amp;"" ""&amp;C5080,""[^а-яa-z0-9 ]"","" ""))"),"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ожк"&amp;"и регулируемые ")</f>
        <v>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1">
      <c r="A5081" s="35" t="s">
        <v>12038</v>
      </c>
      <c r="B5081" s="31" t="s">
        <v>12039</v>
      </c>
      <c r="C5081" s="31"/>
      <c r="D5081" s="37" t="s">
        <v>14</v>
      </c>
      <c r="E5081" s="38">
        <v>2.0</v>
      </c>
      <c r="F5081" s="38">
        <v>70.0</v>
      </c>
      <c r="G5081" s="11">
        <v>1015067.0</v>
      </c>
      <c r="H5081" s="34" t="str">
        <f>IFERROR(__xludf.DUMMYFUNCTION("LOWER(REGEXREPLACE(B5081&amp;"" ""&amp;C5081,""[^а-яa-z0-9 ]"","" ""))"),"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"&amp;"регулируемые ")</f>
        <v>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регулируемые </v>
      </c>
    </row>
    <row r="5082">
      <c r="A5082" s="35" t="s">
        <v>12040</v>
      </c>
      <c r="B5082" s="31" t="s">
        <v>12041</v>
      </c>
      <c r="C5082" s="31"/>
      <c r="D5082" s="37" t="s">
        <v>14</v>
      </c>
      <c r="E5082" s="10"/>
      <c r="F5082" s="36"/>
      <c r="G5082" s="11"/>
      <c r="H5082" s="34" t="str">
        <f>IFERROR(__xludf.DUMMYFUNCTION("LOWER(REGEXREPLACE(B5082&amp;"" ""&amp;C5082,""[^а-яa-z0-9 ]"","" ""))")," рилавок для подогрева вторых блюд ")</f>
        <v> рилавок для подогрева вторых блюд </v>
      </c>
    </row>
    <row r="5083">
      <c r="A5083" s="35" t="s">
        <v>12042</v>
      </c>
      <c r="B5083" s="9" t="s">
        <v>12043</v>
      </c>
      <c r="C5083" s="31"/>
      <c r="D5083" s="37" t="s">
        <v>14</v>
      </c>
      <c r="E5083" s="38">
        <v>2.0</v>
      </c>
      <c r="F5083" s="40">
        <v>56.21</v>
      </c>
      <c r="G5083" s="11">
        <v>200259.0</v>
      </c>
      <c r="H5083" s="34" t="str">
        <f>IFERROR(__xludf.DUMMYFUNCTION("LOWER(REGEXREPLACE(B5083&amp;"" ""&amp;C5083,""[^а-яa-z0-9 ]"","" ""))")," иния горячего сервиса           1 1 3 120   ержавеющая сталь   бъем  3   1 1 150  термостатический контроль  220   50 ц  2 5к т   азмер  1200x700x850 1300мм ")</f>
        <v> иния горячего сервиса           1 1 3 120   ержавеющая сталь   бъем  3   1 1 150  термостатический контроль  220   50 ц  2 5к т   азмер  1200x700x850 1300мм </v>
      </c>
    </row>
    <row r="5084">
      <c r="A5084" s="35" t="s">
        <v>12044</v>
      </c>
      <c r="B5084" s="9" t="s">
        <v>12045</v>
      </c>
      <c r="C5084" s="31"/>
      <c r="D5084" s="37" t="s">
        <v>14</v>
      </c>
      <c r="E5084" s="38">
        <v>2.0</v>
      </c>
      <c r="F5084" s="40">
        <v>66.29</v>
      </c>
      <c r="G5084" s="11">
        <v>224628.0</v>
      </c>
      <c r="H5084" s="34" t="str">
        <f>IFERROR(__xludf.DUMMYFUNCTION("LOWER(REGEXREPLACE(B5084&amp;"" ""&amp;C5084,""[^а-яa-z0-9 ]"","" ""))")," иния горячего сервиса           1 1 4 150   ержавеющая сталь   бъем  3   1 1 150  термостатический контроль  220   50 ц  2 5к т   азмер  1500x700x850 1300мм ")</f>
        <v> иния горячего сервиса           1 1 4 150   ержавеющая сталь   бъем  3   1 1 150  термостатический контроль  220   50 ц  2 5к т   азмер  1500x700x850 1300мм </v>
      </c>
    </row>
    <row r="5085">
      <c r="A5085" s="35" t="s">
        <v>12046</v>
      </c>
      <c r="B5085" s="9" t="s">
        <v>12047</v>
      </c>
      <c r="C5085" s="31"/>
      <c r="D5085" s="37" t="s">
        <v>14</v>
      </c>
      <c r="E5085" s="38">
        <v>2.0</v>
      </c>
      <c r="F5085" s="40">
        <v>77.65</v>
      </c>
      <c r="G5085" s="11">
        <v>248663.0</v>
      </c>
      <c r="H5085" s="34" t="str">
        <f>IFERROR(__xludf.DUMMYFUNCTION("LOWER(REGEXREPLACE(B5085&amp;"" ""&amp;C5085,""[^а-яa-z0-9 ]"","" ""))")," иния горячего сервиса           1 1 5 180   ержавеющая сталь   бъем  3   1 1 150  термостатический контроль  220   50 ц  2 5к т   азмер  1800x700x850 1300мм ")</f>
        <v> иния горячего сервиса           1 1 5 180   ержавеющая сталь   бъем  3   1 1 150  термостатический контроль  220   50 ц  2 5к т   азмер  1800x700x850 1300мм </v>
      </c>
    </row>
    <row r="5086">
      <c r="A5086" s="35" t="s">
        <v>12048</v>
      </c>
      <c r="B5086" s="31" t="s">
        <v>12049</v>
      </c>
      <c r="C5086" s="31"/>
      <c r="D5086" s="37" t="s">
        <v>14</v>
      </c>
      <c r="E5086" s="38">
        <v>2.0</v>
      </c>
      <c r="F5086" s="38">
        <v>105.0</v>
      </c>
      <c r="G5086" s="11">
        <v>517017.0</v>
      </c>
      <c r="H5086" s="34" t="str">
        <f>IFERROR(__xludf.DUMMYFUNCTION("LOWER(REGEXREPLACE(B5086&amp;"" ""&amp;C5086,""[^а-яa-z0-9 ]"","" ""))")," армит 2 х блюд      70   60  нержавеющая сталь  размеры 1120x705 1030 x1484мм  напряжение 220   мощность 1 22к т  две полки  подсветка  с гастроемкостями ")</f>
        <v> армит 2 х блюд      70   60  нержавеющая сталь  размеры 1120x705 1030 x1484мм  напряжение 220   мощность 1 22к т  две полки  подсветка  с гастроемкостями </v>
      </c>
    </row>
    <row r="5087">
      <c r="A5087" s="35" t="s">
        <v>12050</v>
      </c>
      <c r="B5087" s="9" t="s">
        <v>12051</v>
      </c>
      <c r="C5087" s="31"/>
      <c r="D5087" s="37" t="s">
        <v>14</v>
      </c>
      <c r="E5087" s="38">
        <v>2.0</v>
      </c>
      <c r="F5087" s="38">
        <v>70.0</v>
      </c>
      <c r="G5087" s="11">
        <v>1257420.0</v>
      </c>
      <c r="H5087" s="34" t="str">
        <f>IFERROR(__xludf.DUMMYFUNCTION("LOWER(REGEXREPLACE(B5087&amp;"" ""&amp;C5087,""[^а-яa-z0-9 ]"","" ""))"),"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8">
      <c r="A5088" s="35" t="s">
        <v>12052</v>
      </c>
      <c r="B5088" s="9" t="s">
        <v>12053</v>
      </c>
      <c r="C5088" s="31"/>
      <c r="D5088" s="37" t="s">
        <v>14</v>
      </c>
      <c r="E5088" s="38">
        <v>2.0</v>
      </c>
      <c r="F5088" s="38">
        <v>50.0</v>
      </c>
      <c r="G5088" s="11">
        <v>1133395.0</v>
      </c>
      <c r="H5088" s="34" t="str">
        <f>IFERROR(__xludf.DUMMYFUNCTION("LOWER(REGEXREPLACE(B5088&amp;"" ""&amp;C5088,""[^а-яa-z0-9 ]"","" ""))"),"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9">
      <c r="A5089" s="35" t="s">
        <v>12054</v>
      </c>
      <c r="B5089" s="31" t="s">
        <v>12055</v>
      </c>
      <c r="C5089" s="31"/>
      <c r="D5089" s="37" t="s">
        <v>14</v>
      </c>
      <c r="E5089" s="10"/>
      <c r="F5089" s="36"/>
      <c r="G5089" s="11"/>
      <c r="H5089" s="34" t="str">
        <f>IFERROR(__xludf.DUMMYFUNCTION("LOWER(REGEXREPLACE(B5089&amp;"" ""&amp;C5089,""[^а-яa-z0-9 ]"","" ""))")," рилавок нейтральный ")</f>
        <v> рилавок нейтральный </v>
      </c>
    </row>
    <row r="5090">
      <c r="A5090" s="35" t="s">
        <v>12056</v>
      </c>
      <c r="B5090" s="9" t="s">
        <v>12057</v>
      </c>
      <c r="C5090" s="31"/>
      <c r="D5090" s="37" t="s">
        <v>14</v>
      </c>
      <c r="E5090" s="38">
        <v>2.0</v>
      </c>
      <c r="F5090" s="40">
        <v>61.04</v>
      </c>
      <c r="G5090" s="11">
        <v>180679.0</v>
      </c>
      <c r="H5090" s="34" t="str">
        <f>IFERROR(__xludf.DUMMYFUNCTION("LOWER(REGEXREPLACE(B5090&amp;"" ""&amp;C5090,""[^а-яa-z0-9 ]"","" ""))")," иния нейтральная сервисная       120 70   ержавеющая сталь   каф с 2 полками без дверей   азмер  1200x700x850 1300мм ")</f>
        <v> иния нейтральная сервисная       120 70   ержавеющая сталь   каф с 2 полками без дверей   азмер  1200x700x850 1300мм </v>
      </c>
    </row>
    <row r="5091">
      <c r="A5091" s="35" t="s">
        <v>12058</v>
      </c>
      <c r="B5091" s="9" t="s">
        <v>12059</v>
      </c>
      <c r="C5091" s="31"/>
      <c r="D5091" s="37" t="s">
        <v>14</v>
      </c>
      <c r="E5091" s="38">
        <v>2.0</v>
      </c>
      <c r="F5091" s="40">
        <v>69.78</v>
      </c>
      <c r="G5091" s="11">
        <v>197271.0</v>
      </c>
      <c r="H5091" s="34" t="str">
        <f>IFERROR(__xludf.DUMMYFUNCTION("LOWER(REGEXREPLACE(B5091&amp;"" ""&amp;C5091,""[^а-яa-z0-9 ]"","" ""))")," иния нейтральная сервисная       140 70   ержавеющая сталь   каф с 2 полками без дверей   азмер  1400x700x850 1300мм ")</f>
        <v> иния нейтральная сервисная       140 70   ержавеющая сталь   каф с 2 полками без дверей   азмер  1400x700x850 1300мм </v>
      </c>
    </row>
    <row r="5092">
      <c r="A5092" s="35" t="s">
        <v>12060</v>
      </c>
      <c r="B5092" s="9" t="s">
        <v>12061</v>
      </c>
      <c r="C5092" s="31"/>
      <c r="D5092" s="37" t="s">
        <v>14</v>
      </c>
      <c r="E5092" s="38">
        <v>2.0</v>
      </c>
      <c r="F5092" s="40">
        <v>78.45</v>
      </c>
      <c r="G5092" s="11">
        <v>213524.0</v>
      </c>
      <c r="H5092" s="34" t="str">
        <f>IFERROR(__xludf.DUMMYFUNCTION("LOWER(REGEXREPLACE(B5092&amp;"" ""&amp;C5092,""[^а-яa-z0-9 ]"","" ""))")," иния нейтральная сервисная       160 70   ержавеющая сталь   каф с 2 полками без дверей   азмер  1600x700x850 1300мм ")</f>
        <v> иния нейтральная сервисная       160 70   ержавеющая сталь   каф с 2 полками без дверей   азмер  1600x700x850 1300мм </v>
      </c>
    </row>
    <row r="5093">
      <c r="A5093" s="35" t="s">
        <v>12062</v>
      </c>
      <c r="B5093" s="31" t="s">
        <v>12063</v>
      </c>
      <c r="C5093" s="31"/>
      <c r="D5093" s="37" t="s">
        <v>14</v>
      </c>
      <c r="E5093" s="38">
        <v>2.0</v>
      </c>
      <c r="F5093" s="40">
        <v>43.72</v>
      </c>
      <c r="G5093" s="11">
        <v>140063.0</v>
      </c>
      <c r="H5093" s="34" t="str">
        <f>IFERROR(__xludf.DUMMYFUNCTION("LOWER(REGEXREPLACE(B5093&amp;"" ""&amp;C5093,""[^а-яa-z0-9 ]"","" ""))")," тол нейтральный сервисной линии        120 70   ержавеющая сталь   азмер  1200x700x850 1300мм ")</f>
        <v> тол нейтральный сервисной линии        120 70   ержавеющая сталь   азмер  1200x700x850 1300мм </v>
      </c>
    </row>
    <row r="5094">
      <c r="A5094" s="35" t="s">
        <v>12064</v>
      </c>
      <c r="B5094" s="31" t="s">
        <v>12065</v>
      </c>
      <c r="C5094" s="31"/>
      <c r="D5094" s="37" t="s">
        <v>14</v>
      </c>
      <c r="E5094" s="38">
        <v>2.0</v>
      </c>
      <c r="F5094" s="40">
        <v>49.19</v>
      </c>
      <c r="G5094" s="11">
        <v>151235.0</v>
      </c>
      <c r="H5094" s="34" t="str">
        <f>IFERROR(__xludf.DUMMYFUNCTION("LOWER(REGEXREPLACE(B5094&amp;"" ""&amp;C5094,""[^а-яa-z0-9 ]"","" ""))")," тол нейтральный сервисной линии        140 70   ержавеющая сталь   азмер  1400x700x850 1300мм ")</f>
        <v> тол нейтральный сервисной линии        140 70   ержавеющая сталь   азмер  1400x700x850 1300мм </v>
      </c>
    </row>
    <row r="5095">
      <c r="A5095" s="35" t="s">
        <v>12066</v>
      </c>
      <c r="B5095" s="31" t="s">
        <v>12067</v>
      </c>
      <c r="C5095" s="31"/>
      <c r="D5095" s="37" t="s">
        <v>14</v>
      </c>
      <c r="E5095" s="38">
        <v>2.0</v>
      </c>
      <c r="F5095" s="40">
        <v>55.52</v>
      </c>
      <c r="G5095" s="11">
        <v>161735.0</v>
      </c>
      <c r="H5095" s="34" t="str">
        <f>IFERROR(__xludf.DUMMYFUNCTION("LOWER(REGEXREPLACE(B5095&amp;"" ""&amp;C5095,""[^а-яa-z0-9 ]"","" ""))")," тол нейтральный сервисной линии        160 70   ержавеющая сталь   азмер  1600x700x850 1300мм ")</f>
        <v> тол нейтральный сервисной линии        160 70   ержавеющая сталь   азмер  1600x700x850 1300мм </v>
      </c>
    </row>
    <row r="5096">
      <c r="A5096" s="35" t="s">
        <v>12068</v>
      </c>
      <c r="B5096" s="31" t="s">
        <v>12069</v>
      </c>
      <c r="C5096" s="31"/>
      <c r="D5096" s="37" t="s">
        <v>14</v>
      </c>
      <c r="E5096" s="38">
        <v>2.0</v>
      </c>
      <c r="F5096" s="38">
        <v>37.0</v>
      </c>
      <c r="G5096" s="11">
        <v>630378.0</v>
      </c>
      <c r="H5096" s="34" t="str">
        <f>IFERROR(__xludf.DUMMYFUNCTION("LOWER(REGEXREPLACE(B5096&amp;"" ""&amp;C5096,""[^а-яa-z0-9 ]"","" ""))")," рилавок общий      1 00 с направляющей для подносов  размеры 1500х700х860 мм  внизу прилавка расположен открытый отсек   ожки регулируемые ")</f>
        <v> рилавок общий      1 00 с направляющей для подносов  размеры 1500х700х860 мм  внизу прилавка расположен открытый отсек   ожки регулируемые </v>
      </c>
    </row>
    <row r="5097">
      <c r="A5097" s="35" t="s">
        <v>12070</v>
      </c>
      <c r="B5097" s="31" t="s">
        <v>12071</v>
      </c>
      <c r="C5097" s="31"/>
      <c r="D5097" s="37" t="s">
        <v>14</v>
      </c>
      <c r="E5097" s="38">
        <v>2.0</v>
      </c>
      <c r="F5097" s="38">
        <v>37.0</v>
      </c>
      <c r="G5097" s="11">
        <v>630378.0</v>
      </c>
      <c r="H5097" s="34" t="str">
        <f>IFERROR(__xludf.DUMMYFUNCTION("LOWER(REGEXREPLACE(B5097&amp;"" ""&amp;C5097,""[^а-яa-z0-9 ]"","" ""))")," рилавок общий      1 01 с направляющей для подносов  размеры 1500х700х850 мм  внизу прилавка расположен открытый отсек   ожки регулируемые ")</f>
        <v> рилавок общий      1 01 с направляющей для подносов  размеры 1500х700х850 мм  внизу прилавка расположен открытый отсек   ожки регулируемые </v>
      </c>
    </row>
    <row r="5098">
      <c r="A5098" s="35" t="s">
        <v>12072</v>
      </c>
      <c r="B5098" s="31" t="s">
        <v>12073</v>
      </c>
      <c r="C5098" s="31"/>
      <c r="D5098" s="37" t="s">
        <v>14</v>
      </c>
      <c r="E5098" s="38">
        <v>2.0</v>
      </c>
      <c r="F5098" s="38">
        <v>42.0</v>
      </c>
      <c r="G5098" s="11">
        <v>650152.0</v>
      </c>
      <c r="H5098" s="34" t="str">
        <f>IFERROR(__xludf.DUMMYFUNCTION("LOWER(REGEXREPLACE(B5098&amp;"" ""&amp;C5098,""[^а-яa-z0-9 ]"","" ""))"),"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f>
        <v>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v>
      </c>
    </row>
    <row r="5099">
      <c r="A5099" s="35" t="s">
        <v>12074</v>
      </c>
      <c r="B5099" s="31" t="s">
        <v>12075</v>
      </c>
      <c r="C5099" s="31"/>
      <c r="D5099" s="37" t="s">
        <v>14</v>
      </c>
      <c r="E5099" s="10"/>
      <c r="F5099" s="36"/>
      <c r="G5099" s="11"/>
      <c r="H5099" s="34" t="str">
        <f>IFERROR(__xludf.DUMMYFUNCTION("LOWER(REGEXREPLACE(B5099&amp;"" ""&amp;C5099,""[^а-яa-z0-9 ]"","" ""))")," абина кассовая ")</f>
        <v> абина кассовая </v>
      </c>
    </row>
    <row r="5100">
      <c r="A5100" s="35" t="s">
        <v>12076</v>
      </c>
      <c r="B5100" s="31" t="s">
        <v>12077</v>
      </c>
      <c r="C5100" s="31"/>
      <c r="D5100" s="37" t="s">
        <v>14</v>
      </c>
      <c r="E5100" s="38">
        <v>2.0</v>
      </c>
      <c r="F5100" s="40">
        <v>44.25</v>
      </c>
      <c r="G5100" s="11">
        <v>153244.0</v>
      </c>
      <c r="H5100" s="34" t="str">
        <f>IFERROR(__xludf.DUMMYFUNCTION("LOWER(REGEXREPLACE(B5100&amp;"" ""&amp;C5100,""[^а-яa-z0-9 ]"","" ""))")," иния кассирная       140 70   ержавеющая сталь   каф без дверей  с ползунком для подноса   азмер  1400x700x850мм ")</f>
        <v> иния кассирная       140 70   ержавеющая сталь   каф без дверей  с ползунком для подноса   азмер  1400x700x850мм </v>
      </c>
    </row>
    <row r="5101">
      <c r="A5101" s="35" t="s">
        <v>12078</v>
      </c>
      <c r="B5101" s="31" t="s">
        <v>12079</v>
      </c>
      <c r="C5101" s="31"/>
      <c r="D5101" s="37" t="s">
        <v>14</v>
      </c>
      <c r="E5101" s="38">
        <v>2.0</v>
      </c>
      <c r="F5101" s="38">
        <v>60.0</v>
      </c>
      <c r="G5101" s="11">
        <v>418552.0</v>
      </c>
      <c r="H5101" s="34" t="str">
        <f>IFERROR(__xludf.DUMMYFUNCTION("LOWER(REGEXREPLACE(B5101&amp;"" ""&amp;C5101,""[^а-яa-z0-9 ]"","" ""))")," абина кассовая      1 00  размеры 1120х1030х870 мм  внизу дополнительная полка и розетка 220    аправляющие для подносов входят в комплект ")</f>
        <v> абина кассовая      1 00  размеры 1120х1030х870 мм  внизу дополнительная полка и розетка 220    аправляющие для подносов входят в комплект </v>
      </c>
    </row>
    <row r="5102">
      <c r="A5102" s="35" t="s">
        <v>12080</v>
      </c>
      <c r="B5102" s="31" t="s">
        <v>12081</v>
      </c>
      <c r="C5102" s="31"/>
      <c r="D5102" s="36"/>
      <c r="E5102" s="10"/>
      <c r="F5102" s="36"/>
      <c r="G5102" s="11"/>
      <c r="H5102" s="34" t="str">
        <f>IFERROR(__xludf.DUMMYFUNCTION("LOWER(REGEXREPLACE(B5102&amp;"" ""&amp;C5102,""[^а-яa-z0-9 ]"","" ""))")," рачечное оборудование ")</f>
        <v> рачечное оборудование </v>
      </c>
    </row>
    <row r="5103">
      <c r="A5103" s="35" t="s">
        <v>12082</v>
      </c>
      <c r="B5103" s="31" t="s">
        <v>12083</v>
      </c>
      <c r="C5103" s="31"/>
      <c r="D5103" s="37" t="s">
        <v>14</v>
      </c>
      <c r="E5103" s="10"/>
      <c r="F5103" s="38">
        <v>106.0</v>
      </c>
      <c r="G5103" s="11">
        <v>1700000.0</v>
      </c>
      <c r="H5103" s="34" t="str">
        <f>IFERROR(__xludf.DUMMYFUNCTION("LOWER(REGEXREPLACE(B5103&amp;"" ""&amp;C5103,""[^а-яa-z0-9 ]"","" ""))")," аток гладильный 1400    1840х420х1003 мм  35 кг ч  ")</f>
        <v> аток гладильный 1400    1840х420х1003 мм  35 кг ч  </v>
      </c>
    </row>
    <row r="5104">
      <c r="A5104" s="35" t="s">
        <v>12084</v>
      </c>
      <c r="B5104" s="31" t="s">
        <v>12085</v>
      </c>
      <c r="C5104" s="31"/>
      <c r="D5104" s="37" t="s">
        <v>14</v>
      </c>
      <c r="E5104" s="10"/>
      <c r="F5104" s="38">
        <v>221.0</v>
      </c>
      <c r="G5104" s="11">
        <v>4320055.0</v>
      </c>
      <c r="H5104" s="34" t="str">
        <f>IFERROR(__xludf.DUMMYFUNCTION("LOWER(REGEXREPLACE(B5104&amp;"" ""&amp;C5104,""[^а-яa-z0-9 ]"","" ""))")," аток гладильный 160 30     2090х552х1073 мм  50 кг ч  ")</f>
        <v> аток гладильный 160 30     2090х552х1073 мм  50 кг ч  </v>
      </c>
    </row>
    <row r="5105">
      <c r="A5105" s="35" t="s">
        <v>12086</v>
      </c>
      <c r="B5105" s="31" t="s">
        <v>12087</v>
      </c>
      <c r="C5105" s="31"/>
      <c r="D5105" s="37" t="s">
        <v>14</v>
      </c>
      <c r="E5105" s="10"/>
      <c r="F5105" s="38">
        <v>177.0</v>
      </c>
      <c r="G5105" s="11">
        <v>2228571.0</v>
      </c>
      <c r="H5105" s="34" t="str">
        <f>IFERROR(__xludf.DUMMYFUNCTION("LOWER(REGEXREPLACE(B5105&amp;"" ""&amp;C5105,""[^а-яa-z0-9 ]"","" ""))")," ашина стирально сушильная мод    3     403  01 загрузка  стирка    10 2 кг  загрузка  сушка    10 2 кг ")</f>
        <v> ашина стирально сушильная мод    3     403  01 загрузка  стирка    10 2 кг  загрузка  сушка    10 2 кг </v>
      </c>
    </row>
    <row r="5106">
      <c r="A5106" s="35" t="s">
        <v>12088</v>
      </c>
      <c r="B5106" s="31" t="s">
        <v>12089</v>
      </c>
      <c r="C5106" s="31"/>
      <c r="D5106" s="37" t="s">
        <v>14</v>
      </c>
      <c r="E5106" s="10"/>
      <c r="F5106" s="38">
        <v>118.0</v>
      </c>
      <c r="G5106" s="11">
        <v>1204668.0</v>
      </c>
      <c r="H5106" s="34" t="str">
        <f>IFERROR(__xludf.DUMMYFUNCTION("LOWER(REGEXREPLACE(B5106&amp;"" ""&amp;C5106,""[^а-яa-z0-9 ]"","" ""))")," тиральная машина     peed  ueen мод    3     403  22  загрузка   10 2 кг ")</f>
        <v> тиральная машина     peed  ueen мод    3     403  22  загрузка   10 2 кг </v>
      </c>
    </row>
    <row r="5107">
      <c r="A5107" s="35" t="s">
        <v>12090</v>
      </c>
      <c r="B5107" s="31" t="s">
        <v>12091</v>
      </c>
      <c r="C5107" s="31"/>
      <c r="D5107" s="37" t="s">
        <v>14</v>
      </c>
      <c r="E5107" s="10"/>
      <c r="F5107" s="38">
        <v>23.0</v>
      </c>
      <c r="G5107" s="11">
        <v>351648.0</v>
      </c>
      <c r="H5107" s="34" t="str">
        <f>IFERROR(__xludf.DUMMYFUNCTION("LOWER(REGEXREPLACE(B5107&amp;"" ""&amp;C5107,""[^а-яa-z0-9 ]"","" ""))")," тол гладильный мод   mega 2000  1100х370х900  ")</f>
        <v> тол гладильный мод   mega 2000  1100х370х900  </v>
      </c>
    </row>
    <row r="5108">
      <c r="A5108" s="35" t="s">
        <v>12092</v>
      </c>
      <c r="B5108" s="31" t="s">
        <v>12093</v>
      </c>
      <c r="C5108" s="31"/>
      <c r="D5108" s="37" t="s">
        <v>14</v>
      </c>
      <c r="E5108" s="10"/>
      <c r="F5108" s="38">
        <v>8.0</v>
      </c>
      <c r="G5108" s="11">
        <v>244505.0</v>
      </c>
      <c r="H5108" s="34" t="str">
        <f>IFERROR(__xludf.DUMMYFUNCTION("LOWER(REGEXREPLACE(B5108&amp;"" ""&amp;C5108,""[^а-яa-z0-9 ]"","" ""))")," тюг гладильный мод   ony  aby 1 8 ")</f>
        <v> тюг гладильный мод   ony  aby 1 8 </v>
      </c>
    </row>
    <row r="5109">
      <c r="A5109" s="35" t="s">
        <v>12094</v>
      </c>
      <c r="B5109" s="31" t="s">
        <v>12095</v>
      </c>
      <c r="C5109" s="31"/>
      <c r="D5109" s="37" t="s">
        <v>14</v>
      </c>
      <c r="E5109" s="10"/>
      <c r="F5109" s="36"/>
      <c r="G5109" s="11">
        <v>328571.0</v>
      </c>
      <c r="H5109" s="34" t="str">
        <f>IFERROR(__xludf.DUMMYFUNCTION("LOWER(REGEXREPLACE(B5109&amp;"" ""&amp;C5109,""[^а-яa-z0-9 ]"","" ""))")," тюг гладильный мод   ony  aby 2 3 ")</f>
        <v> тюг гладильный мод   ony  aby 2 3 </v>
      </c>
    </row>
    <row r="5110">
      <c r="A5110" s="35" t="s">
        <v>12096</v>
      </c>
      <c r="B5110" s="31" t="s">
        <v>9910</v>
      </c>
      <c r="C5110" s="31"/>
      <c r="D5110" s="37" t="s">
        <v>14</v>
      </c>
      <c r="E5110" s="10"/>
      <c r="F5110" s="36"/>
      <c r="G5110" s="11"/>
      <c r="H5110" s="34" t="str">
        <f>IFERROR(__xludf.DUMMYFUNCTION("LOWER(REGEXREPLACE(B5110&amp;"" ""&amp;C5110,""[^а-яa-z0-9 ]"","" ""))")," тюг ")</f>
        <v> тюг </v>
      </c>
    </row>
    <row r="5111">
      <c r="A5111" s="35" t="s">
        <v>12097</v>
      </c>
      <c r="B5111" s="31" t="s">
        <v>12098</v>
      </c>
      <c r="C5111" s="31" t="s">
        <v>12099</v>
      </c>
      <c r="D5111" s="37" t="s">
        <v>14</v>
      </c>
      <c r="E5111" s="38">
        <v>2.0</v>
      </c>
      <c r="F5111" s="39">
        <v>7.5</v>
      </c>
      <c r="G5111" s="11">
        <v>349207.0</v>
      </c>
      <c r="H5111" s="34" t="str">
        <f>IFERROR(__xludf.DUMMYFUNCTION("LOWER(REGEXREPLACE(B5111&amp;"" ""&amp;C5111,""[^а-яa-z0-9 ]"","" ""))"),"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комп"&amp;"лекте   абочее давление пара 2 5 бар   ремя непрерывной работы 2   2 5ч ")</f>
        <v>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комплекте   абочее давление пара 2 5 бар   ремя непрерывной работы 2   2 5ч </v>
      </c>
    </row>
    <row r="5112">
      <c r="A5112" s="35" t="s">
        <v>12100</v>
      </c>
      <c r="B5112" s="31" t="s">
        <v>12101</v>
      </c>
      <c r="C5112" s="31" t="s">
        <v>12102</v>
      </c>
      <c r="D5112" s="37" t="s">
        <v>14</v>
      </c>
      <c r="E5112" s="38">
        <v>2.0</v>
      </c>
      <c r="F5112" s="39">
        <v>11.2</v>
      </c>
      <c r="G5112" s="11">
        <v>540820.0</v>
      </c>
      <c r="H5112" s="34" t="str">
        <f>IFERROR(__xludf.DUMMYFUNCTION("LOWER(REGEXREPLACE(B5112&amp;"" ""&amp;C5112,""[^а-яa-z0-9 ]"","" ""))"),"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комп"&amp;"лекте   абочее давление пара 3 5 бар   ремя непрерывной работы до 4 5ч ")</f>
        <v>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комплекте   абочее давление пара 3 5 бар   ремя непрерывной работы до 4 5ч </v>
      </c>
    </row>
    <row r="5113">
      <c r="A5113" s="8" t="s">
        <v>12103</v>
      </c>
      <c r="B5113" s="30"/>
      <c r="C5113" s="31"/>
      <c r="D5113" s="30"/>
      <c r="E5113" s="32"/>
      <c r="F5113" s="30"/>
      <c r="G5113" s="33"/>
      <c r="H5113" s="34" t="str">
        <f>IFERROR(__xludf.DUMMYFUNCTION("LOWER(REGEXREPLACE(B5113&amp;"" ""&amp;C5113,""[^а-яa-z0-9 ]"","" ""))")," ")</f>
        <v> </v>
      </c>
    </row>
    <row r="5114">
      <c r="A5114" s="13" t="s">
        <v>12104</v>
      </c>
      <c r="B5114" s="30"/>
      <c r="C5114" s="31"/>
      <c r="D5114" s="30"/>
      <c r="E5114" s="32"/>
      <c r="F5114" s="30"/>
      <c r="G5114" s="33"/>
      <c r="H5114" s="34"/>
    </row>
    <row r="5115">
      <c r="A5115" s="44" t="s">
        <v>12105</v>
      </c>
      <c r="B5115" s="45" t="s">
        <v>12106</v>
      </c>
      <c r="C5115" s="45"/>
      <c r="D5115" s="46"/>
      <c r="E5115" s="47"/>
      <c r="F5115" s="46"/>
      <c r="G5115" s="48"/>
      <c r="H5115" s="49" t="str">
        <f>IFERROR(__xludf.DUMMYFUNCTION("LOWER(REGEXREPLACE(B5115&amp;"" ""&amp;C5115,""[^а-яa-z0-9 ]"","" ""))")," борудование для логопедических занятий ")</f>
        <v> борудование для логопедических занятий </v>
      </c>
    </row>
    <row r="5116">
      <c r="A5116" s="20" t="s">
        <v>12107</v>
      </c>
      <c r="B5116" s="26" t="s">
        <v>12108</v>
      </c>
      <c r="C5116" s="15"/>
      <c r="D5116" s="21" t="s">
        <v>14</v>
      </c>
      <c r="E5116" s="17"/>
      <c r="F5116" s="16"/>
      <c r="G5116" s="18"/>
      <c r="H5116" s="19" t="str">
        <f>IFERROR(__xludf.DUMMYFUNCTION("LOWER(REGEXREPLACE(B5116&amp;"" ""&amp;C5116,""[^а-яa-z0-9 ]"","" ""))")," еркало для индивидуальных логопедических занятий ")</f>
        <v> еркало для индивидуальных логопедических занятий </v>
      </c>
    </row>
    <row r="5117">
      <c r="A5117" s="20" t="s">
        <v>12109</v>
      </c>
      <c r="B5117" s="15" t="s">
        <v>12110</v>
      </c>
      <c r="C5117" s="15"/>
      <c r="D5117" s="21" t="s">
        <v>14</v>
      </c>
      <c r="E5117" s="23">
        <v>2.0</v>
      </c>
      <c r="F5117" s="28">
        <v>1.6</v>
      </c>
      <c r="G5117" s="18">
        <v>58768.0</v>
      </c>
      <c r="H5117" s="19" t="str">
        <f>IFERROR(__xludf.DUMMYFUNCTION("LOWER(REGEXREPLACE(B5117&amp;"" ""&amp;C5117,""[^а-яa-z0-9 ]"","" ""))")," еркало для индивидуальных логопедических занятий   кладное  переносное  из оргстекла в футляре типа  нт парк 27513 ")</f>
        <v> еркало для индивидуальных логопедических занятий   кладное  переносное  из оргстекла в футляре типа  нт парк 27513 </v>
      </c>
    </row>
    <row r="5118">
      <c r="A5118" s="20" t="s">
        <v>12111</v>
      </c>
      <c r="B5118" s="26" t="s">
        <v>12112</v>
      </c>
      <c r="C5118" s="15"/>
      <c r="D5118" s="21" t="s">
        <v>14</v>
      </c>
      <c r="E5118" s="17"/>
      <c r="F5118" s="16"/>
      <c r="G5118" s="18"/>
      <c r="H5118" s="19" t="str">
        <f>IFERROR(__xludf.DUMMYFUNCTION("LOWER(REGEXREPLACE(B5118&amp;"" ""&amp;C5118,""[^а-яa-z0-9 ]"","" ""))")," ренажер на базе персонального компьютера для развития звуко произносительной и лексико грамматической стороны речи ")</f>
        <v> ренажер на базе персонального компьютера для развития звуко произносительной и лексико грамматической стороны речи </v>
      </c>
    </row>
    <row r="5119">
      <c r="A5119" s="20" t="s">
        <v>12113</v>
      </c>
      <c r="B5119" s="15" t="s">
        <v>12114</v>
      </c>
      <c r="C5119" s="15"/>
      <c r="D5119" s="21" t="s">
        <v>14</v>
      </c>
      <c r="E5119" s="17"/>
      <c r="F5119" s="16"/>
      <c r="G5119" s="18">
        <v>866012.0</v>
      </c>
      <c r="H5119" s="19" t="str">
        <f>IFERROR(__xludf.DUMMYFUNCTION("LOWER(REGEXREPLACE(B5119&amp;"" ""&amp;C5119,""[^а-яa-z0-9 ]"","" ""))")," огопедический тренажер   ельфа 142 1   модификация 1 7 с персональным компьютером ")</f>
        <v> огопедический тренажер   ельфа 142 1   модификация 1 7 с персональным компьютером </v>
      </c>
    </row>
    <row r="5120">
      <c r="A5120" s="20" t="s">
        <v>12115</v>
      </c>
      <c r="B5120" s="15" t="s">
        <v>12116</v>
      </c>
      <c r="C5120" s="15"/>
      <c r="D5120" s="21" t="s">
        <v>14</v>
      </c>
      <c r="E5120" s="17"/>
      <c r="F5120" s="16"/>
      <c r="G5120" s="18">
        <v>969934.0</v>
      </c>
      <c r="H5120" s="19" t="str">
        <f>IFERROR(__xludf.DUMMYFUNCTION("LOWER(REGEXREPLACE(B5120&amp;"" ""&amp;C5120,""[^а-яa-z0-9 ]"","" ""))")," огопедический тренажер   ельфа 142 1   модификация 2 2 с персональным компьютером ")</f>
        <v> огопедический тренажер   ельфа 142 1   модификация 2 2 с персональным компьютером </v>
      </c>
    </row>
    <row r="5121">
      <c r="A5121" s="20" t="s">
        <v>12117</v>
      </c>
      <c r="B5121" s="15" t="s">
        <v>12118</v>
      </c>
      <c r="C5121" s="15"/>
      <c r="D5121" s="21" t="s">
        <v>14</v>
      </c>
      <c r="E5121" s="17"/>
      <c r="F5121" s="16"/>
      <c r="G5121" s="18">
        <v>848692.0</v>
      </c>
      <c r="H5121" s="19" t="str">
        <f>IFERROR(__xludf.DUMMYFUNCTION("LOWER(REGEXREPLACE(B5121&amp;"" ""&amp;C5121,""[^а-яa-z0-9 ]"","" ""))")," огопедический тренажер   ельфа 142 1   модификация        с персональным компьютером ")</f>
        <v> огопедический тренажер   ельфа 142 1   модификация        с персональным компьютером </v>
      </c>
    </row>
    <row r="5122">
      <c r="A5122" s="20" t="s">
        <v>12119</v>
      </c>
      <c r="B5122" s="26" t="s">
        <v>12120</v>
      </c>
      <c r="C5122" s="15"/>
      <c r="D5122" s="21" t="s">
        <v>14</v>
      </c>
      <c r="E5122" s="23">
        <v>2.0</v>
      </c>
      <c r="F5122" s="27">
        <v>2.35</v>
      </c>
      <c r="G5122" s="18">
        <v>264891.0</v>
      </c>
      <c r="H5122" s="19" t="str">
        <f>IFERROR(__xludf.DUMMYFUNCTION("LOWER(REGEXREPLACE(B5122&amp;"" ""&amp;C5122,""[^а-яa-z0-9 ]"","" ""))")," ренажер для развития звуко произносительной и лексико грамматической стороны речи типа  нт парк 27514 ")</f>
        <v> ренажер для развития звуко произносительной и лексико грамматической стороны речи типа  нт парк 27514 </v>
      </c>
    </row>
    <row r="5123">
      <c r="A5123" s="20" t="s">
        <v>12121</v>
      </c>
      <c r="B5123" s="15" t="s">
        <v>12122</v>
      </c>
      <c r="C5123" s="15"/>
      <c r="D5123" s="21" t="s">
        <v>14</v>
      </c>
      <c r="E5123" s="17"/>
      <c r="F5123" s="16"/>
      <c r="G5123" s="18"/>
      <c r="H5123" s="19" t="str">
        <f>IFERROR(__xludf.DUMMYFUNCTION("LOWER(REGEXREPLACE(B5123&amp;"" ""&amp;C5123,""[^а-яa-z0-9 ]"","" ""))")," ечевой тренажер для усвоения и развития элементарной речевой коммуникации ")</f>
        <v> ечевой тренажер для усвоения и развития элементарной речевой коммуникации </v>
      </c>
    </row>
    <row r="5124">
      <c r="A5124" s="20" t="s">
        <v>12123</v>
      </c>
      <c r="B5124" s="15" t="s">
        <v>12124</v>
      </c>
      <c r="C5124" s="15"/>
      <c r="D5124" s="21" t="s">
        <v>14</v>
      </c>
      <c r="E5124" s="17"/>
      <c r="F5124" s="16"/>
      <c r="G5124" s="18">
        <v>181863.0</v>
      </c>
      <c r="H5124" s="19" t="str">
        <f>IFERROR(__xludf.DUMMYFUNCTION("LOWER(REGEXREPLACE(B5124&amp;"" ""&amp;C5124,""[^а-яa-z0-9 ]"","" ""))")," o alk 4   настольное речевое устройство с 4 окнами для изображений  имеет 5 уровней записи ")</f>
        <v> o alk 4   настольное речевое устройство с 4 окнами для изображений  имеет 5 уровней записи </v>
      </c>
    </row>
    <row r="5125">
      <c r="A5125" s="20" t="s">
        <v>12125</v>
      </c>
      <c r="B5125" s="15" t="s">
        <v>12126</v>
      </c>
      <c r="C5125" s="15"/>
      <c r="D5125" s="21" t="s">
        <v>14</v>
      </c>
      <c r="E5125" s="17"/>
      <c r="F5125" s="16"/>
      <c r="G5125" s="18">
        <v>155882.0</v>
      </c>
      <c r="H5125" s="19" t="str">
        <f>IFERROR(__xludf.DUMMYFUNCTION("LOWER(REGEXREPLACE(B5125&amp;"" ""&amp;C5125,""[^а-яa-z0-9 ]"","" ""))")," o alk 9   настольное речевое устройство с 9 окнами для изображений  имеет 5 уровней записи ")</f>
        <v> o alk 9   настольное речевое устройство с 9 окнами для изображений  имеет 5 уровней записи </v>
      </c>
    </row>
    <row r="5126">
      <c r="A5126" s="20" t="s">
        <v>12127</v>
      </c>
      <c r="B5126" s="15" t="s">
        <v>12128</v>
      </c>
      <c r="C5126" s="15"/>
      <c r="D5126" s="21" t="s">
        <v>14</v>
      </c>
      <c r="E5126" s="17"/>
      <c r="F5126" s="16"/>
      <c r="G5126" s="18">
        <v>155882.0</v>
      </c>
      <c r="H5126" s="19" t="str">
        <f>IFERROR(__xludf.DUMMYFUNCTION("LOWER(REGEXREPLACE(B5126&amp;"" ""&amp;C5126,""[^а-яa-z0-9 ]"","" ""))")," o alk 20   настольное речевое устройство с 20 окнами для изображений  имеет 5 уровней записи ")</f>
        <v> o alk 20   настольное речевое устройство с 20 окнами для изображений  имеет 5 уровней записи </v>
      </c>
    </row>
    <row r="5127">
      <c r="A5127" s="20" t="s">
        <v>12129</v>
      </c>
      <c r="B5127" s="15" t="s">
        <v>12130</v>
      </c>
      <c r="C5127" s="15"/>
      <c r="D5127" s="16"/>
      <c r="E5127" s="17"/>
      <c r="F5127" s="16"/>
      <c r="G5127" s="18"/>
      <c r="H5127" s="19" t="str">
        <f>IFERROR(__xludf.DUMMYFUNCTION("LOWER(REGEXREPLACE(B5127&amp;"" ""&amp;C5127,""[^а-яa-z0-9 ]"","" ""))")," борудование организаций образования для детей с нарушениями слуха ")</f>
        <v> борудование организаций образования для детей с нарушениями слуха </v>
      </c>
    </row>
    <row r="5128">
      <c r="A5128" s="20" t="s">
        <v>12131</v>
      </c>
      <c r="B5128" s="15" t="s">
        <v>12132</v>
      </c>
      <c r="C5128" s="15"/>
      <c r="D5128" s="21" t="s">
        <v>68</v>
      </c>
      <c r="E5128" s="17"/>
      <c r="F5128" s="16"/>
      <c r="G5128" s="18"/>
      <c r="H5128" s="19" t="str">
        <f>IFERROR(__xludf.DUMMYFUNCTION("LOWER(REGEXREPLACE(B5128&amp;"" ""&amp;C5128,""[^а-яa-z0-9 ]"","" ""))")," омплект для психолого педагогического обследования детей с нарушением слуха ")</f>
        <v> омплект для психолого педагогического обследования детей с нарушением слуха </v>
      </c>
    </row>
    <row r="5129">
      <c r="A5129" s="20" t="s">
        <v>12133</v>
      </c>
      <c r="B5129" s="26" t="s">
        <v>12134</v>
      </c>
      <c r="C5129" s="15"/>
      <c r="D5129" s="21" t="s">
        <v>68</v>
      </c>
      <c r="E5129" s="17"/>
      <c r="F5129" s="16"/>
      <c r="G5129" s="18">
        <v>159346.0</v>
      </c>
      <c r="H5129" s="19" t="str">
        <f>IFERROR(__xludf.DUMMYFUNCTION("LOWER(REGEXREPLACE(B5129&amp;"" ""&amp;C5129,""[^а-яa-z0-9 ]"","" ""))")," омплект  1 для психолого педагогического обследования детей с подозрением на снижение слуха ")</f>
        <v> омплект  1 для психолого педагогического обследования детей с подозрением на снижение слуха </v>
      </c>
    </row>
    <row r="5130">
      <c r="A5130" s="20" t="s">
        <v>12135</v>
      </c>
      <c r="B5130" s="15" t="s">
        <v>12136</v>
      </c>
      <c r="C5130" s="15"/>
      <c r="D5130" s="21" t="s">
        <v>68</v>
      </c>
      <c r="E5130" s="17"/>
      <c r="F5130" s="16"/>
      <c r="G5130" s="18">
        <v>55252.0</v>
      </c>
      <c r="H5130" s="19" t="str">
        <f>IFERROR(__xludf.DUMMYFUNCTION("LOWER(REGEXREPLACE(B5130&amp;"" ""&amp;C5130,""[^а-яa-z0-9 ]"","" ""))")," омплект  2 для педагогического обследования детей раннего и дошкольного возраста с подозрением на снижение слуха ")</f>
        <v> омплект  2 для педагогического обследования детей раннего и дошкольного возраста с подозрением на снижение слуха </v>
      </c>
    </row>
    <row r="5131">
      <c r="A5131" s="20" t="s">
        <v>12137</v>
      </c>
      <c r="B5131" s="15" t="s">
        <v>12138</v>
      </c>
      <c r="C5131" s="15"/>
      <c r="D5131" s="16"/>
      <c r="E5131" s="17"/>
      <c r="F5131" s="16"/>
      <c r="G5131" s="18"/>
      <c r="H5131" s="19" t="str">
        <f>IFERROR(__xludf.DUMMYFUNCTION("LOWER(REGEXREPLACE(B5131&amp;"" ""&amp;C5131,""[^а-яa-z0-9 ]"","" ""))")," борудование организаций образования для детей с нарушениями зрения ")</f>
        <v> борудование организаций образования для детей с нарушениями зрения </v>
      </c>
    </row>
    <row r="5132">
      <c r="A5132" s="20" t="s">
        <v>12139</v>
      </c>
      <c r="B5132" s="15" t="s">
        <v>12140</v>
      </c>
      <c r="C5132" s="15"/>
      <c r="D5132" s="21" t="s">
        <v>14</v>
      </c>
      <c r="E5132" s="17"/>
      <c r="F5132" s="16"/>
      <c r="G5132" s="18">
        <v>1.5225E7</v>
      </c>
      <c r="H5132" s="19" t="str">
        <f>IFERROR(__xludf.DUMMYFUNCTION("LOWER(REGEXREPLACE(B5132&amp;"" ""&amp;C5132,""[^а-яa-z0-9 ]"","" ""))")," ериметр настольный ")</f>
        <v> ериметр настольный </v>
      </c>
    </row>
    <row r="5133">
      <c r="A5133" s="20" t="s">
        <v>12141</v>
      </c>
      <c r="B5133" s="15" t="s">
        <v>12142</v>
      </c>
      <c r="C5133" s="15"/>
      <c r="D5133" s="21" t="s">
        <v>14</v>
      </c>
      <c r="E5133" s="17"/>
      <c r="F5133" s="16"/>
      <c r="G5133" s="18">
        <v>7760714.0</v>
      </c>
      <c r="H5133" s="19" t="str">
        <f>IFERROR(__xludf.DUMMYFUNCTION("LOWER(REGEXREPLACE(B5133&amp;"" ""&amp;C5133,""[^а-яa-z0-9 ]"","" ""))")," мблиокор ")</f>
        <v> мблиокор </v>
      </c>
    </row>
    <row r="5134">
      <c r="A5134" s="50" t="s">
        <v>12143</v>
      </c>
      <c r="B5134" s="51" t="s">
        <v>4789</v>
      </c>
      <c r="C5134" s="15"/>
      <c r="D5134" s="52"/>
      <c r="E5134" s="53"/>
      <c r="F5134" s="52"/>
      <c r="G5134" s="18"/>
      <c r="H5134" s="19" t="str">
        <f>IFERROR(__xludf.DUMMYFUNCTION("LOWER(REGEXREPLACE(B5134&amp;"" ""&amp;C5134,""[^а-яa-z0-9 ]"","" ""))")," ал лечебной физкультуры ")</f>
        <v> ал лечебной физкультуры </v>
      </c>
    </row>
    <row r="5135">
      <c r="A5135" s="20" t="s">
        <v>12144</v>
      </c>
      <c r="B5135" s="15" t="s">
        <v>12145</v>
      </c>
      <c r="C5135" s="15"/>
      <c r="D5135" s="21" t="s">
        <v>14</v>
      </c>
      <c r="E5135" s="17"/>
      <c r="F5135" s="16"/>
      <c r="G5135" s="18"/>
      <c r="H5135" s="19" t="str">
        <f>IFERROR(__xludf.DUMMYFUNCTION("LOWER(REGEXREPLACE(B5135&amp;"" ""&amp;C5135,""[^а-яa-z0-9 ]"","" ""))")," еркало настенное ")</f>
        <v> еркало настенное </v>
      </c>
    </row>
    <row r="5136">
      <c r="A5136" s="20" t="s">
        <v>12146</v>
      </c>
      <c r="B5136" s="15" t="s">
        <v>12147</v>
      </c>
      <c r="C5136" s="15"/>
      <c r="D5136" s="21" t="s">
        <v>14</v>
      </c>
      <c r="E5136" s="23">
        <v>1.0</v>
      </c>
      <c r="F5136" s="28">
        <v>2.8</v>
      </c>
      <c r="G5136" s="18">
        <v>8588.0</v>
      </c>
      <c r="H5136" s="19" t="str">
        <f>IFERROR(__xludf.DUMMYFUNCTION("LOWER(REGEXREPLACE(B5136&amp;"" ""&amp;C5136,""[^а-яa-z0-9 ]"","" ""))")," еркало настенное 600х800 мм ")</f>
        <v> еркало настенное 600х800 мм </v>
      </c>
    </row>
    <row r="5137">
      <c r="A5137" s="20" t="s">
        <v>12148</v>
      </c>
      <c r="B5137" s="15" t="s">
        <v>12149</v>
      </c>
      <c r="C5137" s="15"/>
      <c r="D5137" s="21" t="s">
        <v>14</v>
      </c>
      <c r="E5137" s="17"/>
      <c r="F5137" s="16"/>
      <c r="G5137" s="18">
        <v>1286894.0</v>
      </c>
      <c r="H5137" s="19" t="str">
        <f>IFERROR(__xludf.DUMMYFUNCTION("LOWER(REGEXREPLACE(B5137&amp;"" ""&amp;C5137,""[^а-яa-z0-9 ]"","" ""))")," орка для ходьбы ")</f>
        <v> орка для ходьбы </v>
      </c>
    </row>
    <row r="5138">
      <c r="A5138" s="20" t="s">
        <v>12150</v>
      </c>
      <c r="B5138" s="15" t="s">
        <v>12151</v>
      </c>
      <c r="C5138" s="15"/>
      <c r="D5138" s="21" t="s">
        <v>14</v>
      </c>
      <c r="E5138" s="17"/>
      <c r="F5138" s="16"/>
      <c r="G5138" s="18"/>
      <c r="H5138" s="19" t="str">
        <f>IFERROR(__xludf.DUMMYFUNCTION("LOWER(REGEXREPLACE(B5138&amp;"" ""&amp;C5138,""[^а-яa-z0-9 ]"","" ""))")," актильная дорожка ")</f>
        <v> актильная дорожка </v>
      </c>
    </row>
    <row r="5139">
      <c r="A5139" s="20" t="s">
        <v>12152</v>
      </c>
      <c r="B5139" s="15" t="s">
        <v>12153</v>
      </c>
      <c r="C5139" s="15" t="s">
        <v>12154</v>
      </c>
      <c r="D5139" s="21" t="s">
        <v>14</v>
      </c>
      <c r="E5139" s="17"/>
      <c r="F5139" s="16"/>
      <c r="G5139" s="18">
        <v>255474.0</v>
      </c>
      <c r="H5139" s="19" t="str">
        <f>IFERROR(__xludf.DUMMYFUNCTION("LOWER(REGEXREPLACE(B5139&amp;"" ""&amp;C5139,""[^а-яa-z0-9 ]"","" ""))"),"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р"&amp;"азмера  но имеющих разное покрытие ")</f>
        <v>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размера  но имеющих разное покрытие </v>
      </c>
    </row>
    <row r="5140">
      <c r="A5140" s="20" t="s">
        <v>12155</v>
      </c>
      <c r="B5140" s="15" t="s">
        <v>12156</v>
      </c>
      <c r="C5140" s="15"/>
      <c r="D5140" s="21" t="s">
        <v>14</v>
      </c>
      <c r="E5140" s="23">
        <v>2.0</v>
      </c>
      <c r="F5140" s="24">
        <v>6.0</v>
      </c>
      <c r="G5140" s="18">
        <v>204335.0</v>
      </c>
      <c r="H5140" s="19" t="str">
        <f>IFERROR(__xludf.DUMMYFUNCTION("LOWER(REGEXREPLACE(B5140&amp;"" ""&amp;C5140,""[^а-яa-z0-9 ]"","" ""))")," орожка для профилактики плоскостопии и развития  крупной моторики  ловкости и координации движений  12 шаровых сегментов  типа  нт парк 29550 ")</f>
        <v> орожка для профилактики плоскостопии и развития  крупной моторики  ловкости и координации движений  12 шаровых сегментов  типа  нт парк 29550 </v>
      </c>
    </row>
    <row r="5141">
      <c r="A5141" s="20" t="s">
        <v>12157</v>
      </c>
      <c r="B5141" s="15" t="s">
        <v>12158</v>
      </c>
      <c r="C5141" s="15"/>
      <c r="D5141" s="21" t="s">
        <v>14</v>
      </c>
      <c r="E5141" s="23">
        <v>2.0</v>
      </c>
      <c r="F5141" s="24">
        <v>24.0</v>
      </c>
      <c r="G5141" s="18">
        <v>839941.0</v>
      </c>
      <c r="H5141" s="19" t="str">
        <f>IFERROR(__xludf.DUMMYFUNCTION("LOWER(REGEXREPLACE(B5141&amp;"" ""&amp;C5141,""[^а-яa-z0-9 ]"","" ""))")," орожка тактильная  7 элементов  типа  нт парк 25047 ")</f>
        <v> орожка тактильная  7 элементов  типа  нт парк 25047 </v>
      </c>
    </row>
    <row r="5142">
      <c r="A5142" s="20" t="s">
        <v>12159</v>
      </c>
      <c r="B5142" s="26" t="s">
        <v>12160</v>
      </c>
      <c r="C5142" s="15"/>
      <c r="D5142" s="21" t="s">
        <v>68</v>
      </c>
      <c r="E5142" s="17"/>
      <c r="F5142" s="16"/>
      <c r="G5142" s="18">
        <v>541071.0</v>
      </c>
      <c r="H5142" s="19" t="str">
        <f>IFERROR(__xludf.DUMMYFUNCTION("LOWER(REGEXREPLACE(B5142&amp;"" ""&amp;C5142,""[^а-яa-z0-9 ]"","" ""))")," риспособление двухъярусное для обучения ходьбе для детей с нарушением опорно двигательного аппарата ")</f>
        <v> риспособление двухъярусное для обучения ходьбе для детей с нарушением опорно двигательного аппарата </v>
      </c>
    </row>
    <row r="5143">
      <c r="A5143" s="20" t="s">
        <v>12161</v>
      </c>
      <c r="B5143" s="15" t="s">
        <v>12162</v>
      </c>
      <c r="C5143" s="15"/>
      <c r="D5143" s="21" t="s">
        <v>14</v>
      </c>
      <c r="E5143" s="17"/>
      <c r="F5143" s="16"/>
      <c r="G5143" s="18"/>
      <c r="H5143" s="19" t="str">
        <f>IFERROR(__xludf.DUMMYFUNCTION("LOWER(REGEXREPLACE(B5143&amp;"" ""&amp;C5143,""[^а-яa-z0-9 ]"","" ""))")," анель тактильная ")</f>
        <v> анель тактильная </v>
      </c>
    </row>
    <row r="5144">
      <c r="A5144" s="20" t="s">
        <v>12163</v>
      </c>
      <c r="B5144" s="15" t="s">
        <v>12164</v>
      </c>
      <c r="C5144" s="15" t="s">
        <v>12165</v>
      </c>
      <c r="D5144" s="21" t="s">
        <v>14</v>
      </c>
      <c r="E5144" s="23">
        <v>2.0</v>
      </c>
      <c r="F5144" s="24">
        <v>13.0</v>
      </c>
      <c r="G5144" s="18">
        <v>242332.0</v>
      </c>
      <c r="H5144" s="19" t="str">
        <f>IFERROR(__xludf.DUMMYFUNCTION("LOWER(REGEXREPLACE(B5144&amp;"" ""&amp;C5144,""[^а-яa-z0-9 ]"","" ""))"),"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согла"&amp;"сно цветовым решениям помещения ")</f>
        <v>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5145">
      <c r="A5145" s="20" t="s">
        <v>12166</v>
      </c>
      <c r="B5145" s="15" t="s">
        <v>12167</v>
      </c>
      <c r="C5145" s="15"/>
      <c r="D5145" s="21" t="s">
        <v>14</v>
      </c>
      <c r="E5145" s="17"/>
      <c r="F5145" s="16"/>
      <c r="G5145" s="18"/>
      <c r="H5145" s="19" t="str">
        <f>IFERROR(__xludf.DUMMYFUNCTION("LOWER(REGEXREPLACE(B5145&amp;"" ""&amp;C5145,""[^а-яa-z0-9 ]"","" ""))")," ассажный коврик ")</f>
        <v> ассажный коврик </v>
      </c>
    </row>
    <row r="5146">
      <c r="A5146" s="20" t="s">
        <v>12168</v>
      </c>
      <c r="B5146" s="15" t="s">
        <v>12169</v>
      </c>
      <c r="C5146" s="15"/>
      <c r="D5146" s="21" t="s">
        <v>14</v>
      </c>
      <c r="E5146" s="17"/>
      <c r="F5146" s="16"/>
      <c r="G5146" s="18">
        <v>94395.0</v>
      </c>
      <c r="H5146" s="19" t="str">
        <f>IFERROR(__xludf.DUMMYFUNCTION("LOWER(REGEXREPLACE(B5146&amp;"" ""&amp;C5146,""[^а-яa-z0-9 ]"","" ""))")," ассажный коврик       1  со следочками  размер  190х33х3 см ")</f>
        <v> ассажный коврик       1  со следочками  размер  190х33х3 см </v>
      </c>
    </row>
    <row r="5147">
      <c r="A5147" s="20" t="s">
        <v>12170</v>
      </c>
      <c r="B5147" s="15" t="s">
        <v>12171</v>
      </c>
      <c r="C5147" s="15"/>
      <c r="D5147" s="21" t="s">
        <v>14</v>
      </c>
      <c r="E5147" s="17"/>
      <c r="F5147" s="16"/>
      <c r="G5147" s="18">
        <v>19918.0</v>
      </c>
      <c r="H5147" s="19" t="str">
        <f>IFERROR(__xludf.DUMMYFUNCTION("LOWER(REGEXREPLACE(B5147&amp;"" ""&amp;C5147,""[^а-яa-z0-9 ]"","" ""))")," ассажный коврик       1  со следочками  малый     размер  40х33х3 ")</f>
        <v> ассажный коврик       1  со следочками  малый     размер  40х33х3 </v>
      </c>
    </row>
    <row r="5148">
      <c r="A5148" s="20" t="s">
        <v>12172</v>
      </c>
      <c r="B5148" s="15" t="s">
        <v>12173</v>
      </c>
      <c r="C5148" s="15"/>
      <c r="D5148" s="21" t="s">
        <v>14</v>
      </c>
      <c r="E5148" s="17"/>
      <c r="F5148" s="16"/>
      <c r="G5148" s="18">
        <v>8628000.0</v>
      </c>
      <c r="H5148" s="19" t="str">
        <f>IFERROR(__xludf.DUMMYFUNCTION("LOWER(REGEXREPLACE(B5148&amp;"" ""&amp;C5148,""[^а-яa-z0-9 ]"","" ""))")," ренажер реабилитационный механотерапевтический ")</f>
        <v> ренажер реабилитационный механотерапевтический </v>
      </c>
    </row>
    <row r="5149">
      <c r="A5149" s="20" t="s">
        <v>12174</v>
      </c>
      <c r="B5149" s="15" t="s">
        <v>12175</v>
      </c>
      <c r="C5149" s="15"/>
      <c r="D5149" s="21" t="s">
        <v>14</v>
      </c>
      <c r="E5149" s="17"/>
      <c r="F5149" s="16"/>
      <c r="G5149" s="18"/>
      <c r="H5149" s="19" t="str">
        <f>IFERROR(__xludf.DUMMYFUNCTION("LOWER(REGEXREPLACE(B5149&amp;"" ""&amp;C5149,""[^а-яa-z0-9 ]"","" ""))")," ренажер ортопедический для ходьбы ")</f>
        <v> ренажер ортопедический для ходьбы </v>
      </c>
    </row>
    <row r="5150">
      <c r="A5150" s="20" t="s">
        <v>12176</v>
      </c>
      <c r="B5150" s="15" t="s">
        <v>12177</v>
      </c>
      <c r="C5150" s="15"/>
      <c r="D5150" s="21" t="s">
        <v>14</v>
      </c>
      <c r="E5150" s="17"/>
      <c r="F5150" s="16"/>
      <c r="G5150" s="18">
        <v>2753919.0</v>
      </c>
      <c r="H5150" s="19" t="str">
        <f>IFERROR(__xludf.DUMMYFUNCTION("LOWER(REGEXREPLACE(B5150&amp;"" ""&amp;C5150,""[^а-яa-z0-9 ]"","" ""))")," ренажер ортопедический  ifton       для ходьбы   509 ")</f>
        <v> ренажер ортопедический  ifton       для ходьбы   509 </v>
      </c>
    </row>
    <row r="5151">
      <c r="A5151" s="20" t="s">
        <v>12178</v>
      </c>
      <c r="B5151" s="15" t="s">
        <v>12179</v>
      </c>
      <c r="C5151" s="15"/>
      <c r="D5151" s="21" t="s">
        <v>14</v>
      </c>
      <c r="E5151" s="17"/>
      <c r="F5151" s="16"/>
      <c r="G5151" s="18">
        <v>3507349.0</v>
      </c>
      <c r="H5151" s="19" t="str">
        <f>IFERROR(__xludf.DUMMYFUNCTION("LOWER(REGEXREPLACE(B5151&amp;"" ""&amp;C5151,""[^а-яa-z0-9 ]"","" ""))")," ренажер ортопедический  ifton       для ходьбы   620   501  ")</f>
        <v> ренажер ортопедический  ifton       для ходьбы   620   501  </v>
      </c>
    </row>
    <row r="5152">
      <c r="A5152" s="20" t="s">
        <v>12180</v>
      </c>
      <c r="B5152" s="15" t="s">
        <v>12181</v>
      </c>
      <c r="C5152" s="15"/>
      <c r="D5152" s="21" t="s">
        <v>14</v>
      </c>
      <c r="E5152" s="17"/>
      <c r="F5152" s="16"/>
      <c r="G5152" s="18">
        <v>4459963.0</v>
      </c>
      <c r="H5152" s="19" t="str">
        <f>IFERROR(__xludf.DUMMYFUNCTION("LOWER(REGEXREPLACE(B5152&amp;"" ""&amp;C5152,""[^а-яa-z0-9 ]"","" ""))")," ренажер ортопедический  ifton новый       для ходьбы   630 среднего размера   502  ")</f>
        <v> ренажер ортопедический  ifton новый       для ходьбы   630 среднего размера   502  </v>
      </c>
    </row>
    <row r="5153">
      <c r="A5153" s="20" t="s">
        <v>12182</v>
      </c>
      <c r="B5153" s="15" t="s">
        <v>12183</v>
      </c>
      <c r="C5153" s="15"/>
      <c r="D5153" s="21" t="s">
        <v>14</v>
      </c>
      <c r="E5153" s="17"/>
      <c r="F5153" s="16"/>
      <c r="G5153" s="18">
        <v>4979570.0</v>
      </c>
      <c r="H5153" s="19" t="str">
        <f>IFERROR(__xludf.DUMMYFUNCTION("LOWER(REGEXREPLACE(B5153&amp;"" ""&amp;C5153,""[^а-яa-z0-9 ]"","" ""))")," ренажер ортопедический  ifton новый       для ходьбы   640 большого размера   503  ")</f>
        <v> ренажер ортопедический  ifton новый       для ходьбы   640 большого размера   503  </v>
      </c>
    </row>
    <row r="5154">
      <c r="A5154" s="20" t="s">
        <v>12184</v>
      </c>
      <c r="B5154" s="15" t="s">
        <v>12185</v>
      </c>
      <c r="C5154" s="15"/>
      <c r="D5154" s="21" t="s">
        <v>14</v>
      </c>
      <c r="E5154" s="17"/>
      <c r="F5154" s="16"/>
      <c r="G5154" s="18">
        <v>5672380.0</v>
      </c>
      <c r="H5154" s="19" t="str">
        <f>IFERROR(__xludf.DUMMYFUNCTION("LOWER(REGEXREPLACE(B5154&amp;"" ""&amp;C5154,""[^а-яa-z0-9 ]"","" ""))")," ренажер ортопедический  ifton       для ходьбы   650   504  ")</f>
        <v> ренажер ортопедический  ifton       для ходьбы   650   504  </v>
      </c>
    </row>
    <row r="5155">
      <c r="A5155" s="20" t="s">
        <v>12186</v>
      </c>
      <c r="B5155" s="15" t="s">
        <v>12187</v>
      </c>
      <c r="C5155" s="15"/>
      <c r="D5155" s="21" t="s">
        <v>14</v>
      </c>
      <c r="E5155" s="17"/>
      <c r="F5155" s="16"/>
      <c r="G5155" s="18"/>
      <c r="H5155" s="19" t="str">
        <f>IFERROR(__xludf.DUMMYFUNCTION("LOWER(REGEXREPLACE(B5155&amp;"" ""&amp;C5155,""[^а-яa-z0-9 ]"","" ""))")," тендер вертикализатор ")</f>
        <v> тендер вертикализатор </v>
      </c>
    </row>
    <row r="5156">
      <c r="A5156" s="20" t="s">
        <v>12188</v>
      </c>
      <c r="B5156" s="15" t="s">
        <v>12189</v>
      </c>
      <c r="C5156" s="15"/>
      <c r="D5156" s="21" t="s">
        <v>14</v>
      </c>
      <c r="E5156" s="17"/>
      <c r="F5156" s="16"/>
      <c r="G5156" s="18">
        <v>3377447.0</v>
      </c>
      <c r="H5156" s="19" t="str">
        <f>IFERROR(__xludf.DUMMYFUNCTION("LOWER(REGEXREPLACE(B5156&amp;"" ""&amp;C5156,""[^а-яa-z0-9 ]"","" ""))")," ультистендер  женкс  вертикализатор для детей от 9 месяцев до шести лет  ")</f>
        <v> ультистендер  женкс  вертикализатор для детей от 9 месяцев до шести лет  </v>
      </c>
    </row>
    <row r="5157">
      <c r="A5157" s="20" t="s">
        <v>12190</v>
      </c>
      <c r="B5157" s="15" t="s">
        <v>12191</v>
      </c>
      <c r="C5157" s="15"/>
      <c r="D5157" s="21" t="s">
        <v>14</v>
      </c>
      <c r="E5157" s="17"/>
      <c r="F5157" s="16"/>
      <c r="G5157" s="18">
        <v>4330061.0</v>
      </c>
      <c r="H5157" s="19" t="str">
        <f>IFERROR(__xludf.DUMMYFUNCTION("LOWER(REGEXREPLACE(B5157&amp;"" ""&amp;C5157,""[^а-яa-z0-9 ]"","" ""))")," ультистендер  женкс  вертикализатор для детей от 3 до 13 лет  ")</f>
        <v> ультистендер  женкс  вертикализатор для детей от 3 до 13 лет  </v>
      </c>
    </row>
    <row r="5158">
      <c r="A5158" s="20" t="s">
        <v>12192</v>
      </c>
      <c r="B5158" s="15" t="s">
        <v>12193</v>
      </c>
      <c r="C5158" s="15"/>
      <c r="D5158" s="21" t="s">
        <v>14</v>
      </c>
      <c r="E5158" s="17"/>
      <c r="F5158" s="16"/>
      <c r="G5158" s="18"/>
      <c r="H5158" s="19" t="str">
        <f>IFERROR(__xludf.DUMMYFUNCTION("LOWER(REGEXREPLACE(B5158&amp;"" ""&amp;C5158,""[^а-яa-z0-9 ]"","" ""))")," ренажер ходунки ")</f>
        <v> ренажер ходунки </v>
      </c>
    </row>
    <row r="5159">
      <c r="A5159" s="50" t="s">
        <v>12194</v>
      </c>
      <c r="B5159" s="54" t="s">
        <v>12195</v>
      </c>
      <c r="C5159" s="15"/>
      <c r="D5159" s="55" t="s">
        <v>14</v>
      </c>
      <c r="E5159" s="53"/>
      <c r="F5159" s="52"/>
      <c r="G5159" s="18">
        <v>745179.0</v>
      </c>
      <c r="H5159" s="19" t="str">
        <f>IFERROR(__xludf.DUMMYFUNCTION("LOWER(REGEXREPLACE(B5159&amp;"" ""&amp;C5159,""[^а-яa-z0-9 ]"","" ""))")," одунки с дополнительной фиксацией тела  в том числе для больных      модель     317            размер 1  80 115 см   либо размер 2  115 150 см  ")</f>
        <v> одунки с дополнительной фиксацией тела  в том числе для больных      модель     317            размер 1  80 115 см   либо размер 2  115 150 см  </v>
      </c>
    </row>
    <row r="5160">
      <c r="A5160" s="20" t="s">
        <v>12196</v>
      </c>
      <c r="B5160" s="15" t="s">
        <v>12197</v>
      </c>
      <c r="C5160" s="15"/>
      <c r="D5160" s="21" t="s">
        <v>14</v>
      </c>
      <c r="E5160" s="17"/>
      <c r="F5160" s="16"/>
      <c r="G5160" s="18">
        <v>95625.0</v>
      </c>
      <c r="H5160" s="19" t="str">
        <f>IFERROR(__xludf.DUMMYFUNCTION("LOWER(REGEXREPLACE(B5160&amp;"" ""&amp;C5160,""[^а-яa-z0-9 ]"","" ""))")," одунки  рмед   201 ")</f>
        <v> одунки  рмед   201 </v>
      </c>
    </row>
    <row r="5161">
      <c r="A5161" s="20" t="s">
        <v>12198</v>
      </c>
      <c r="B5161" s="15" t="s">
        <v>12199</v>
      </c>
      <c r="C5161" s="15"/>
      <c r="D5161" s="21" t="s">
        <v>14</v>
      </c>
      <c r="E5161" s="17"/>
      <c r="F5161" s="16"/>
      <c r="G5161" s="18">
        <v>142321.0</v>
      </c>
      <c r="H5161" s="19" t="str">
        <f>IFERROR(__xludf.DUMMYFUNCTION("LOWER(REGEXREPLACE(B5161&amp;"" ""&amp;C5161,""[^а-яa-z0-9 ]"","" ""))")," одунки для больных      регулируемые по высоте на четырех кол сах       1200 с подлокотной опорой ")</f>
        <v> одунки для больных      регулируемые по высоте на четырех кол сах       1200 с подлокотной опорой </v>
      </c>
    </row>
    <row r="5162">
      <c r="A5162" s="20" t="s">
        <v>12200</v>
      </c>
      <c r="B5162" s="15" t="s">
        <v>12201</v>
      </c>
      <c r="C5162" s="15"/>
      <c r="D5162" s="21" t="s">
        <v>14</v>
      </c>
      <c r="E5162" s="17"/>
      <c r="F5162" s="16"/>
      <c r="G5162" s="18">
        <v>156607.0</v>
      </c>
      <c r="H5162" s="19" t="str">
        <f>IFERROR(__xludf.DUMMYFUNCTION("LOWER(REGEXREPLACE(B5162&amp;"" ""&amp;C5162,""[^а-яa-z0-9 ]"","" ""))")," одунки для больных      регулируемые по высоте на четырех кол сах        2200 с подлокотной опорой ")</f>
        <v> одунки для больных      регулируемые по высоте на четырех кол сах        2200 с подлокотной опорой </v>
      </c>
    </row>
    <row r="5163">
      <c r="A5163" s="20" t="s">
        <v>12202</v>
      </c>
      <c r="B5163" s="15" t="s">
        <v>12203</v>
      </c>
      <c r="C5163" s="15"/>
      <c r="D5163" s="21" t="s">
        <v>14</v>
      </c>
      <c r="E5163" s="17"/>
      <c r="F5163" s="16"/>
      <c r="G5163" s="18">
        <v>166518.0</v>
      </c>
      <c r="H5163" s="19" t="str">
        <f>IFERROR(__xludf.DUMMYFUNCTION("LOWER(REGEXREPLACE(B5163&amp;"" ""&amp;C5163,""[^а-яa-z0-9 ]"","" ""))")," одунки для детей больных            3200 с подлокотной опорой ")</f>
        <v> одунки для детей больных            3200 с подлокотной опорой </v>
      </c>
    </row>
    <row r="5164">
      <c r="A5164" s="20" t="s">
        <v>12204</v>
      </c>
      <c r="B5164" s="15" t="s">
        <v>12205</v>
      </c>
      <c r="C5164" s="15"/>
      <c r="D5164" s="21" t="s">
        <v>14</v>
      </c>
      <c r="E5164" s="17"/>
      <c r="F5164" s="16"/>
      <c r="G5164" s="18">
        <v>385375.0</v>
      </c>
      <c r="H5164" s="19" t="str">
        <f>IFERROR(__xludf.DUMMYFUNCTION("LOWER(REGEXREPLACE(B5164&amp;"" ""&amp;C5164,""[^а-яa-z0-9 ]"","" ""))")," одунки   йболит     36 12 01 ")</f>
        <v> одунки   йболит     36 12 01 </v>
      </c>
    </row>
    <row r="5165">
      <c r="A5165" s="20" t="s">
        <v>12206</v>
      </c>
      <c r="B5165" s="15" t="s">
        <v>12207</v>
      </c>
      <c r="C5165" s="15"/>
      <c r="D5165" s="21" t="s">
        <v>14</v>
      </c>
      <c r="E5165" s="17"/>
      <c r="F5165" s="16"/>
      <c r="G5165" s="18">
        <v>389705.0</v>
      </c>
      <c r="H5165" s="19" t="str">
        <f>IFERROR(__xludf.DUMMYFUNCTION("LOWER(REGEXREPLACE(B5165&amp;"" ""&amp;C5165,""[^а-яa-z0-9 ]"","" ""))")," одунки   йболит     36 12 02 ")</f>
        <v> одунки   йболит     36 12 02 </v>
      </c>
    </row>
    <row r="5166">
      <c r="A5166" s="20" t="s">
        <v>12208</v>
      </c>
      <c r="B5166" s="15" t="s">
        <v>12209</v>
      </c>
      <c r="C5166" s="15"/>
      <c r="D5166" s="21" t="s">
        <v>14</v>
      </c>
      <c r="E5166" s="17"/>
      <c r="F5166" s="16"/>
      <c r="G5166" s="18">
        <v>398366.0</v>
      </c>
      <c r="H5166" s="19" t="str">
        <f>IFERROR(__xludf.DUMMYFUNCTION("LOWER(REGEXREPLACE(B5166&amp;"" ""&amp;C5166,""[^а-яa-z0-9 ]"","" ""))")," одунки   йболит     36 12 03 ")</f>
        <v> одунки   йболит     36 12 03 </v>
      </c>
    </row>
    <row r="5167">
      <c r="A5167" s="20" t="s">
        <v>12210</v>
      </c>
      <c r="B5167" s="15" t="s">
        <v>12211</v>
      </c>
      <c r="C5167" s="15"/>
      <c r="D5167" s="21" t="s">
        <v>14</v>
      </c>
      <c r="E5167" s="17"/>
      <c r="F5167" s="16"/>
      <c r="G5167" s="18"/>
      <c r="H5167" s="19" t="str">
        <f>IFERROR(__xludf.DUMMYFUNCTION("LOWER(REGEXREPLACE(B5167&amp;"" ""&amp;C5167,""[^а-яa-z0-9 ]"","" ""))")," ейро ортопедический реабилитационный комбинезон для детей с нарушением опорно двигательного аппарата  разных размеров ")</f>
        <v> ейро ортопедический реабилитационный комбинезон для детей с нарушением опорно двигательного аппарата  разных размеров </v>
      </c>
    </row>
    <row r="5168">
      <c r="A5168" s="20" t="s">
        <v>12212</v>
      </c>
      <c r="B5168" s="26" t="s">
        <v>12213</v>
      </c>
      <c r="C5168" s="15"/>
      <c r="D5168" s="21" t="s">
        <v>14</v>
      </c>
      <c r="E5168" s="17"/>
      <c r="F5168" s="16"/>
      <c r="G5168" s="18">
        <v>458986.0</v>
      </c>
      <c r="H5168" s="19" t="str">
        <f>IFERROR(__xludf.DUMMYFUNCTION("LOWER(REGEXREPLACE(B5168&amp;"" ""&amp;C5168,""[^а-яa-z0-9 ]"","" ""))")," ейро ортопедический реабилитационный комбинезон             размер 1  ")</f>
        <v> ейро ортопедический реабилитационный комбинезон             размер 1  </v>
      </c>
    </row>
    <row r="5169">
      <c r="A5169" s="20" t="s">
        <v>12214</v>
      </c>
      <c r="B5169" s="26" t="s">
        <v>12215</v>
      </c>
      <c r="C5169" s="15"/>
      <c r="D5169" s="21" t="s">
        <v>14</v>
      </c>
      <c r="E5169" s="17"/>
      <c r="F5169" s="16"/>
      <c r="G5169" s="18">
        <v>458986.0</v>
      </c>
      <c r="H5169" s="19" t="str">
        <f>IFERROR(__xludf.DUMMYFUNCTION("LOWER(REGEXREPLACE(B5169&amp;"" ""&amp;C5169,""[^а-яa-z0-9 ]"","" ""))")," ейро ортопедический реабилитационный комбинезон             размер 2  ")</f>
        <v> ейро ортопедический реабилитационный комбинезон             размер 2  </v>
      </c>
    </row>
    <row r="5170">
      <c r="A5170" s="20" t="s">
        <v>12216</v>
      </c>
      <c r="B5170" s="26" t="s">
        <v>12217</v>
      </c>
      <c r="C5170" s="15"/>
      <c r="D5170" s="21" t="s">
        <v>14</v>
      </c>
      <c r="E5170" s="17"/>
      <c r="F5170" s="16"/>
      <c r="G5170" s="18">
        <v>458986.0</v>
      </c>
      <c r="H5170" s="19" t="str">
        <f>IFERROR(__xludf.DUMMYFUNCTION("LOWER(REGEXREPLACE(B5170&amp;"" ""&amp;C5170,""[^а-яa-z0-9 ]"","" ""))")," ейро ортопедический реабилитационный комбинезон             размер 3  ")</f>
        <v> ейро ортопедический реабилитационный комбинезон             размер 3  </v>
      </c>
    </row>
    <row r="5171">
      <c r="A5171" s="20" t="s">
        <v>12218</v>
      </c>
      <c r="B5171" s="26" t="s">
        <v>12219</v>
      </c>
      <c r="C5171" s="15"/>
      <c r="D5171" s="21" t="s">
        <v>14</v>
      </c>
      <c r="E5171" s="17"/>
      <c r="F5171" s="16"/>
      <c r="G5171" s="18">
        <v>458986.0</v>
      </c>
      <c r="H5171" s="19" t="str">
        <f>IFERROR(__xludf.DUMMYFUNCTION("LOWER(REGEXREPLACE(B5171&amp;"" ""&amp;C5171,""[^а-яa-z0-9 ]"","" ""))")," ейро ортопедический реабилитационный комбинезон             размер 4  ")</f>
        <v> ейро ортопедический реабилитационный комбинезон             размер 4  </v>
      </c>
    </row>
    <row r="5172">
      <c r="A5172" s="20" t="s">
        <v>12220</v>
      </c>
      <c r="B5172" s="26" t="s">
        <v>12221</v>
      </c>
      <c r="C5172" s="15"/>
      <c r="D5172" s="21" t="s">
        <v>14</v>
      </c>
      <c r="E5172" s="17"/>
      <c r="F5172" s="16"/>
      <c r="G5172" s="18">
        <v>458986.0</v>
      </c>
      <c r="H5172" s="19" t="str">
        <f>IFERROR(__xludf.DUMMYFUNCTION("LOWER(REGEXREPLACE(B5172&amp;"" ""&amp;C5172,""[^а-яa-z0-9 ]"","" ""))")," ейро ортопедический реабилитационный комбинезон             размер 5  ")</f>
        <v> ейро ортопедический реабилитационный комбинезон             размер 5  </v>
      </c>
    </row>
    <row r="5173">
      <c r="A5173" s="20" t="s">
        <v>12222</v>
      </c>
      <c r="B5173" s="26" t="s">
        <v>12223</v>
      </c>
      <c r="C5173" s="15"/>
      <c r="D5173" s="21" t="s">
        <v>14</v>
      </c>
      <c r="E5173" s="17"/>
      <c r="F5173" s="16"/>
      <c r="G5173" s="18">
        <v>458986.0</v>
      </c>
      <c r="H5173" s="19" t="str">
        <f>IFERROR(__xludf.DUMMYFUNCTION("LOWER(REGEXREPLACE(B5173&amp;"" ""&amp;C5173,""[^а-яa-z0-9 ]"","" ""))")," ейро ортопедический реабилитационный комбинезон             размер 6  ")</f>
        <v> ейро ортопедический реабилитационный комбинезон             размер 6  </v>
      </c>
    </row>
    <row r="5174">
      <c r="A5174" s="20" t="s">
        <v>12224</v>
      </c>
      <c r="B5174" s="26" t="s">
        <v>12225</v>
      </c>
      <c r="C5174" s="15"/>
      <c r="D5174" s="21" t="s">
        <v>14</v>
      </c>
      <c r="E5174" s="17"/>
      <c r="F5174" s="16"/>
      <c r="G5174" s="18">
        <v>458986.0</v>
      </c>
      <c r="H5174" s="19" t="str">
        <f>IFERROR(__xludf.DUMMYFUNCTION("LOWER(REGEXREPLACE(B5174&amp;"" ""&amp;C5174,""[^а-яa-z0-9 ]"","" ""))")," ейро ортопедический реабилитационный комбинезон             размер 7  ")</f>
        <v> ейро ортопедический реабилитационный комбинезон             размер 7  </v>
      </c>
    </row>
    <row r="5175">
      <c r="A5175" s="20" t="s">
        <v>12226</v>
      </c>
      <c r="B5175" s="26" t="s">
        <v>12227</v>
      </c>
      <c r="C5175" s="15"/>
      <c r="D5175" s="21" t="s">
        <v>14</v>
      </c>
      <c r="E5175" s="17"/>
      <c r="F5175" s="16"/>
      <c r="G5175" s="18">
        <v>458986.0</v>
      </c>
      <c r="H5175" s="19" t="str">
        <f>IFERROR(__xludf.DUMMYFUNCTION("LOWER(REGEXREPLACE(B5175&amp;"" ""&amp;C5175,""[^а-яa-z0-9 ]"","" ""))")," ейро ортопедический реабилитационный комбинезон             размер 8  ")</f>
        <v> ейро ортопедический реабилитационный комбинезон             размер 8  </v>
      </c>
    </row>
    <row r="5176">
      <c r="A5176" s="20" t="s">
        <v>12228</v>
      </c>
      <c r="B5176" s="26" t="s">
        <v>12229</v>
      </c>
      <c r="C5176" s="15"/>
      <c r="D5176" s="21" t="s">
        <v>14</v>
      </c>
      <c r="E5176" s="17"/>
      <c r="F5176" s="16"/>
      <c r="G5176" s="18">
        <v>458986.0</v>
      </c>
      <c r="H5176" s="19" t="str">
        <f>IFERROR(__xludf.DUMMYFUNCTION("LOWER(REGEXREPLACE(B5176&amp;"" ""&amp;C5176,""[^а-яa-z0-9 ]"","" ""))")," ейро ортопедический реабилитационный комбинезон             размер 9  ")</f>
        <v> ейро ортопедический реабилитационный комбинезон             размер 9  </v>
      </c>
    </row>
    <row r="5177">
      <c r="A5177" s="20" t="s">
        <v>12230</v>
      </c>
      <c r="B5177" s="26" t="s">
        <v>12231</v>
      </c>
      <c r="C5177" s="15"/>
      <c r="D5177" s="21" t="s">
        <v>14</v>
      </c>
      <c r="E5177" s="17"/>
      <c r="F5177" s="16"/>
      <c r="G5177" s="18">
        <v>458986.0</v>
      </c>
      <c r="H5177" s="19" t="str">
        <f>IFERROR(__xludf.DUMMYFUNCTION("LOWER(REGEXREPLACE(B5177&amp;"" ""&amp;C5177,""[^а-яa-z0-9 ]"","" ""))")," ейро ортопедический реабилитационный комбинезон             размер 10  ")</f>
        <v> ейро ортопедический реабилитационный комбинезон             размер 10  </v>
      </c>
    </row>
    <row r="5178">
      <c r="A5178" s="20" t="s">
        <v>12232</v>
      </c>
      <c r="B5178" s="15" t="s">
        <v>12233</v>
      </c>
      <c r="C5178" s="15"/>
      <c r="D5178" s="21" t="s">
        <v>14</v>
      </c>
      <c r="E5178" s="17"/>
      <c r="F5178" s="16"/>
      <c r="G5178" s="18"/>
      <c r="H5178" s="19" t="str">
        <f>IFERROR(__xludf.DUMMYFUNCTION("LOWER(REGEXREPLACE(B5178&amp;"" ""&amp;C5178,""[^а-яa-z0-9 ]"","" ""))")," ефлекторно нагрузочное устройство для детей с нарушением опорно двигательного аппарата  разных размеров ")</f>
        <v> ефлекторно нагрузочное устройство для детей с нарушением опорно двигательного аппарата  разных размеров </v>
      </c>
    </row>
    <row r="5179">
      <c r="A5179" s="20" t="s">
        <v>12234</v>
      </c>
      <c r="B5179" s="26" t="s">
        <v>12235</v>
      </c>
      <c r="C5179" s="15"/>
      <c r="D5179" s="21" t="s">
        <v>14</v>
      </c>
      <c r="E5179" s="17"/>
      <c r="F5179" s="16"/>
      <c r="G5179" s="18">
        <v>1056535.0</v>
      </c>
      <c r="H5179" s="19" t="str">
        <f>IFERROR(__xludf.DUMMYFUNCTION("LOWER(REGEXREPLACE(B5179&amp;"" ""&amp;C5179,""[^а-яa-z0-9 ]"","" ""))")," ефлекторно нагрузочное устройство   равитон    равистат   ")</f>
        <v> ефлекторно нагрузочное устройство   равитон    равистат   </v>
      </c>
    </row>
    <row r="5180">
      <c r="A5180" s="20" t="s">
        <v>12236</v>
      </c>
      <c r="B5180" s="26" t="s">
        <v>12237</v>
      </c>
      <c r="C5180" s="15"/>
      <c r="D5180" s="21" t="s">
        <v>14</v>
      </c>
      <c r="E5180" s="17"/>
      <c r="F5180" s="16"/>
      <c r="G5180" s="18"/>
      <c r="H5180" s="19" t="str">
        <f>IFERROR(__xludf.DUMMYFUNCTION("LOWER(REGEXREPLACE(B5180&amp;"" ""&amp;C5180,""[^а-яa-z0-9 ]"","" ""))")," ункциональная стойка  вертикализатор с задним наклоном  ")</f>
        <v> ункциональная стойка  вертикализатор с задним наклоном  </v>
      </c>
    </row>
    <row r="5181">
      <c r="A5181" s="20" t="s">
        <v>12238</v>
      </c>
      <c r="B5181" s="26" t="s">
        <v>12239</v>
      </c>
      <c r="C5181" s="15"/>
      <c r="D5181" s="21" t="s">
        <v>14</v>
      </c>
      <c r="E5181" s="17"/>
      <c r="F5181" s="16"/>
      <c r="G5181" s="18">
        <v>4390682.0</v>
      </c>
      <c r="H5181" s="19" t="str">
        <f>IFERROR(__xludf.DUMMYFUNCTION("LOWER(REGEXREPLACE(B5181&amp;"" ""&amp;C5181,""[^а-яa-z0-9 ]"","" ""))")," ункциональная стойка  малый вертикализатор   ifton  420 ")</f>
        <v> ункциональная стойка  малый вертикализатор   ifton  420 </v>
      </c>
    </row>
    <row r="5182">
      <c r="A5182" s="20" t="s">
        <v>12240</v>
      </c>
      <c r="B5182" s="15" t="s">
        <v>12241</v>
      </c>
      <c r="C5182" s="15"/>
      <c r="D5182" s="21" t="s">
        <v>14</v>
      </c>
      <c r="E5182" s="17"/>
      <c r="F5182" s="16"/>
      <c r="G5182" s="18">
        <v>5975484.0</v>
      </c>
      <c r="H5182" s="19" t="str">
        <f>IFERROR(__xludf.DUMMYFUNCTION("LOWER(REGEXREPLACE(B5182&amp;"" ""&amp;C5182,""[^а-яa-z0-9 ]"","" ""))")," ункциональная стойка  ifton  430 ")</f>
        <v> ункциональная стойка  ifton  430 </v>
      </c>
    </row>
    <row r="5183">
      <c r="A5183" s="50" t="s">
        <v>12242</v>
      </c>
      <c r="B5183" s="51" t="s">
        <v>12243</v>
      </c>
      <c r="C5183" s="15"/>
      <c r="D5183" s="55" t="s">
        <v>14</v>
      </c>
      <c r="E5183" s="53"/>
      <c r="F5183" s="52"/>
      <c r="G5183" s="18"/>
      <c r="H5183" s="19" t="str">
        <f>IFERROR(__xludf.DUMMYFUNCTION("LOWER(REGEXREPLACE(B5183&amp;"" ""&amp;C5183,""[^а-яa-z0-9 ]"","" ""))")," ертикализатор стойка ")</f>
        <v> ертикализатор стойка </v>
      </c>
    </row>
    <row r="5184">
      <c r="A5184" s="20" t="s">
        <v>12244</v>
      </c>
      <c r="B5184" s="15" t="s">
        <v>12245</v>
      </c>
      <c r="C5184" s="15"/>
      <c r="D5184" s="21" t="s">
        <v>14</v>
      </c>
      <c r="E5184" s="17"/>
      <c r="F5184" s="16"/>
      <c r="G5184" s="18">
        <v>385375.0</v>
      </c>
      <c r="H5184" s="19" t="str">
        <f>IFERROR(__xludf.DUMMYFUNCTION("LOWER(REGEXREPLACE(B5184&amp;"" ""&amp;C5184,""[^а-яa-z0-9 ]"","" ""))")," ертикализатор стойка    38 02 02 ")</f>
        <v> ертикализатор стойка    38 02 02 </v>
      </c>
    </row>
    <row r="5185">
      <c r="A5185" s="20" t="s">
        <v>12246</v>
      </c>
      <c r="B5185" s="15" t="s">
        <v>12247</v>
      </c>
      <c r="C5185" s="15"/>
      <c r="D5185" s="21" t="s">
        <v>14</v>
      </c>
      <c r="E5185" s="17"/>
      <c r="F5185" s="16"/>
      <c r="G5185" s="18"/>
      <c r="H5185" s="19" t="str">
        <f>IFERROR(__xludf.DUMMYFUNCTION("LOWER(REGEXREPLACE(B5185&amp;"" ""&amp;C5185,""[^а-яa-z0-9 ]"","" ""))")," ертикализатор наклонный ")</f>
        <v> ертикализатор наклонный </v>
      </c>
    </row>
    <row r="5186">
      <c r="A5186" s="20" t="s">
        <v>12248</v>
      </c>
      <c r="B5186" s="15" t="s">
        <v>12249</v>
      </c>
      <c r="C5186" s="15"/>
      <c r="D5186" s="21" t="s">
        <v>14</v>
      </c>
      <c r="E5186" s="17"/>
      <c r="F5186" s="16"/>
      <c r="G5186" s="18">
        <v>405294.0</v>
      </c>
      <c r="H5186" s="19" t="str">
        <f>IFERROR(__xludf.DUMMYFUNCTION("LOWER(REGEXREPLACE(B5186&amp;"" ""&amp;C5186,""[^а-яa-z0-9 ]"","" ""))")," ертикализатор наклонный    38 01 01 ")</f>
        <v> ертикализатор наклонный    38 01 01 </v>
      </c>
    </row>
    <row r="5187">
      <c r="A5187" s="20" t="s">
        <v>12250</v>
      </c>
      <c r="B5187" s="15" t="s">
        <v>12251</v>
      </c>
      <c r="C5187" s="15"/>
      <c r="D5187" s="21" t="s">
        <v>14</v>
      </c>
      <c r="E5187" s="17"/>
      <c r="F5187" s="16"/>
      <c r="G5187" s="18">
        <v>433006.0</v>
      </c>
      <c r="H5187" s="19" t="str">
        <f>IFERROR(__xludf.DUMMYFUNCTION("LOWER(REGEXREPLACE(B5187&amp;"" ""&amp;C5187,""[^а-яa-z0-9 ]"","" ""))")," ертикализатор наклонный    38 01 02 ")</f>
        <v> ертикализатор наклонный    38 01 02 </v>
      </c>
    </row>
    <row r="5188">
      <c r="A5188" s="20" t="s">
        <v>12252</v>
      </c>
      <c r="B5188" s="15" t="s">
        <v>12253</v>
      </c>
      <c r="C5188" s="15"/>
      <c r="D5188" s="21" t="s">
        <v>14</v>
      </c>
      <c r="E5188" s="17"/>
      <c r="F5188" s="16"/>
      <c r="G5188" s="18">
        <v>497957.0</v>
      </c>
      <c r="H5188" s="19" t="str">
        <f>IFERROR(__xludf.DUMMYFUNCTION("LOWER(REGEXREPLACE(B5188&amp;"" ""&amp;C5188,""[^а-яa-z0-9 ]"","" ""))")," ертикализатор наклонный    38 01 03 ")</f>
        <v> ертикализатор наклонный    38 01 03 </v>
      </c>
    </row>
    <row r="5189">
      <c r="A5189" s="20" t="s">
        <v>12254</v>
      </c>
      <c r="B5189" s="15" t="s">
        <v>12255</v>
      </c>
      <c r="C5189" s="15"/>
      <c r="D5189" s="21" t="s">
        <v>68</v>
      </c>
      <c r="E5189" s="17"/>
      <c r="F5189" s="16"/>
      <c r="G5189" s="18"/>
      <c r="H5189" s="19" t="str">
        <f>IFERROR(__xludf.DUMMYFUNCTION("LOWER(REGEXREPLACE(B5189&amp;"" ""&amp;C5189,""[^а-яa-z0-9 ]"","" ""))")," ниверсальная система для лежачего положения для подростков с нарушением опорно двигательного аппарата ")</f>
        <v> ниверсальная система для лежачего положения для подростков с нарушением опорно двигательного аппарата </v>
      </c>
    </row>
    <row r="5190">
      <c r="A5190" s="20" t="s">
        <v>12256</v>
      </c>
      <c r="B5190" s="26" t="s">
        <v>12257</v>
      </c>
      <c r="C5190" s="15"/>
      <c r="D5190" s="21" t="s">
        <v>68</v>
      </c>
      <c r="E5190" s="17"/>
      <c r="F5190" s="16"/>
      <c r="G5190" s="18">
        <v>2701958.0</v>
      </c>
      <c r="H5190" s="19" t="str">
        <f>IFERROR(__xludf.DUMMYFUNCTION("LOWER(REGEXREPLACE(B5190&amp;"" ""&amp;C5190,""[^а-яa-z0-9 ]"","" ""))")," ниверсальная система   узнечик       atterson  edical ")</f>
        <v> ниверсальная система   узнечик       atterson  edical </v>
      </c>
    </row>
    <row r="5191">
      <c r="A5191" s="20" t="s">
        <v>12258</v>
      </c>
      <c r="B5191" s="15" t="s">
        <v>4920</v>
      </c>
      <c r="C5191" s="15"/>
      <c r="D5191" s="16"/>
      <c r="E5191" s="17"/>
      <c r="F5191" s="16"/>
      <c r="G5191" s="18"/>
      <c r="H5191" s="19" t="str">
        <f>IFERROR(__xludf.DUMMYFUNCTION("LOWER(REGEXREPLACE(B5191&amp;"" ""&amp;C5191,""[^а-яa-z0-9 ]"","" ""))")," пециальная мебель ")</f>
        <v> пециальная мебель </v>
      </c>
    </row>
    <row r="5192">
      <c r="A5192" s="20" t="s">
        <v>12259</v>
      </c>
      <c r="B5192" s="15" t="s">
        <v>12260</v>
      </c>
      <c r="C5192" s="15"/>
      <c r="D5192" s="21" t="s">
        <v>14</v>
      </c>
      <c r="E5192" s="17"/>
      <c r="F5192" s="16"/>
      <c r="G5192" s="18"/>
      <c r="H5192" s="19" t="str">
        <f>IFERROR(__xludf.DUMMYFUNCTION("LOWER(REGEXREPLACE(B5192&amp;"" ""&amp;C5192,""[^а-яa-z0-9 ]"","" ""))")," тул ортопедический ")</f>
        <v> тул ортопедический </v>
      </c>
    </row>
    <row r="5193">
      <c r="A5193" s="20" t="s">
        <v>12261</v>
      </c>
      <c r="B5193" s="15" t="s">
        <v>12262</v>
      </c>
      <c r="C5193" s="15"/>
      <c r="D5193" s="21" t="s">
        <v>14</v>
      </c>
      <c r="E5193" s="17"/>
      <c r="F5193" s="16"/>
      <c r="G5193" s="18">
        <v>381045.0</v>
      </c>
      <c r="H5193" s="19" t="str">
        <f>IFERROR(__xludf.DUMMYFUNCTION("LOWER(REGEXREPLACE(B5193&amp;"" ""&amp;C5193,""[^а-яa-z0-9 ]"","" ""))")," тул ортопедический    37 01 01 ")</f>
        <v> тул ортопедический    37 01 01 </v>
      </c>
    </row>
    <row r="5194">
      <c r="A5194" s="20" t="s">
        <v>12263</v>
      </c>
      <c r="B5194" s="15" t="s">
        <v>12264</v>
      </c>
      <c r="C5194" s="15"/>
      <c r="D5194" s="21" t="s">
        <v>14</v>
      </c>
      <c r="E5194" s="17"/>
      <c r="F5194" s="16"/>
      <c r="G5194" s="18">
        <v>424346.0</v>
      </c>
      <c r="H5194" s="19" t="str">
        <f>IFERROR(__xludf.DUMMYFUNCTION("LOWER(REGEXREPLACE(B5194&amp;"" ""&amp;C5194,""[^а-яa-z0-9 ]"","" ""))")," тул ортопедический    37 01 02 ")</f>
        <v> тул ортопедический    37 01 02 </v>
      </c>
    </row>
    <row r="5195">
      <c r="A5195" s="20" t="s">
        <v>12265</v>
      </c>
      <c r="B5195" s="15" t="s">
        <v>12266</v>
      </c>
      <c r="C5195" s="15"/>
      <c r="D5195" s="21" t="s">
        <v>14</v>
      </c>
      <c r="E5195" s="17"/>
      <c r="F5195" s="16"/>
      <c r="G5195" s="18">
        <v>633055.0</v>
      </c>
      <c r="H5195" s="19" t="str">
        <f>IFERROR(__xludf.DUMMYFUNCTION("LOWER(REGEXREPLACE(B5195&amp;"" ""&amp;C5195,""[^а-яa-z0-9 ]"","" ""))")," тул ортопедический    37 01 03 ")</f>
        <v> тул ортопедический    37 01 03 </v>
      </c>
    </row>
  </sheetData>
  <autoFilter ref="$A$1:$Z$5195"/>
  <drawing r:id="rId1"/>
</worksheet>
</file>