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rgun/.julia/dev/ISPhvdc/data/"/>
    </mc:Choice>
  </mc:AlternateContent>
  <xr:revisionPtr revIDLastSave="0" documentId="13_ncr:1_{B80C78D0-818F-A643-A03B-077D71B4B23A}" xr6:coauthVersionLast="47" xr6:coauthVersionMax="47" xr10:uidLastSave="{00000000-0000-0000-0000-000000000000}"/>
  <bookViews>
    <workbookView xWindow="-11820" yWindow="-28300" windowWidth="51180" windowHeight="28300" xr2:uid="{F1BAE6B8-B733-FC4B-AC64-50856C17FAC8}"/>
  </bookViews>
  <sheets>
    <sheet name="Calcualtions" sheetId="1" r:id="rId1"/>
    <sheet name="Cable - OHL loss 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9" i="1" l="1"/>
  <c r="M6" i="1"/>
  <c r="B13" i="1"/>
  <c r="B12" i="1"/>
  <c r="Q4" i="1"/>
  <c r="Q5" i="1"/>
  <c r="Q6" i="1"/>
  <c r="Q7" i="1"/>
  <c r="Q8" i="1"/>
  <c r="Q9" i="1"/>
  <c r="Q10" i="1"/>
  <c r="Q11" i="1"/>
  <c r="Q12" i="1"/>
  <c r="P3" i="1"/>
  <c r="Q3" i="1" s="1"/>
  <c r="N56" i="2"/>
  <c r="N57" i="2"/>
  <c r="N58" i="2"/>
  <c r="N59" i="2"/>
  <c r="N60" i="2"/>
  <c r="N61" i="2"/>
  <c r="N62" i="2"/>
  <c r="N55" i="2"/>
  <c r="M55" i="2"/>
  <c r="M56" i="2"/>
  <c r="M57" i="2"/>
  <c r="M58" i="2"/>
  <c r="M59" i="2"/>
  <c r="M60" i="2"/>
  <c r="M61" i="2"/>
  <c r="M62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O2" i="1"/>
  <c r="L14" i="1"/>
  <c r="L17" i="1" s="1"/>
  <c r="L18" i="1" s="1"/>
  <c r="L19" i="1" l="1"/>
  <c r="B18" i="1" s="1"/>
  <c r="B16" i="1"/>
  <c r="B17" i="1" l="1"/>
  <c r="O1" i="1" l="1"/>
  <c r="L8" i="1"/>
  <c r="L9" i="1" s="1"/>
  <c r="B11" i="1" s="1"/>
  <c r="L5" i="1"/>
  <c r="L7" i="1" s="1"/>
  <c r="B7" i="1" s="1"/>
  <c r="B14" i="1" l="1"/>
  <c r="B9" i="1"/>
  <c r="R4" i="1"/>
  <c r="S4" i="1" s="1"/>
  <c r="R5" i="1"/>
  <c r="S5" i="1" s="1"/>
  <c r="R12" i="1"/>
  <c r="S12" i="1" s="1"/>
  <c r="R10" i="1"/>
  <c r="S10" i="1" s="1"/>
  <c r="R7" i="1"/>
  <c r="S7" i="1" s="1"/>
  <c r="R6" i="1"/>
  <c r="S6" i="1" s="1"/>
  <c r="R11" i="1"/>
  <c r="S11" i="1" s="1"/>
  <c r="R9" i="1"/>
  <c r="S9" i="1" s="1"/>
  <c r="R8" i="1"/>
  <c r="S8" i="1" s="1"/>
  <c r="R3" i="1"/>
  <c r="S3" i="1" s="1"/>
  <c r="L10" i="1"/>
  <c r="B10" i="1" s="1"/>
  <c r="L6" i="1"/>
  <c r="B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Dave Jaykumar</author>
  </authors>
  <commentList>
    <comment ref="A41" authorId="0" shapeId="0" xr:uid="{EC5EF13C-6569-FD46-B278-1C679441EFE5}">
      <text>
        <r>
          <rPr>
            <sz val="9"/>
            <color rgb="FF000000"/>
            <rFont val="Tahoma"/>
            <family val="2"/>
          </rPr>
          <t>ampacity values are taken from: HVDC Light Cables-Submarine and land power cables, 2006</t>
        </r>
      </text>
    </comment>
  </commentList>
</comments>
</file>

<file path=xl/sharedStrings.xml><?xml version="1.0" encoding="utf-8"?>
<sst xmlns="http://schemas.openxmlformats.org/spreadsheetml/2006/main" count="145" uniqueCount="107">
  <si>
    <t>Power rating [MW]</t>
  </si>
  <si>
    <t>B filter</t>
  </si>
  <si>
    <t>Converter transformer short circuit power [%]</t>
  </si>
  <si>
    <t>X/R ratio</t>
  </si>
  <si>
    <t>Reactor short circuit ratio [%]</t>
  </si>
  <si>
    <t>Z transformer [Ohm]</t>
  </si>
  <si>
    <t>R transformer [Ohm]</t>
  </si>
  <si>
    <t>X transformer [Ohm]</t>
  </si>
  <si>
    <t>R reactor [Ohm]</t>
  </si>
  <si>
    <t>X reactor [Ohm]</t>
  </si>
  <si>
    <t>Z reactor [Ohm]</t>
  </si>
  <si>
    <t>zbase</t>
  </si>
  <si>
    <t>R transformer [pu]</t>
  </si>
  <si>
    <t>X transformer [pu]</t>
  </si>
  <si>
    <t>R reactance [pu]</t>
  </si>
  <si>
    <t>X reactance [pu]</t>
  </si>
  <si>
    <t>Voltage AC [kV]</t>
  </si>
  <si>
    <t>Voltage DC [kV]</t>
  </si>
  <si>
    <t>DC current [A]</t>
  </si>
  <si>
    <t>ACSR conductor data</t>
  </si>
  <si>
    <t>Codeword</t>
  </si>
  <si>
    <t>Size
(sqmm)</t>
  </si>
  <si>
    <t>Stranding
(Al/Steel)</t>
  </si>
  <si>
    <t>Diameter (mm)</t>
  </si>
  <si>
    <t>Ampacity</t>
  </si>
  <si>
    <t>Approx. overall diameter (mm)</t>
  </si>
  <si>
    <t>Steel wire</t>
  </si>
  <si>
    <t>Al wire</t>
  </si>
  <si>
    <r>
      <rPr>
        <sz val="7.5"/>
        <rFont val="Times New Roman"/>
        <family val="1"/>
      </rPr>
      <t>Turkey</t>
    </r>
  </si>
  <si>
    <r>
      <rPr>
        <sz val="7.5"/>
        <rFont val="Arial"/>
        <family val="2"/>
      </rPr>
      <t>6/1</t>
    </r>
  </si>
  <si>
    <r>
      <rPr>
        <sz val="7.5"/>
        <rFont val="Times New Roman"/>
        <family val="1"/>
      </rPr>
      <t>Swan</t>
    </r>
  </si>
  <si>
    <r>
      <rPr>
        <sz val="7.5"/>
        <rFont val="Times New Roman"/>
        <family val="1"/>
      </rPr>
      <t>Swanate</t>
    </r>
  </si>
  <si>
    <r>
      <rPr>
        <sz val="7.5"/>
        <rFont val="Arial"/>
        <family val="2"/>
      </rPr>
      <t>7/1</t>
    </r>
  </si>
  <si>
    <r>
      <rPr>
        <sz val="7.5"/>
        <rFont val="Times New Roman"/>
        <family val="1"/>
      </rPr>
      <t>Sparrow</t>
    </r>
  </si>
  <si>
    <r>
      <rPr>
        <sz val="7.5"/>
        <rFont val="Times New Roman"/>
        <family val="1"/>
      </rPr>
      <t>Spa rate</t>
    </r>
  </si>
  <si>
    <r>
      <rPr>
        <sz val="7.5"/>
        <rFont val="Times New Roman"/>
        <family val="1"/>
      </rPr>
      <t>Robin</t>
    </r>
  </si>
  <si>
    <r>
      <rPr>
        <sz val="7.5"/>
        <rFont val="Times New Roman"/>
        <family val="1"/>
      </rPr>
      <t>Raven</t>
    </r>
  </si>
  <si>
    <r>
      <rPr>
        <sz val="7.5"/>
        <rFont val="Times New Roman"/>
        <family val="1"/>
      </rPr>
      <t>Quail</t>
    </r>
  </si>
  <si>
    <r>
      <rPr>
        <sz val="7.5"/>
        <rFont val="Times New Roman"/>
        <family val="1"/>
      </rPr>
      <t>Pigeon</t>
    </r>
  </si>
  <si>
    <r>
      <rPr>
        <sz val="7.5"/>
        <rFont val="Times New Roman"/>
        <family val="1"/>
      </rPr>
      <t>Penguin</t>
    </r>
  </si>
  <si>
    <r>
      <rPr>
        <sz val="7.5"/>
        <rFont val="Times New Roman"/>
        <family val="1"/>
      </rPr>
      <t>Waxwing</t>
    </r>
  </si>
  <si>
    <r>
      <rPr>
        <sz val="7.5"/>
        <rFont val="Arial"/>
        <family val="2"/>
      </rPr>
      <t>18/1</t>
    </r>
  </si>
  <si>
    <r>
      <rPr>
        <sz val="7.5"/>
        <rFont val="Times New Roman"/>
        <family val="1"/>
      </rPr>
      <t>Partridge</t>
    </r>
  </si>
  <si>
    <r>
      <rPr>
        <sz val="7.5"/>
        <rFont val="Arial"/>
        <family val="2"/>
      </rPr>
      <t>26/7</t>
    </r>
  </si>
  <si>
    <r>
      <rPr>
        <sz val="7.5"/>
        <rFont val="Times New Roman"/>
        <family val="1"/>
      </rPr>
      <t>Merlin</t>
    </r>
  </si>
  <si>
    <r>
      <rPr>
        <sz val="7.5"/>
        <rFont val="Times New Roman"/>
        <family val="1"/>
      </rPr>
      <t>Linnet</t>
    </r>
  </si>
  <si>
    <r>
      <rPr>
        <sz val="7.5"/>
        <rFont val="Times New Roman"/>
        <family val="1"/>
      </rPr>
      <t>Oriole</t>
    </r>
  </si>
  <si>
    <r>
      <rPr>
        <sz val="7.5"/>
        <rFont val="Arial"/>
        <family val="2"/>
      </rPr>
      <t>30/7</t>
    </r>
  </si>
  <si>
    <r>
      <rPr>
        <sz val="7.5"/>
        <rFont val="Times New Roman"/>
        <family val="1"/>
      </rPr>
      <t>Chickadee</t>
    </r>
  </si>
  <si>
    <r>
      <rPr>
        <sz val="7.5"/>
        <rFont val="Times New Roman"/>
        <family val="1"/>
      </rPr>
      <t>Ibis</t>
    </r>
  </si>
  <si>
    <r>
      <rPr>
        <sz val="7.5"/>
        <rFont val="Times New Roman"/>
        <family val="1"/>
      </rPr>
      <t>Pelican</t>
    </r>
  </si>
  <si>
    <r>
      <rPr>
        <sz val="7.5"/>
        <rFont val="Times New Roman"/>
        <family val="1"/>
      </rPr>
      <t>Flicker</t>
    </r>
  </si>
  <si>
    <r>
      <rPr>
        <sz val="7.5"/>
        <rFont val="Arial"/>
        <family val="2"/>
      </rPr>
      <t>24/7</t>
    </r>
  </si>
  <si>
    <r>
      <rPr>
        <sz val="7.5"/>
        <rFont val="Times New Roman"/>
        <family val="1"/>
      </rPr>
      <t>Hawk</t>
    </r>
  </si>
  <si>
    <r>
      <rPr>
        <sz val="7.5"/>
        <rFont val="Times New Roman"/>
        <family val="1"/>
      </rPr>
      <t>Hen</t>
    </r>
  </si>
  <si>
    <r>
      <rPr>
        <sz val="7.5"/>
        <rFont val="Times New Roman"/>
        <family val="1"/>
      </rPr>
      <t>Osprey</t>
    </r>
  </si>
  <si>
    <r>
      <rPr>
        <sz val="7.5"/>
        <rFont val="Times New Roman"/>
        <family val="1"/>
      </rPr>
      <t>Parakeet</t>
    </r>
  </si>
  <si>
    <r>
      <rPr>
        <sz val="7.5"/>
        <rFont val="Times New Roman"/>
        <family val="1"/>
      </rPr>
      <t>Dove</t>
    </r>
  </si>
  <si>
    <r>
      <rPr>
        <sz val="7.5"/>
        <rFont val="Times New Roman"/>
        <family val="1"/>
      </rPr>
      <t>Rook</t>
    </r>
  </si>
  <si>
    <r>
      <rPr>
        <sz val="7.5"/>
        <rFont val="Times New Roman"/>
        <family val="1"/>
      </rPr>
      <t>Grosbeak</t>
    </r>
  </si>
  <si>
    <r>
      <rPr>
        <sz val="7.5"/>
        <rFont val="Times New Roman"/>
        <family val="1"/>
      </rPr>
      <t>Tern</t>
    </r>
  </si>
  <si>
    <r>
      <rPr>
        <sz val="7.5"/>
        <rFont val="Arial"/>
        <family val="2"/>
      </rPr>
      <t>45/7</t>
    </r>
  </si>
  <si>
    <r>
      <rPr>
        <sz val="7.5"/>
        <rFont val="Times New Roman"/>
        <family val="1"/>
      </rPr>
      <t>Drake</t>
    </r>
  </si>
  <si>
    <r>
      <rPr>
        <sz val="7.5"/>
        <rFont val="Times New Roman"/>
        <family val="1"/>
      </rPr>
      <t>Rail</t>
    </r>
  </si>
  <si>
    <r>
      <rPr>
        <sz val="7.5"/>
        <rFont val="Times New Roman"/>
        <family val="1"/>
      </rPr>
      <t>Cardinal</t>
    </r>
  </si>
  <si>
    <r>
      <rPr>
        <sz val="7.5"/>
        <rFont val="Arial"/>
        <family val="2"/>
      </rPr>
      <t>54/7</t>
    </r>
  </si>
  <si>
    <r>
      <rPr>
        <sz val="7.5"/>
        <rFont val="Times New Roman"/>
        <family val="1"/>
      </rPr>
      <t>Curlew</t>
    </r>
  </si>
  <si>
    <r>
      <rPr>
        <sz val="7.5"/>
        <rFont val="Times New Roman"/>
        <family val="1"/>
      </rPr>
      <t>Bluejay</t>
    </r>
  </si>
  <si>
    <r>
      <rPr>
        <sz val="7.5"/>
        <rFont val="Times New Roman"/>
        <family val="1"/>
      </rPr>
      <t>Bittern</t>
    </r>
  </si>
  <si>
    <r>
      <rPr>
        <sz val="7.5"/>
        <rFont val="Times New Roman"/>
        <family val="1"/>
      </rPr>
      <t>Lapwing</t>
    </r>
  </si>
  <si>
    <r>
      <rPr>
        <sz val="7.5"/>
        <rFont val="Times New Roman"/>
        <family val="1"/>
      </rPr>
      <t>Bluebird</t>
    </r>
  </si>
  <si>
    <r>
      <rPr>
        <sz val="7.5"/>
        <rFont val="Arial"/>
        <family val="2"/>
      </rPr>
      <t>84/19</t>
    </r>
  </si>
  <si>
    <t>circuits</t>
  </si>
  <si>
    <t>bundles</t>
  </si>
  <si>
    <t>current per conductor</t>
  </si>
  <si>
    <t xml:space="preserve">Length in km </t>
  </si>
  <si>
    <t>zbase dc</t>
  </si>
  <si>
    <t>Submarine</t>
  </si>
  <si>
    <t>Land</t>
  </si>
  <si>
    <t>Area</t>
  </si>
  <si>
    <t>Cross-section</t>
  </si>
  <si>
    <t>Close laying</t>
  </si>
  <si>
    <t>Spaced laying</t>
  </si>
  <si>
    <r>
      <t>[mm</t>
    </r>
    <r>
      <rPr>
        <b/>
        <vertAlign val="superscript"/>
        <sz val="9"/>
        <color theme="1"/>
        <rFont val="Arial"/>
        <family val="2"/>
      </rPr>
      <t>2</t>
    </r>
    <r>
      <rPr>
        <b/>
        <sz val="9"/>
        <color theme="1"/>
        <rFont val="Arial"/>
        <family val="2"/>
      </rPr>
      <t>]</t>
    </r>
  </si>
  <si>
    <t>[A]</t>
  </si>
  <si>
    <t>OHL Cross-section needed</t>
  </si>
  <si>
    <t>Cable cross section needed</t>
  </si>
  <si>
    <t>aluminum</t>
  </si>
  <si>
    <t>OHL R in pu</t>
  </si>
  <si>
    <t>Cable R pu</t>
  </si>
  <si>
    <t>copper</t>
  </si>
  <si>
    <t>loss a MW</t>
  </si>
  <si>
    <t>loss b V/A</t>
  </si>
  <si>
    <t>loss c Ohm</t>
  </si>
  <si>
    <t>Losses</t>
  </si>
  <si>
    <t>Inputs</t>
  </si>
  <si>
    <t>Outputs</t>
  </si>
  <si>
    <t>Losses check:</t>
  </si>
  <si>
    <t>utilization in pu</t>
  </si>
  <si>
    <t>losses in %</t>
  </si>
  <si>
    <t>losses in mMW</t>
  </si>
  <si>
    <t>utilization in MW</t>
  </si>
  <si>
    <t>Filter capacitor</t>
  </si>
  <si>
    <t xml:space="preserve">{} according to </t>
  </si>
  <si>
    <t>10.1109/TPWRD.2014.2340870</t>
  </si>
  <si>
    <t>Frequency</t>
  </si>
  <si>
    <t>Not reqiored for VSC &amp; MMC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</si>
</sst>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7"/>
      <color rgb="FF099299"/>
      <name val="Arial"/>
      <family val="2"/>
    </font>
    <font>
      <sz val="7.5"/>
      <color rgb="FF000000"/>
      <name val="Arial"/>
      <family val="2"/>
    </font>
    <font>
      <sz val="7.5"/>
      <name val="Times New Roman"/>
      <family val="1"/>
    </font>
    <font>
      <sz val="7.5"/>
      <name val="Arial"/>
      <family val="2"/>
    </font>
    <font>
      <b/>
      <sz val="9"/>
      <color theme="1"/>
      <name val="Arial"/>
      <family val="2"/>
    </font>
    <font>
      <sz val="7.5"/>
      <color theme="1"/>
      <name val="Times New Roman"/>
      <family val="1"/>
    </font>
    <font>
      <b/>
      <vertAlign val="superscript"/>
      <sz val="9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Tahoma"/>
      <family val="2"/>
    </font>
    <font>
      <u/>
      <sz val="12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DF7F8"/>
        <bgColor indexed="64"/>
      </patternFill>
    </fill>
    <fill>
      <patternFill patternType="solid">
        <fgColor rgb="FFE6EBF4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  <xf numFmtId="0" fontId="0" fillId="0" borderId="4" xfId="0" applyBorder="1"/>
    <xf numFmtId="0" fontId="0" fillId="2" borderId="2" xfId="0" applyFill="1" applyBorder="1"/>
    <xf numFmtId="0" fontId="0" fillId="2" borderId="4" xfId="0" applyFill="1" applyBorder="1"/>
    <xf numFmtId="0" fontId="1" fillId="0" borderId="5" xfId="0" applyFont="1" applyBorder="1"/>
    <xf numFmtId="0" fontId="0" fillId="2" borderId="6" xfId="0" applyFill="1" applyBorder="1"/>
    <xf numFmtId="0" fontId="2" fillId="3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2" fontId="3" fillId="0" borderId="7" xfId="0" applyNumberFormat="1" applyFont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7" fillId="4" borderId="7" xfId="0" applyFont="1" applyFill="1" applyBorder="1" applyAlignment="1">
      <alignment horizontal="left" vertical="center" wrapText="1"/>
    </xf>
    <xf numFmtId="0" fontId="6" fillId="4" borderId="15" xfId="0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1" fontId="9" fillId="0" borderId="16" xfId="0" applyNumberFormat="1" applyFont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1" fontId="9" fillId="4" borderId="16" xfId="0" applyNumberFormat="1" applyFont="1" applyFill="1" applyBorder="1" applyAlignment="1">
      <alignment horizontal="center" vertical="center" wrapText="1"/>
    </xf>
    <xf numFmtId="0" fontId="0" fillId="0" borderId="6" xfId="0" applyBorder="1"/>
    <xf numFmtId="0" fontId="0" fillId="5" borderId="17" xfId="0" applyFill="1" applyBorder="1"/>
    <xf numFmtId="0" fontId="0" fillId="5" borderId="0" xfId="0" applyFill="1"/>
    <xf numFmtId="0" fontId="0" fillId="5" borderId="18" xfId="0" applyFill="1" applyBorder="1"/>
    <xf numFmtId="11" fontId="0" fillId="0" borderId="0" xfId="0" applyNumberFormat="1"/>
    <xf numFmtId="0" fontId="11" fillId="0" borderId="0" xfId="1"/>
    <xf numFmtId="11" fontId="0" fillId="5" borderId="0" xfId="0" applyNumberFormat="1" applyFill="1"/>
    <xf numFmtId="0" fontId="6" fillId="4" borderId="9" xfId="0" applyFont="1" applyFill="1" applyBorder="1" applyAlignment="1">
      <alignment horizontal="center" vertical="center" wrapText="1"/>
    </xf>
    <xf numFmtId="0" fontId="6" fillId="4" borderId="10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'Cable - OHL loss data'!$F$1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'Cable - OHL loss data'!$F$4:$F$38</c:f>
              <c:numCache>
                <c:formatCode>General</c:formatCode>
                <c:ptCount val="35"/>
                <c:pt idx="0">
                  <c:v>110</c:v>
                </c:pt>
                <c:pt idx="1">
                  <c:v>145</c:v>
                </c:pt>
                <c:pt idx="2">
                  <c:v>145</c:v>
                </c:pt>
                <c:pt idx="3">
                  <c:v>195</c:v>
                </c:pt>
                <c:pt idx="4">
                  <c:v>195</c:v>
                </c:pt>
                <c:pt idx="5">
                  <c:v>200</c:v>
                </c:pt>
                <c:pt idx="6">
                  <c:v>255</c:v>
                </c:pt>
                <c:pt idx="7">
                  <c:v>295</c:v>
                </c:pt>
                <c:pt idx="8">
                  <c:v>340</c:v>
                </c:pt>
                <c:pt idx="9">
                  <c:v>390</c:v>
                </c:pt>
                <c:pt idx="10">
                  <c:v>480</c:v>
                </c:pt>
                <c:pt idx="11">
                  <c:v>490</c:v>
                </c:pt>
                <c:pt idx="12">
                  <c:v>560</c:v>
                </c:pt>
                <c:pt idx="13">
                  <c:v>570</c:v>
                </c:pt>
                <c:pt idx="14">
                  <c:v>575</c:v>
                </c:pt>
                <c:pt idx="15">
                  <c:v>620</c:v>
                </c:pt>
                <c:pt idx="16">
                  <c:v>635</c:v>
                </c:pt>
                <c:pt idx="17">
                  <c:v>700</c:v>
                </c:pt>
                <c:pt idx="18">
                  <c:v>710</c:v>
                </c:pt>
                <c:pt idx="19">
                  <c:v>715</c:v>
                </c:pt>
                <c:pt idx="20">
                  <c:v>725</c:v>
                </c:pt>
                <c:pt idx="21">
                  <c:v>775</c:v>
                </c:pt>
                <c:pt idx="22">
                  <c:v>785</c:v>
                </c:pt>
                <c:pt idx="23">
                  <c:v>790</c:v>
                </c:pt>
                <c:pt idx="24">
                  <c:v>855</c:v>
                </c:pt>
                <c:pt idx="25">
                  <c:v>860</c:v>
                </c:pt>
                <c:pt idx="26">
                  <c:v>970</c:v>
                </c:pt>
                <c:pt idx="27">
                  <c:v>995</c:v>
                </c:pt>
                <c:pt idx="28">
                  <c:v>1090</c:v>
                </c:pt>
                <c:pt idx="29">
                  <c:v>1095</c:v>
                </c:pt>
                <c:pt idx="30">
                  <c:v>1150</c:v>
                </c:pt>
                <c:pt idx="31">
                  <c:v>1205</c:v>
                </c:pt>
                <c:pt idx="32">
                  <c:v>1310</c:v>
                </c:pt>
                <c:pt idx="33">
                  <c:v>1505</c:v>
                </c:pt>
                <c:pt idx="34">
                  <c:v>1815</c:v>
                </c:pt>
              </c:numCache>
            </c:numRef>
          </c:xVal>
          <c:yVal>
            <c:numRef>
              <c:f>'Cable - OHL loss data'!$B$4:$B$38</c:f>
              <c:numCache>
                <c:formatCode>General</c:formatCode>
                <c:ptCount val="35"/>
                <c:pt idx="0">
                  <c:v>15.52</c:v>
                </c:pt>
                <c:pt idx="1">
                  <c:v>24.71</c:v>
                </c:pt>
                <c:pt idx="2">
                  <c:v>26.47</c:v>
                </c:pt>
                <c:pt idx="3">
                  <c:v>39.19</c:v>
                </c:pt>
                <c:pt idx="4">
                  <c:v>42.09</c:v>
                </c:pt>
                <c:pt idx="5">
                  <c:v>49.48</c:v>
                </c:pt>
                <c:pt idx="6">
                  <c:v>62.44</c:v>
                </c:pt>
                <c:pt idx="7">
                  <c:v>78.55</c:v>
                </c:pt>
                <c:pt idx="8">
                  <c:v>99.31</c:v>
                </c:pt>
                <c:pt idx="9">
                  <c:v>125.1</c:v>
                </c:pt>
                <c:pt idx="10">
                  <c:v>142.5</c:v>
                </c:pt>
                <c:pt idx="11">
                  <c:v>156.9</c:v>
                </c:pt>
                <c:pt idx="12">
                  <c:v>179.7</c:v>
                </c:pt>
                <c:pt idx="13">
                  <c:v>198.4</c:v>
                </c:pt>
                <c:pt idx="14">
                  <c:v>210.3</c:v>
                </c:pt>
                <c:pt idx="15">
                  <c:v>212.1</c:v>
                </c:pt>
                <c:pt idx="16">
                  <c:v>234</c:v>
                </c:pt>
                <c:pt idx="17">
                  <c:v>255.8</c:v>
                </c:pt>
                <c:pt idx="18">
                  <c:v>273</c:v>
                </c:pt>
                <c:pt idx="19">
                  <c:v>281.10000000000002</c:v>
                </c:pt>
                <c:pt idx="20">
                  <c:v>297.60000000000002</c:v>
                </c:pt>
                <c:pt idx="21">
                  <c:v>298.2</c:v>
                </c:pt>
                <c:pt idx="22">
                  <c:v>318.89999999999998</c:v>
                </c:pt>
                <c:pt idx="23">
                  <c:v>328.5</c:v>
                </c:pt>
                <c:pt idx="24">
                  <c:v>365</c:v>
                </c:pt>
                <c:pt idx="25">
                  <c:v>374.3</c:v>
                </c:pt>
                <c:pt idx="26">
                  <c:v>431.6</c:v>
                </c:pt>
                <c:pt idx="27">
                  <c:v>468</c:v>
                </c:pt>
                <c:pt idx="28">
                  <c:v>517.29999999999995</c:v>
                </c:pt>
                <c:pt idx="29">
                  <c:v>547.29999999999995</c:v>
                </c:pt>
                <c:pt idx="30">
                  <c:v>593.6</c:v>
                </c:pt>
                <c:pt idx="31">
                  <c:v>604.4</c:v>
                </c:pt>
                <c:pt idx="32">
                  <c:v>689.1</c:v>
                </c:pt>
                <c:pt idx="33">
                  <c:v>859.8</c:v>
                </c:pt>
                <c:pt idx="34">
                  <c:v>1092.28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ED-5A49-80A4-42193EA6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2762959"/>
        <c:axId val="632765231"/>
      </c:scatterChart>
      <c:valAx>
        <c:axId val="63276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2765231"/>
        <c:crosses val="autoZero"/>
        <c:crossBetween val="midCat"/>
      </c:valAx>
      <c:valAx>
        <c:axId val="63276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3276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'Cable - OHL loss data'!$F$46:$F$66</c:f>
              <c:numCache>
                <c:formatCode>0</c:formatCode>
                <c:ptCount val="21"/>
                <c:pt idx="0">
                  <c:v>344</c:v>
                </c:pt>
                <c:pt idx="1">
                  <c:v>392</c:v>
                </c:pt>
                <c:pt idx="2">
                  <c:v>440</c:v>
                </c:pt>
                <c:pt idx="3">
                  <c:v>498.66666666666669</c:v>
                </c:pt>
                <c:pt idx="4">
                  <c:v>576</c:v>
                </c:pt>
                <c:pt idx="5">
                  <c:v>656</c:v>
                </c:pt>
                <c:pt idx="6">
                  <c:v>753.33333333333337</c:v>
                </c:pt>
                <c:pt idx="7">
                  <c:v>878.66666666666663</c:v>
                </c:pt>
                <c:pt idx="8">
                  <c:v>969.33333333333337</c:v>
                </c:pt>
                <c:pt idx="9">
                  <c:v>1169.3333333333333</c:v>
                </c:pt>
                <c:pt idx="10">
                  <c:v>1334.6666666666667</c:v>
                </c:pt>
                <c:pt idx="11">
                  <c:v>1461.3333333333333</c:v>
                </c:pt>
                <c:pt idx="12">
                  <c:v>1614.6666666666667</c:v>
                </c:pt>
                <c:pt idx="13">
                  <c:v>1721.3333333333333</c:v>
                </c:pt>
                <c:pt idx="14">
                  <c:v>1860</c:v>
                </c:pt>
                <c:pt idx="15">
                  <c:v>1976</c:v>
                </c:pt>
                <c:pt idx="16">
                  <c:v>2094.6666666666665</c:v>
                </c:pt>
                <c:pt idx="17">
                  <c:v>2202.6666666666665</c:v>
                </c:pt>
                <c:pt idx="18">
                  <c:v>2305.3333333333335</c:v>
                </c:pt>
                <c:pt idx="19">
                  <c:v>2408</c:v>
                </c:pt>
                <c:pt idx="20">
                  <c:v>2504</c:v>
                </c:pt>
              </c:numCache>
            </c:numRef>
          </c:xVal>
          <c:yVal>
            <c:numRef>
              <c:f>'Cable - OHL loss data'!$E$46:$E$66</c:f>
              <c:numCache>
                <c:formatCode>General</c:formatCode>
                <c:ptCount val="21"/>
                <c:pt idx="0">
                  <c:v>95</c:v>
                </c:pt>
                <c:pt idx="1">
                  <c:v>120</c:v>
                </c:pt>
                <c:pt idx="2">
                  <c:v>150</c:v>
                </c:pt>
                <c:pt idx="3">
                  <c:v>185</c:v>
                </c:pt>
                <c:pt idx="4">
                  <c:v>240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630</c:v>
                </c:pt>
                <c:pt idx="9">
                  <c:v>800</c:v>
                </c:pt>
                <c:pt idx="10">
                  <c:v>1000</c:v>
                </c:pt>
                <c:pt idx="11">
                  <c:v>1200</c:v>
                </c:pt>
                <c:pt idx="12">
                  <c:v>1400</c:v>
                </c:pt>
                <c:pt idx="13">
                  <c:v>1600</c:v>
                </c:pt>
                <c:pt idx="14">
                  <c:v>1800</c:v>
                </c:pt>
                <c:pt idx="15">
                  <c:v>2000</c:v>
                </c:pt>
                <c:pt idx="16">
                  <c:v>2200</c:v>
                </c:pt>
                <c:pt idx="17">
                  <c:v>2400</c:v>
                </c:pt>
                <c:pt idx="18">
                  <c:v>2600</c:v>
                </c:pt>
                <c:pt idx="19">
                  <c:v>2800</c:v>
                </c:pt>
                <c:pt idx="20">
                  <c:v>3000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BE-FE4C-AD8C-CCF9F2CC6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8327679"/>
        <c:axId val="1168329407"/>
      </c:scatterChart>
      <c:valAx>
        <c:axId val="11683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68329407"/>
        <c:crosses val="autoZero"/>
        <c:crossBetween val="midCat"/>
      </c:valAx>
      <c:valAx>
        <c:axId val="116832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68327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'Cable - OHL loss data'!$J$55:$J$62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'Cable - OHL loss data'!$K$55:$K$62</c:f>
              <c:numCache>
                <c:formatCode>General</c:formatCode>
                <c:ptCount val="8"/>
                <c:pt idx="0">
                  <c:v>0.4</c:v>
                </c:pt>
                <c:pt idx="1">
                  <c:v>0.8</c:v>
                </c:pt>
                <c:pt idx="2">
                  <c:v>1.3</c:v>
                </c:pt>
                <c:pt idx="3">
                  <c:v>1.8</c:v>
                </c:pt>
                <c:pt idx="4">
                  <c:v>2.4500000000000002</c:v>
                </c:pt>
                <c:pt idx="5">
                  <c:v>3.05</c:v>
                </c:pt>
                <c:pt idx="6">
                  <c:v>3.75</c:v>
                </c:pt>
                <c:pt idx="7">
                  <c:v>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24-6B4B-A188-425F7AE3A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107936"/>
        <c:axId val="611895472"/>
      </c:scatterChart>
      <c:valAx>
        <c:axId val="6121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1895472"/>
        <c:crosses val="autoZero"/>
        <c:crossBetween val="midCat"/>
      </c:valAx>
      <c:valAx>
        <c:axId val="61189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612107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32301924759405076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BE"/>
                </a:p>
              </c:txPr>
            </c:trendlineLbl>
          </c:trendline>
          <c:xVal>
            <c:numRef>
              <c:f>'Cable - OHL loss data'!$M$55:$M$62</c:f>
              <c:numCache>
                <c:formatCode>General</c:formatCode>
                <c:ptCount val="8"/>
                <c:pt idx="0">
                  <c:v>0.125</c:v>
                </c:pt>
                <c:pt idx="1">
                  <c:v>0.25</c:v>
                </c:pt>
                <c:pt idx="2">
                  <c:v>0.375</c:v>
                </c:pt>
                <c:pt idx="3">
                  <c:v>0.5</c:v>
                </c:pt>
                <c:pt idx="4">
                  <c:v>0.625</c:v>
                </c:pt>
                <c:pt idx="5">
                  <c:v>0.75</c:v>
                </c:pt>
                <c:pt idx="6">
                  <c:v>0.875</c:v>
                </c:pt>
                <c:pt idx="7">
                  <c:v>1</c:v>
                </c:pt>
              </c:numCache>
            </c:numRef>
          </c:xVal>
          <c:yVal>
            <c:numRef>
              <c:f>'Cable - OHL loss data'!$N$55:$N$62</c:f>
              <c:numCache>
                <c:formatCode>General</c:formatCode>
                <c:ptCount val="8"/>
                <c:pt idx="0">
                  <c:v>5.5999999999999999E-3</c:v>
                </c:pt>
                <c:pt idx="1">
                  <c:v>5.5999999999999999E-3</c:v>
                </c:pt>
                <c:pt idx="2">
                  <c:v>6.0666666666666664E-3</c:v>
                </c:pt>
                <c:pt idx="3">
                  <c:v>6.3E-3</c:v>
                </c:pt>
                <c:pt idx="4">
                  <c:v>6.8600000000000006E-3</c:v>
                </c:pt>
                <c:pt idx="5">
                  <c:v>7.1166666666666652E-3</c:v>
                </c:pt>
                <c:pt idx="6">
                  <c:v>7.4999999999999997E-3</c:v>
                </c:pt>
                <c:pt idx="7">
                  <c:v>7.8750000000000001E-3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C-574B-84A9-F7CC86505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6403136"/>
        <c:axId val="1162477519"/>
      </c:scatterChart>
      <c:valAx>
        <c:axId val="109640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162477519"/>
        <c:crosses val="autoZero"/>
        <c:crossBetween val="midCat"/>
      </c:valAx>
      <c:valAx>
        <c:axId val="116247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0964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3</xdr:row>
      <xdr:rowOff>152400</xdr:rowOff>
    </xdr:from>
    <xdr:to>
      <xdr:col>19</xdr:col>
      <xdr:colOff>228600</xdr:colOff>
      <xdr:row>32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D59595-44F8-3328-3BCB-BDAD9FA56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342900</xdr:colOff>
      <xdr:row>36</xdr:row>
      <xdr:rowOff>95250</xdr:rowOff>
    </xdr:from>
    <xdr:to>
      <xdr:col>13</xdr:col>
      <xdr:colOff>787400</xdr:colOff>
      <xdr:row>48</xdr:row>
      <xdr:rowOff>209550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97F3BF-92F8-1CB2-385C-9E3DD2D912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723900</xdr:colOff>
      <xdr:row>47</xdr:row>
      <xdr:rowOff>69850</xdr:rowOff>
    </xdr:from>
    <xdr:to>
      <xdr:col>21</xdr:col>
      <xdr:colOff>342900</xdr:colOff>
      <xdr:row>60</xdr:row>
      <xdr:rowOff>6350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B116BA-F522-BD0D-A9F7-03B3E7C34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609600</xdr:colOff>
      <xdr:row>60</xdr:row>
      <xdr:rowOff>184150</xdr:rowOff>
    </xdr:from>
    <xdr:to>
      <xdr:col>21</xdr:col>
      <xdr:colOff>228600</xdr:colOff>
      <xdr:row>74</xdr:row>
      <xdr:rowOff>6350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BC249A4-007E-BFCF-54C1-A0E57BAAE9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109/TPWRD.2014.234087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81F30-A2AA-4B43-B6DF-C88CB6B9C21D}">
  <dimension ref="A1:S23"/>
  <sheetViews>
    <sheetView tabSelected="1" workbookViewId="0">
      <selection activeCell="N13" sqref="N13"/>
    </sheetView>
  </sheetViews>
  <sheetFormatPr baseColWidth="10" defaultRowHeight="16" x14ac:dyDescent="0.2"/>
  <cols>
    <col min="1" max="1" width="24.6640625" customWidth="1"/>
    <col min="2" max="2" width="12.1640625" bestFit="1" customWidth="1"/>
    <col min="11" max="11" width="39.33203125" bestFit="1" customWidth="1"/>
    <col min="16" max="16" width="13.83203125" bestFit="1" customWidth="1"/>
    <col min="17" max="17" width="15.33203125" bestFit="1" customWidth="1"/>
    <col min="18" max="18" width="13.83203125" bestFit="1" customWidth="1"/>
  </cols>
  <sheetData>
    <row r="1" spans="1:19" ht="22" thickBot="1" x14ac:dyDescent="0.3">
      <c r="A1" s="1" t="s">
        <v>95</v>
      </c>
      <c r="K1" t="s">
        <v>2</v>
      </c>
      <c r="L1">
        <v>15</v>
      </c>
      <c r="N1" t="s">
        <v>11</v>
      </c>
      <c r="O1">
        <f>(B3*1000)^2 / (100 * 1000000)</f>
        <v>1600</v>
      </c>
      <c r="P1" t="s">
        <v>97</v>
      </c>
    </row>
    <row r="2" spans="1:19" ht="21" x14ac:dyDescent="0.25">
      <c r="A2" s="2" t="s">
        <v>0</v>
      </c>
      <c r="B2" s="6">
        <v>3200</v>
      </c>
      <c r="K2" t="s">
        <v>3</v>
      </c>
      <c r="L2">
        <v>35</v>
      </c>
      <c r="N2" t="s">
        <v>76</v>
      </c>
      <c r="O2">
        <f>(B4*1000)^2 / (100 * 1000000)</f>
        <v>2756.25</v>
      </c>
      <c r="P2" t="s">
        <v>98</v>
      </c>
      <c r="Q2" t="s">
        <v>101</v>
      </c>
      <c r="R2" t="s">
        <v>100</v>
      </c>
      <c r="S2" t="s">
        <v>99</v>
      </c>
    </row>
    <row r="3" spans="1:19" ht="21" x14ac:dyDescent="0.25">
      <c r="A3" s="8" t="s">
        <v>16</v>
      </c>
      <c r="B3" s="9">
        <v>400</v>
      </c>
      <c r="K3" t="s">
        <v>4</v>
      </c>
      <c r="L3">
        <v>7.5</v>
      </c>
      <c r="P3">
        <f>0.1</f>
        <v>0.1</v>
      </c>
      <c r="Q3">
        <f>$B$2 * P3</f>
        <v>320</v>
      </c>
      <c r="R3">
        <f xml:space="preserve"> $B$12 + Q3 * $B$13 / ($B$3 * SQRT(3)) + Q3^2*$B$14 / $O$1</f>
        <v>4.7625600000000006</v>
      </c>
      <c r="S3">
        <f>R3 / $B$2 *100</f>
        <v>0.14883000000000002</v>
      </c>
    </row>
    <row r="4" spans="1:19" ht="21" x14ac:dyDescent="0.25">
      <c r="A4" s="8" t="s">
        <v>17</v>
      </c>
      <c r="B4" s="9">
        <v>525</v>
      </c>
      <c r="K4" t="s">
        <v>3</v>
      </c>
      <c r="L4">
        <v>30</v>
      </c>
      <c r="P4">
        <v>0.2</v>
      </c>
      <c r="Q4">
        <f t="shared" ref="Q4:Q12" si="0">$B$2 * P4</f>
        <v>640</v>
      </c>
      <c r="R4">
        <f t="shared" ref="R4:R12" si="1" xml:space="preserve"> $B$12 + Q4 * $B$13 / ($B$3 * SQRT(3)) + Q4^2*$B$14 / $O$1</f>
        <v>6.2185600000000001</v>
      </c>
      <c r="S4">
        <f t="shared" ref="S4:S12" si="2">R4 / $B$2 *100</f>
        <v>0.19433</v>
      </c>
    </row>
    <row r="5" spans="1:19" ht="22" thickBot="1" x14ac:dyDescent="0.3">
      <c r="A5" s="4" t="s">
        <v>75</v>
      </c>
      <c r="B5" s="7">
        <v>4000</v>
      </c>
      <c r="K5" t="s">
        <v>5</v>
      </c>
      <c r="L5">
        <f xml:space="preserve"> (B3*10^3)^2 / (B2*10^6) * (L1 / 100)</f>
        <v>7.5</v>
      </c>
      <c r="P5">
        <v>0.3</v>
      </c>
      <c r="Q5">
        <f t="shared" si="0"/>
        <v>960</v>
      </c>
      <c r="R5">
        <f t="shared" si="1"/>
        <v>7.8985600000000007</v>
      </c>
      <c r="S5">
        <f t="shared" si="2"/>
        <v>0.24683000000000002</v>
      </c>
    </row>
    <row r="6" spans="1:19" ht="22" thickBot="1" x14ac:dyDescent="0.3">
      <c r="A6" s="1" t="s">
        <v>96</v>
      </c>
      <c r="K6" t="s">
        <v>7</v>
      </c>
      <c r="L6">
        <f xml:space="preserve"> L5 * SIN( ATAN(L2))</f>
        <v>7.4969406484552108</v>
      </c>
      <c r="M6">
        <f>L6/(100*PI())</f>
        <v>2.3863503245364119E-2</v>
      </c>
      <c r="P6">
        <v>0.4</v>
      </c>
      <c r="Q6">
        <f t="shared" si="0"/>
        <v>1280</v>
      </c>
      <c r="R6">
        <f t="shared" si="1"/>
        <v>9.8025599999999997</v>
      </c>
      <c r="S6">
        <f t="shared" si="2"/>
        <v>0.30632999999999999</v>
      </c>
    </row>
    <row r="7" spans="1:19" ht="21" x14ac:dyDescent="0.25">
      <c r="A7" s="2" t="s">
        <v>12</v>
      </c>
      <c r="B7" s="24">
        <f>L7 / O1</f>
        <v>1.3387394015098631E-4</v>
      </c>
      <c r="C7" s="3"/>
      <c r="K7" t="s">
        <v>6</v>
      </c>
      <c r="L7">
        <f xml:space="preserve"> L5 * COS( ATAN(L2))</f>
        <v>0.21419830424157812</v>
      </c>
      <c r="P7">
        <v>0.5</v>
      </c>
      <c r="Q7">
        <f t="shared" si="0"/>
        <v>1600</v>
      </c>
      <c r="R7">
        <f t="shared" si="1"/>
        <v>11.930560000000002</v>
      </c>
      <c r="S7">
        <f t="shared" si="2"/>
        <v>0.37283000000000005</v>
      </c>
    </row>
    <row r="8" spans="1:19" ht="21" x14ac:dyDescent="0.25">
      <c r="A8" s="8" t="s">
        <v>13</v>
      </c>
      <c r="B8" s="25">
        <f>L6 / O1</f>
        <v>4.6855879052845068E-3</v>
      </c>
      <c r="C8" s="23"/>
      <c r="K8" t="s">
        <v>10</v>
      </c>
      <c r="L8">
        <f xml:space="preserve"> (B3*10^3)^2 / (B2*10^6) * (L3 / 100)</f>
        <v>3.75</v>
      </c>
      <c r="P8">
        <v>0.6</v>
      </c>
      <c r="Q8">
        <f t="shared" si="0"/>
        <v>1920</v>
      </c>
      <c r="R8">
        <f t="shared" si="1"/>
        <v>14.28256</v>
      </c>
      <c r="S8">
        <f t="shared" si="2"/>
        <v>0.44633</v>
      </c>
    </row>
    <row r="9" spans="1:19" ht="21" x14ac:dyDescent="0.25">
      <c r="A9" s="8" t="s">
        <v>1</v>
      </c>
      <c r="B9" s="29">
        <f>$L$22 * 2 * PI() * $L$23 * $O$1</f>
        <v>15.079644737231007</v>
      </c>
      <c r="C9" s="23" t="s">
        <v>106</v>
      </c>
      <c r="K9" t="s">
        <v>9</v>
      </c>
      <c r="L9">
        <f xml:space="preserve"> L8 * SIN( ATAN(L4))</f>
        <v>3.747918401171829</v>
      </c>
      <c r="M9">
        <f>L9 / (100*PI())</f>
        <v>1.1929994797031395E-2</v>
      </c>
      <c r="P9">
        <v>0.7</v>
      </c>
      <c r="Q9">
        <f t="shared" si="0"/>
        <v>2240</v>
      </c>
      <c r="R9">
        <f t="shared" si="1"/>
        <v>16.858560000000001</v>
      </c>
      <c r="S9">
        <f t="shared" si="2"/>
        <v>0.52683000000000002</v>
      </c>
    </row>
    <row r="10" spans="1:19" ht="21" x14ac:dyDescent="0.25">
      <c r="A10" s="8" t="s">
        <v>14</v>
      </c>
      <c r="B10" s="25">
        <f>L10 / O1</f>
        <v>7.808163335774662E-5</v>
      </c>
      <c r="C10" s="23"/>
      <c r="K10" t="s">
        <v>8</v>
      </c>
      <c r="L10">
        <f xml:space="preserve"> L8 * COS( ATAN(L4))</f>
        <v>0.1249306133723946</v>
      </c>
      <c r="P10">
        <v>0.8</v>
      </c>
      <c r="Q10">
        <f t="shared" si="0"/>
        <v>2560</v>
      </c>
      <c r="R10">
        <f t="shared" si="1"/>
        <v>19.658560000000001</v>
      </c>
      <c r="S10">
        <f t="shared" si="2"/>
        <v>0.61433000000000004</v>
      </c>
    </row>
    <row r="11" spans="1:19" ht="21" x14ac:dyDescent="0.25">
      <c r="A11" s="8" t="s">
        <v>15</v>
      </c>
      <c r="B11" s="25">
        <f xml:space="preserve"> L9 / O1</f>
        <v>2.3424490007323932E-3</v>
      </c>
      <c r="C11" s="23"/>
      <c r="P11">
        <v>0.9</v>
      </c>
      <c r="Q11">
        <f t="shared" si="0"/>
        <v>2880</v>
      </c>
      <c r="R11">
        <f t="shared" si="1"/>
        <v>22.682560000000002</v>
      </c>
      <c r="S11">
        <f t="shared" si="2"/>
        <v>0.70883000000000007</v>
      </c>
    </row>
    <row r="12" spans="1:19" ht="21" x14ac:dyDescent="0.25">
      <c r="A12" s="8" t="s">
        <v>91</v>
      </c>
      <c r="B12" s="25">
        <f>1.1033 * 10^-3 * B2</f>
        <v>3.5305599999999999</v>
      </c>
      <c r="C12" s="23"/>
      <c r="P12">
        <v>1</v>
      </c>
      <c r="Q12">
        <f t="shared" si="0"/>
        <v>3200</v>
      </c>
      <c r="R12">
        <f t="shared" si="1"/>
        <v>25.930560000000003</v>
      </c>
      <c r="S12">
        <f t="shared" si="2"/>
        <v>0.81033000000000011</v>
      </c>
    </row>
    <row r="13" spans="1:19" ht="21" x14ac:dyDescent="0.25">
      <c r="A13" s="8" t="s">
        <v>92</v>
      </c>
      <c r="B13" s="25">
        <f>0.0035 * ($B$3 * SQRT(3))</f>
        <v>2.4248711305964283</v>
      </c>
      <c r="C13" s="23"/>
    </row>
    <row r="14" spans="1:19" ht="21" x14ac:dyDescent="0.25">
      <c r="A14" s="8" t="s">
        <v>93</v>
      </c>
      <c r="B14" s="25">
        <f xml:space="preserve"> 0.0035 / $B$2 * $O$1</f>
        <v>1.7500000000000003E-3</v>
      </c>
      <c r="C14" s="23"/>
      <c r="K14" t="s">
        <v>18</v>
      </c>
      <c r="L14">
        <f xml:space="preserve"> (B2*1000000) / (2 * B4 *1000)</f>
        <v>3047.6190476190477</v>
      </c>
    </row>
    <row r="15" spans="1:19" ht="21" x14ac:dyDescent="0.25">
      <c r="A15" s="8"/>
      <c r="B15" s="25"/>
      <c r="C15" s="23"/>
      <c r="K15" t="s">
        <v>72</v>
      </c>
      <c r="L15">
        <v>1</v>
      </c>
    </row>
    <row r="16" spans="1:19" ht="21" x14ac:dyDescent="0.25">
      <c r="A16" s="8" t="s">
        <v>88</v>
      </c>
      <c r="B16" s="25">
        <f xml:space="preserve"> 0.0264 * L18 /1000 * B5 / O2</f>
        <v>1.8758628834583669E-2</v>
      </c>
      <c r="C16" s="23"/>
      <c r="K16" t="s">
        <v>73</v>
      </c>
      <c r="L16">
        <v>3</v>
      </c>
    </row>
    <row r="17" spans="1:14" ht="21" x14ac:dyDescent="0.25">
      <c r="A17" s="8" t="s">
        <v>89</v>
      </c>
      <c r="B17" s="25">
        <f xml:space="preserve"> 0.0264 * L19 /1000 * B5 / O2</f>
        <v>0.14625602456457956</v>
      </c>
      <c r="C17" s="23" t="s">
        <v>87</v>
      </c>
      <c r="K17" t="s">
        <v>74</v>
      </c>
      <c r="L17">
        <f xml:space="preserve"> L14 / (L15*L16)</f>
        <v>1015.8730158730159</v>
      </c>
    </row>
    <row r="18" spans="1:14" ht="22" thickBot="1" x14ac:dyDescent="0.3">
      <c r="A18" s="4" t="s">
        <v>89</v>
      </c>
      <c r="B18" s="26">
        <f xml:space="preserve"> (0.0178 *  1000 * B5) / $L$19 / $O$2</f>
        <v>6.7669494719907984E-3</v>
      </c>
      <c r="C18" s="5" t="s">
        <v>90</v>
      </c>
      <c r="K18" t="s">
        <v>85</v>
      </c>
      <c r="L18">
        <f xml:space="preserve">  0.0002*L17^2 + 0.3071*L17 - 28.758</f>
        <v>489.61620005039055</v>
      </c>
    </row>
    <row r="19" spans="1:14" x14ac:dyDescent="0.2">
      <c r="K19" t="s">
        <v>86</v>
      </c>
      <c r="L19">
        <f xml:space="preserve"> 0.0003*($L$14/$L$15)^2 + 0.364*($L$14/$L$15) - 78.321</f>
        <v>3817.4068911564627</v>
      </c>
    </row>
    <row r="22" spans="1:14" x14ac:dyDescent="0.2">
      <c r="K22" t="s">
        <v>102</v>
      </c>
      <c r="L22" s="27">
        <v>3.0000000000000001E-5</v>
      </c>
      <c r="M22" t="s">
        <v>103</v>
      </c>
      <c r="N22" s="28" t="s">
        <v>104</v>
      </c>
    </row>
    <row r="23" spans="1:14" x14ac:dyDescent="0.2">
      <c r="K23" t="s">
        <v>105</v>
      </c>
      <c r="L23">
        <v>50</v>
      </c>
    </row>
  </sheetData>
  <hyperlinks>
    <hyperlink ref="N22" r:id="rId1" display="https://doi.org/10.1109/TPWRD.2014.2340870" xr:uid="{19954A71-EFFB-A84B-9781-C43D738CE08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A0AA0-6FFC-E941-9217-F947E25FC9D9}">
  <dimension ref="A1:N66"/>
  <sheetViews>
    <sheetView workbookViewId="0">
      <selection activeCell="K62" sqref="K62"/>
    </sheetView>
  </sheetViews>
  <sheetFormatPr baseColWidth="10" defaultRowHeight="16" x14ac:dyDescent="0.2"/>
  <sheetData>
    <row r="1" spans="1:7" x14ac:dyDescent="0.2">
      <c r="A1" s="34" t="s">
        <v>19</v>
      </c>
      <c r="B1" s="34"/>
      <c r="C1" s="34"/>
      <c r="D1" s="34"/>
      <c r="E1" s="34"/>
      <c r="F1" s="34"/>
      <c r="G1" s="34"/>
    </row>
    <row r="2" spans="1:7" x14ac:dyDescent="0.2">
      <c r="A2" s="35" t="s">
        <v>20</v>
      </c>
      <c r="B2" s="35" t="s">
        <v>21</v>
      </c>
      <c r="C2" s="35" t="s">
        <v>22</v>
      </c>
      <c r="D2" s="37" t="s">
        <v>23</v>
      </c>
      <c r="E2" s="38"/>
      <c r="F2" s="39" t="s">
        <v>24</v>
      </c>
      <c r="G2" s="34" t="s">
        <v>25</v>
      </c>
    </row>
    <row r="3" spans="1:7" x14ac:dyDescent="0.2">
      <c r="A3" s="36"/>
      <c r="B3" s="36"/>
      <c r="C3" s="36"/>
      <c r="D3" s="10" t="s">
        <v>26</v>
      </c>
      <c r="E3" s="10" t="s">
        <v>27</v>
      </c>
      <c r="F3" s="40"/>
      <c r="G3" s="34"/>
    </row>
    <row r="4" spans="1:7" x14ac:dyDescent="0.2">
      <c r="A4" s="11" t="s">
        <v>28</v>
      </c>
      <c r="B4" s="11">
        <v>15.52</v>
      </c>
      <c r="C4" s="11" t="s">
        <v>29</v>
      </c>
      <c r="D4" s="12">
        <v>1.6789400000000001</v>
      </c>
      <c r="E4" s="12">
        <v>1.6789400000000001</v>
      </c>
      <c r="F4" s="11">
        <v>110</v>
      </c>
      <c r="G4" s="11">
        <v>5.04</v>
      </c>
    </row>
    <row r="5" spans="1:7" x14ac:dyDescent="0.2">
      <c r="A5" s="11" t="s">
        <v>30</v>
      </c>
      <c r="B5" s="11">
        <v>24.71</v>
      </c>
      <c r="C5" s="11" t="s">
        <v>29</v>
      </c>
      <c r="D5" s="12">
        <v>2.11836</v>
      </c>
      <c r="E5" s="12">
        <v>2.11836</v>
      </c>
      <c r="F5" s="11">
        <v>145</v>
      </c>
      <c r="G5" s="11">
        <v>6.36</v>
      </c>
    </row>
    <row r="6" spans="1:7" x14ac:dyDescent="0.2">
      <c r="A6" s="11" t="s">
        <v>31</v>
      </c>
      <c r="B6" s="11">
        <v>26.47</v>
      </c>
      <c r="C6" s="11" t="s">
        <v>32</v>
      </c>
      <c r="D6" s="12">
        <v>2.6136599999999999</v>
      </c>
      <c r="E6" s="12">
        <v>1.96088</v>
      </c>
      <c r="F6" s="11">
        <v>145</v>
      </c>
      <c r="G6" s="11">
        <v>6.53</v>
      </c>
    </row>
    <row r="7" spans="1:7" x14ac:dyDescent="0.2">
      <c r="A7" s="11" t="s">
        <v>33</v>
      </c>
      <c r="B7" s="11">
        <v>39.19</v>
      </c>
      <c r="C7" s="11" t="s">
        <v>29</v>
      </c>
      <c r="D7" s="12">
        <v>2.6720799999999998</v>
      </c>
      <c r="E7" s="12">
        <v>2.6720799999999998</v>
      </c>
      <c r="F7" s="11">
        <v>195</v>
      </c>
      <c r="G7" s="11">
        <v>8.01</v>
      </c>
    </row>
    <row r="8" spans="1:7" x14ac:dyDescent="0.2">
      <c r="A8" s="11" t="s">
        <v>34</v>
      </c>
      <c r="B8" s="11">
        <v>42.09</v>
      </c>
      <c r="C8" s="11" t="s">
        <v>32</v>
      </c>
      <c r="D8" s="12">
        <v>3.2994599999999994</v>
      </c>
      <c r="E8" s="12">
        <v>2.4739599999999999</v>
      </c>
      <c r="F8" s="11">
        <v>195</v>
      </c>
      <c r="G8" s="11">
        <v>8.24</v>
      </c>
    </row>
    <row r="9" spans="1:7" x14ac:dyDescent="0.2">
      <c r="A9" s="11" t="s">
        <v>35</v>
      </c>
      <c r="B9" s="11">
        <v>49.48</v>
      </c>
      <c r="C9" s="11" t="s">
        <v>29</v>
      </c>
      <c r="D9" s="12">
        <v>2.9997399999999996</v>
      </c>
      <c r="E9" s="12">
        <v>2.9997399999999996</v>
      </c>
      <c r="F9" s="11">
        <v>200</v>
      </c>
      <c r="G9" s="11">
        <v>9</v>
      </c>
    </row>
    <row r="10" spans="1:7" x14ac:dyDescent="0.2">
      <c r="A10" s="11" t="s">
        <v>36</v>
      </c>
      <c r="B10" s="11">
        <v>62.44</v>
      </c>
      <c r="C10" s="11" t="s">
        <v>29</v>
      </c>
      <c r="D10" s="12">
        <v>3.3705799999999999</v>
      </c>
      <c r="E10" s="12">
        <v>3.3705799999999999</v>
      </c>
      <c r="F10" s="11">
        <v>255</v>
      </c>
      <c r="G10" s="11">
        <v>10.11</v>
      </c>
    </row>
    <row r="11" spans="1:7" x14ac:dyDescent="0.2">
      <c r="A11" s="11" t="s">
        <v>37</v>
      </c>
      <c r="B11" s="11">
        <v>78.55</v>
      </c>
      <c r="C11" s="11" t="s">
        <v>29</v>
      </c>
      <c r="D11" s="12">
        <v>3.78206</v>
      </c>
      <c r="E11" s="12">
        <v>3.78206</v>
      </c>
      <c r="F11" s="11">
        <v>295</v>
      </c>
      <c r="G11" s="11">
        <v>11.34</v>
      </c>
    </row>
    <row r="12" spans="1:7" x14ac:dyDescent="0.2">
      <c r="A12" s="11" t="s">
        <v>38</v>
      </c>
      <c r="B12" s="11">
        <v>99.31</v>
      </c>
      <c r="C12" s="11" t="s">
        <v>29</v>
      </c>
      <c r="D12" s="12">
        <v>4.2468799999999991</v>
      </c>
      <c r="E12" s="12">
        <v>4.2468799999999991</v>
      </c>
      <c r="F12" s="11">
        <v>340</v>
      </c>
      <c r="G12" s="11">
        <v>12.75</v>
      </c>
    </row>
    <row r="13" spans="1:7" x14ac:dyDescent="0.2">
      <c r="A13" s="11" t="s">
        <v>39</v>
      </c>
      <c r="B13" s="11">
        <v>125.1</v>
      </c>
      <c r="C13" s="11" t="s">
        <v>29</v>
      </c>
      <c r="D13" s="12">
        <v>4.7701199999999995</v>
      </c>
      <c r="E13" s="12">
        <v>4.7701199999999995</v>
      </c>
      <c r="F13" s="11">
        <v>390</v>
      </c>
      <c r="G13" s="11">
        <v>14.31</v>
      </c>
    </row>
    <row r="14" spans="1:7" x14ac:dyDescent="0.2">
      <c r="A14" s="11" t="s">
        <v>40</v>
      </c>
      <c r="B14" s="11">
        <v>142.5</v>
      </c>
      <c r="C14" s="11" t="s">
        <v>41</v>
      </c>
      <c r="D14" s="12">
        <v>3.09118</v>
      </c>
      <c r="E14" s="12">
        <v>3.09118</v>
      </c>
      <c r="F14" s="11">
        <v>480</v>
      </c>
      <c r="G14" s="11">
        <v>15.45</v>
      </c>
    </row>
    <row r="15" spans="1:7" x14ac:dyDescent="0.2">
      <c r="A15" s="11" t="s">
        <v>42</v>
      </c>
      <c r="B15" s="11">
        <v>156.9</v>
      </c>
      <c r="C15" s="11" t="s">
        <v>43</v>
      </c>
      <c r="D15" s="12">
        <v>2.0015199999999997</v>
      </c>
      <c r="E15" s="12">
        <v>2.5730200000000001</v>
      </c>
      <c r="F15" s="11">
        <v>490</v>
      </c>
      <c r="G15" s="11">
        <v>16.28</v>
      </c>
    </row>
    <row r="16" spans="1:7" x14ac:dyDescent="0.2">
      <c r="A16" s="11" t="s">
        <v>44</v>
      </c>
      <c r="B16" s="11">
        <v>179.7</v>
      </c>
      <c r="C16" s="11" t="s">
        <v>41</v>
      </c>
      <c r="D16" s="12">
        <v>3.4721799999999994</v>
      </c>
      <c r="E16" s="12">
        <v>3.4721799999999994</v>
      </c>
      <c r="F16" s="11">
        <v>560</v>
      </c>
      <c r="G16" s="11">
        <v>17.350000000000001</v>
      </c>
    </row>
    <row r="17" spans="1:7" x14ac:dyDescent="0.2">
      <c r="A17" s="11" t="s">
        <v>45</v>
      </c>
      <c r="B17" s="11">
        <v>198.4</v>
      </c>
      <c r="C17" s="11" t="s">
        <v>43</v>
      </c>
      <c r="D17" s="12">
        <v>2.2453600000000002</v>
      </c>
      <c r="E17" s="12">
        <v>2.8879799999999998</v>
      </c>
      <c r="F17" s="11">
        <v>570</v>
      </c>
      <c r="G17" s="11">
        <v>18.309999999999999</v>
      </c>
    </row>
    <row r="18" spans="1:7" x14ac:dyDescent="0.2">
      <c r="A18" s="11" t="s">
        <v>46</v>
      </c>
      <c r="B18" s="11">
        <v>210.3</v>
      </c>
      <c r="C18" s="11" t="s">
        <v>47</v>
      </c>
      <c r="D18" s="12">
        <v>2.6898599999999999</v>
      </c>
      <c r="E18" s="12">
        <v>2.6898599999999999</v>
      </c>
      <c r="F18" s="11">
        <v>575</v>
      </c>
      <c r="G18" s="11">
        <v>18.829999999999998</v>
      </c>
    </row>
    <row r="19" spans="1:7" x14ac:dyDescent="0.2">
      <c r="A19" s="11" t="s">
        <v>48</v>
      </c>
      <c r="B19" s="11">
        <v>212.1</v>
      </c>
      <c r="C19" s="11" t="s">
        <v>41</v>
      </c>
      <c r="D19" s="12">
        <v>3.7744400000000002</v>
      </c>
      <c r="E19" s="12">
        <v>3.7744400000000002</v>
      </c>
      <c r="F19" s="11">
        <v>620</v>
      </c>
      <c r="G19" s="11">
        <v>18.850000000000001</v>
      </c>
    </row>
    <row r="20" spans="1:7" x14ac:dyDescent="0.2">
      <c r="A20" s="11" t="s">
        <v>49</v>
      </c>
      <c r="B20" s="11">
        <v>234</v>
      </c>
      <c r="C20" s="11" t="s">
        <v>43</v>
      </c>
      <c r="D20" s="12">
        <v>2.4409399999999999</v>
      </c>
      <c r="E20" s="12">
        <v>3.13944</v>
      </c>
      <c r="F20" s="11">
        <v>635</v>
      </c>
      <c r="G20" s="11">
        <v>19.88</v>
      </c>
    </row>
    <row r="21" spans="1:7" x14ac:dyDescent="0.2">
      <c r="A21" s="11" t="s">
        <v>50</v>
      </c>
      <c r="B21" s="11">
        <v>255.8</v>
      </c>
      <c r="C21" s="11" t="s">
        <v>41</v>
      </c>
      <c r="D21" s="12">
        <v>4.1351199999999997</v>
      </c>
      <c r="E21" s="12">
        <v>4.1351199999999997</v>
      </c>
      <c r="F21" s="11">
        <v>700</v>
      </c>
      <c r="G21" s="11">
        <v>20.7</v>
      </c>
    </row>
    <row r="22" spans="1:7" x14ac:dyDescent="0.2">
      <c r="A22" s="11" t="s">
        <v>51</v>
      </c>
      <c r="B22" s="11">
        <v>273</v>
      </c>
      <c r="C22" s="11" t="s">
        <v>52</v>
      </c>
      <c r="D22" s="12">
        <v>2.3875999999999999</v>
      </c>
      <c r="E22" s="12">
        <v>3.5813999999999995</v>
      </c>
      <c r="F22" s="11">
        <v>710</v>
      </c>
      <c r="G22" s="11">
        <v>21.49</v>
      </c>
    </row>
    <row r="23" spans="1:7" x14ac:dyDescent="0.2">
      <c r="A23" s="11" t="s">
        <v>53</v>
      </c>
      <c r="B23" s="11">
        <v>281.10000000000002</v>
      </c>
      <c r="C23" s="11" t="s">
        <v>43</v>
      </c>
      <c r="D23" s="12">
        <v>2.67462</v>
      </c>
      <c r="E23" s="12">
        <v>3.4391599999999998</v>
      </c>
      <c r="F23" s="11">
        <v>715</v>
      </c>
      <c r="G23" s="11">
        <v>21.77</v>
      </c>
    </row>
    <row r="24" spans="1:7" x14ac:dyDescent="0.2">
      <c r="A24" s="11" t="s">
        <v>54</v>
      </c>
      <c r="B24" s="11">
        <v>297.60000000000002</v>
      </c>
      <c r="C24" s="11" t="s">
        <v>47</v>
      </c>
      <c r="D24" s="12">
        <v>3.2029399999999995</v>
      </c>
      <c r="E24" s="12">
        <v>3.2029399999999995</v>
      </c>
      <c r="F24" s="11">
        <v>725</v>
      </c>
      <c r="G24" s="11">
        <v>22.4</v>
      </c>
    </row>
    <row r="25" spans="1:7" x14ac:dyDescent="0.2">
      <c r="A25" s="11" t="s">
        <v>55</v>
      </c>
      <c r="B25" s="11">
        <v>298.2</v>
      </c>
      <c r="C25" s="11" t="s">
        <v>41</v>
      </c>
      <c r="D25" s="12">
        <v>4.4653200000000002</v>
      </c>
      <c r="E25" s="12">
        <v>4.4653200000000002</v>
      </c>
      <c r="F25" s="11">
        <v>775</v>
      </c>
      <c r="G25" s="11">
        <v>22.35</v>
      </c>
    </row>
    <row r="26" spans="1:7" x14ac:dyDescent="0.2">
      <c r="A26" s="11" t="s">
        <v>56</v>
      </c>
      <c r="B26" s="11">
        <v>318.89999999999998</v>
      </c>
      <c r="C26" s="11" t="s">
        <v>52</v>
      </c>
      <c r="D26" s="12">
        <v>2.5781000000000001</v>
      </c>
      <c r="E26" s="12">
        <v>3.8684199999999995</v>
      </c>
      <c r="F26" s="11">
        <v>785</v>
      </c>
      <c r="G26" s="11">
        <v>23.22</v>
      </c>
    </row>
    <row r="27" spans="1:7" x14ac:dyDescent="0.2">
      <c r="A27" s="11" t="s">
        <v>57</v>
      </c>
      <c r="B27" s="11">
        <v>328.5</v>
      </c>
      <c r="C27" s="11" t="s">
        <v>43</v>
      </c>
      <c r="D27" s="12">
        <v>2.89052</v>
      </c>
      <c r="E27" s="12">
        <v>3.7160200000000003</v>
      </c>
      <c r="F27" s="11">
        <v>790</v>
      </c>
      <c r="G27" s="11">
        <v>23.55</v>
      </c>
    </row>
    <row r="28" spans="1:7" x14ac:dyDescent="0.2">
      <c r="A28" s="11" t="s">
        <v>58</v>
      </c>
      <c r="B28" s="11">
        <v>365</v>
      </c>
      <c r="C28" s="11" t="s">
        <v>52</v>
      </c>
      <c r="D28" s="12">
        <v>2.7559</v>
      </c>
      <c r="E28" s="12">
        <v>4.1351199999999997</v>
      </c>
      <c r="F28" s="11">
        <v>855</v>
      </c>
      <c r="G28" s="11">
        <v>24.84</v>
      </c>
    </row>
    <row r="29" spans="1:7" x14ac:dyDescent="0.2">
      <c r="A29" s="11" t="s">
        <v>59</v>
      </c>
      <c r="B29" s="11">
        <v>374.3</v>
      </c>
      <c r="C29" s="11" t="s">
        <v>43</v>
      </c>
      <c r="D29" s="12">
        <v>3.0886399999999998</v>
      </c>
      <c r="E29" s="12">
        <v>3.9725600000000001</v>
      </c>
      <c r="F29" s="11">
        <v>860</v>
      </c>
      <c r="G29" s="11">
        <v>25.15</v>
      </c>
    </row>
    <row r="30" spans="1:7" x14ac:dyDescent="0.2">
      <c r="A30" s="11" t="s">
        <v>60</v>
      </c>
      <c r="B30" s="11">
        <v>431.6</v>
      </c>
      <c r="C30" s="11" t="s">
        <v>61</v>
      </c>
      <c r="D30" s="12">
        <v>2.2504399999999998</v>
      </c>
      <c r="E30" s="12">
        <v>3.3756599999999994</v>
      </c>
      <c r="F30" s="11">
        <v>970</v>
      </c>
      <c r="G30" s="11">
        <v>27.03</v>
      </c>
    </row>
    <row r="31" spans="1:7" x14ac:dyDescent="0.2">
      <c r="A31" s="11" t="s">
        <v>62</v>
      </c>
      <c r="B31" s="11">
        <v>468</v>
      </c>
      <c r="C31" s="11" t="s">
        <v>43</v>
      </c>
      <c r="D31" s="12">
        <v>3.4544000000000001</v>
      </c>
      <c r="E31" s="12">
        <v>4.4424599999999996</v>
      </c>
      <c r="F31" s="11">
        <v>995</v>
      </c>
      <c r="G31" s="11">
        <v>28.11</v>
      </c>
    </row>
    <row r="32" spans="1:7" x14ac:dyDescent="0.2">
      <c r="A32" s="11" t="s">
        <v>63</v>
      </c>
      <c r="B32" s="11">
        <v>517.29999999999995</v>
      </c>
      <c r="C32" s="11" t="s">
        <v>61</v>
      </c>
      <c r="D32" s="12">
        <v>2.4663400000000002</v>
      </c>
      <c r="E32" s="12">
        <v>3.6982400000000002</v>
      </c>
      <c r="F32" s="11">
        <v>1090</v>
      </c>
      <c r="G32" s="11">
        <v>29.61</v>
      </c>
    </row>
    <row r="33" spans="1:7" x14ac:dyDescent="0.2">
      <c r="A33" s="11" t="s">
        <v>64</v>
      </c>
      <c r="B33" s="11">
        <v>547.29999999999995</v>
      </c>
      <c r="C33" s="11" t="s">
        <v>65</v>
      </c>
      <c r="D33" s="12">
        <v>3.3756599999999994</v>
      </c>
      <c r="E33" s="12">
        <v>3.3756599999999994</v>
      </c>
      <c r="F33" s="11">
        <v>1095</v>
      </c>
      <c r="G33" s="11">
        <v>30.42</v>
      </c>
    </row>
    <row r="34" spans="1:7" x14ac:dyDescent="0.2">
      <c r="A34" s="11" t="s">
        <v>66</v>
      </c>
      <c r="B34" s="11">
        <v>593.6</v>
      </c>
      <c r="C34" s="11" t="s">
        <v>65</v>
      </c>
      <c r="D34" s="12">
        <v>3.5128200000000001</v>
      </c>
      <c r="E34" s="12">
        <v>3.5128200000000001</v>
      </c>
      <c r="F34" s="11">
        <v>1150</v>
      </c>
      <c r="G34" s="11">
        <v>31.62</v>
      </c>
    </row>
    <row r="35" spans="1:7" x14ac:dyDescent="0.2">
      <c r="A35" s="11" t="s">
        <v>67</v>
      </c>
      <c r="B35" s="11">
        <v>604.4</v>
      </c>
      <c r="C35" s="11" t="s">
        <v>61</v>
      </c>
      <c r="D35" s="12">
        <v>2.6644599999999996</v>
      </c>
      <c r="E35" s="12">
        <v>3.9954199999999997</v>
      </c>
      <c r="F35" s="11">
        <v>1205</v>
      </c>
      <c r="G35" s="11">
        <v>31.98</v>
      </c>
    </row>
    <row r="36" spans="1:7" x14ac:dyDescent="0.2">
      <c r="A36" s="11" t="s">
        <v>68</v>
      </c>
      <c r="B36" s="11">
        <v>689.1</v>
      </c>
      <c r="C36" s="11" t="s">
        <v>61</v>
      </c>
      <c r="D36" s="12">
        <v>2.84734</v>
      </c>
      <c r="E36" s="12">
        <v>4.2671999999999999</v>
      </c>
      <c r="F36" s="11">
        <v>1310</v>
      </c>
      <c r="G36" s="11">
        <v>34.159999999999997</v>
      </c>
    </row>
    <row r="37" spans="1:7" x14ac:dyDescent="0.2">
      <c r="A37" s="11" t="s">
        <v>69</v>
      </c>
      <c r="B37" s="11">
        <v>859.8</v>
      </c>
      <c r="C37" s="11" t="s">
        <v>61</v>
      </c>
      <c r="D37" s="12">
        <v>3.1826199999999996</v>
      </c>
      <c r="E37" s="12">
        <v>4.7751999999999999</v>
      </c>
      <c r="F37" s="11">
        <v>1505</v>
      </c>
      <c r="G37" s="11">
        <v>38.200000000000003</v>
      </c>
    </row>
    <row r="38" spans="1:7" x14ac:dyDescent="0.2">
      <c r="A38" s="11" t="s">
        <v>70</v>
      </c>
      <c r="B38" s="11">
        <v>1092.28</v>
      </c>
      <c r="C38" s="11" t="s">
        <v>71</v>
      </c>
      <c r="D38" s="12">
        <v>2.4409399999999999</v>
      </c>
      <c r="E38" s="12">
        <v>4.0690799999999996</v>
      </c>
      <c r="F38" s="11">
        <v>1815</v>
      </c>
      <c r="G38" s="11">
        <v>44.76</v>
      </c>
    </row>
    <row r="41" spans="1:7" x14ac:dyDescent="0.2">
      <c r="A41" s="30" t="s">
        <v>77</v>
      </c>
      <c r="B41" s="31"/>
      <c r="C41" s="32"/>
      <c r="E41" s="30" t="s">
        <v>78</v>
      </c>
      <c r="F41" s="31"/>
      <c r="G41" s="32"/>
    </row>
    <row r="42" spans="1:7" x14ac:dyDescent="0.2">
      <c r="A42" s="13" t="s">
        <v>79</v>
      </c>
      <c r="B42" s="33" t="s">
        <v>24</v>
      </c>
      <c r="C42" s="33"/>
      <c r="D42" s="14"/>
      <c r="E42" s="13" t="s">
        <v>79</v>
      </c>
      <c r="F42" s="33" t="s">
        <v>24</v>
      </c>
      <c r="G42" s="33"/>
    </row>
    <row r="43" spans="1:7" x14ac:dyDescent="0.2">
      <c r="A43" s="15"/>
      <c r="B43" s="15"/>
      <c r="C43" s="15"/>
      <c r="E43" s="15"/>
      <c r="F43" s="15"/>
      <c r="G43" s="15"/>
    </row>
    <row r="44" spans="1:7" ht="27" thickBot="1" x14ac:dyDescent="0.25">
      <c r="A44" s="16" t="s">
        <v>80</v>
      </c>
      <c r="B44" s="16" t="s">
        <v>81</v>
      </c>
      <c r="C44" s="16" t="s">
        <v>82</v>
      </c>
      <c r="E44" s="16" t="s">
        <v>80</v>
      </c>
      <c r="F44" s="16" t="s">
        <v>81</v>
      </c>
      <c r="G44" s="16" t="s">
        <v>82</v>
      </c>
    </row>
    <row r="45" spans="1:7" ht="17" thickBot="1" x14ac:dyDescent="0.25">
      <c r="A45" s="16" t="s">
        <v>83</v>
      </c>
      <c r="B45" s="16" t="s">
        <v>84</v>
      </c>
      <c r="C45" s="16" t="s">
        <v>84</v>
      </c>
      <c r="E45" s="16" t="s">
        <v>83</v>
      </c>
      <c r="F45" s="16" t="s">
        <v>84</v>
      </c>
      <c r="G45" s="16" t="s">
        <v>84</v>
      </c>
    </row>
    <row r="46" spans="1:7" ht="17" thickBot="1" x14ac:dyDescent="0.25">
      <c r="A46" s="17">
        <v>95</v>
      </c>
      <c r="B46" s="18">
        <v>343</v>
      </c>
      <c r="C46" s="18">
        <v>404</v>
      </c>
      <c r="E46" s="17">
        <v>95</v>
      </c>
      <c r="F46" s="19">
        <f>258/0.75</f>
        <v>344</v>
      </c>
      <c r="G46" s="19">
        <f>310/0.75</f>
        <v>413.33333333333331</v>
      </c>
    </row>
    <row r="47" spans="1:7" ht="17" thickBot="1" x14ac:dyDescent="0.25">
      <c r="A47" s="20">
        <v>120</v>
      </c>
      <c r="B47" s="21">
        <v>392</v>
      </c>
      <c r="C47" s="21">
        <v>463</v>
      </c>
      <c r="E47" s="20">
        <v>120</v>
      </c>
      <c r="F47" s="22">
        <f>294/0.75</f>
        <v>392</v>
      </c>
      <c r="G47" s="22">
        <f>357/0.75</f>
        <v>476</v>
      </c>
    </row>
    <row r="48" spans="1:7" ht="17" thickBot="1" x14ac:dyDescent="0.25">
      <c r="A48" s="17">
        <v>150</v>
      </c>
      <c r="B48" s="18">
        <v>441</v>
      </c>
      <c r="C48" s="18">
        <v>523</v>
      </c>
      <c r="E48" s="17">
        <v>150</v>
      </c>
      <c r="F48" s="19">
        <f>330/0.75</f>
        <v>440</v>
      </c>
      <c r="G48" s="19">
        <f>402/0.75</f>
        <v>536</v>
      </c>
    </row>
    <row r="49" spans="1:14" ht="17" thickBot="1" x14ac:dyDescent="0.25">
      <c r="A49" s="20">
        <v>185</v>
      </c>
      <c r="B49" s="21">
        <v>500</v>
      </c>
      <c r="C49" s="21">
        <v>596</v>
      </c>
      <c r="E49" s="20">
        <v>185</v>
      </c>
      <c r="F49" s="22">
        <f>374/0.75</f>
        <v>498.66666666666669</v>
      </c>
      <c r="G49" s="22">
        <f>458/0.75</f>
        <v>610.66666666666663</v>
      </c>
    </row>
    <row r="50" spans="1:14" ht="17" thickBot="1" x14ac:dyDescent="0.25">
      <c r="A50" s="17">
        <v>240</v>
      </c>
      <c r="B50" s="18">
        <v>583</v>
      </c>
      <c r="C50" s="18">
        <v>697</v>
      </c>
      <c r="E50" s="17">
        <v>240</v>
      </c>
      <c r="F50" s="19">
        <f>432/0.75</f>
        <v>576</v>
      </c>
      <c r="G50" s="19">
        <f>533/0.75</f>
        <v>710.66666666666663</v>
      </c>
    </row>
    <row r="51" spans="1:14" ht="17" thickBot="1" x14ac:dyDescent="0.25">
      <c r="A51" s="20">
        <v>300</v>
      </c>
      <c r="B51" s="21">
        <v>662</v>
      </c>
      <c r="C51" s="21">
        <v>797</v>
      </c>
      <c r="E51" s="20">
        <v>300</v>
      </c>
      <c r="F51" s="22">
        <f>492/0.75</f>
        <v>656</v>
      </c>
      <c r="G51" s="22">
        <f>611/0.75</f>
        <v>814.66666666666663</v>
      </c>
    </row>
    <row r="52" spans="1:14" ht="17" thickBot="1" x14ac:dyDescent="0.25">
      <c r="A52" s="17">
        <v>400</v>
      </c>
      <c r="B52" s="18">
        <v>765</v>
      </c>
      <c r="C52" s="18">
        <v>922</v>
      </c>
      <c r="E52" s="17">
        <v>400</v>
      </c>
      <c r="F52" s="19">
        <f>565/0.75</f>
        <v>753.33333333333337</v>
      </c>
      <c r="G52" s="19">
        <f>705/0.75</f>
        <v>940</v>
      </c>
    </row>
    <row r="53" spans="1:14" ht="17" thickBot="1" x14ac:dyDescent="0.25">
      <c r="A53" s="20">
        <v>500</v>
      </c>
      <c r="B53" s="21">
        <v>883</v>
      </c>
      <c r="C53" s="21">
        <v>1072</v>
      </c>
      <c r="E53" s="20">
        <v>500</v>
      </c>
      <c r="F53" s="22">
        <f>659/0.75</f>
        <v>878.66666666666663</v>
      </c>
      <c r="G53" s="22">
        <f>816/0.75</f>
        <v>1088</v>
      </c>
    </row>
    <row r="54" spans="1:14" ht="17" thickBot="1" x14ac:dyDescent="0.25">
      <c r="A54" s="17">
        <v>630</v>
      </c>
      <c r="B54" s="18">
        <v>1023</v>
      </c>
      <c r="C54" s="18">
        <v>1246</v>
      </c>
      <c r="E54" s="17">
        <v>630</v>
      </c>
      <c r="F54" s="19">
        <f>727/0.75</f>
        <v>969.33333333333337</v>
      </c>
      <c r="G54" s="19">
        <f>964/0.75</f>
        <v>1285.3333333333333</v>
      </c>
      <c r="J54" t="s">
        <v>94</v>
      </c>
    </row>
    <row r="55" spans="1:14" ht="17" thickBot="1" x14ac:dyDescent="0.25">
      <c r="A55" s="20">
        <v>800</v>
      </c>
      <c r="B55" s="21">
        <v>1175</v>
      </c>
      <c r="C55" s="21">
        <v>1438</v>
      </c>
      <c r="E55" s="20">
        <v>800</v>
      </c>
      <c r="F55" s="22">
        <f>877/0.75</f>
        <v>1169.3333333333333</v>
      </c>
      <c r="G55" s="22">
        <f>1094/0.75</f>
        <v>1458.6666666666667</v>
      </c>
      <c r="J55">
        <v>50</v>
      </c>
      <c r="K55">
        <v>0.4</v>
      </c>
      <c r="M55">
        <f t="shared" ref="M55:M61" si="0">J55/400</f>
        <v>0.125</v>
      </c>
      <c r="N55">
        <f>K55/J55*0.7</f>
        <v>5.5999999999999999E-3</v>
      </c>
    </row>
    <row r="56" spans="1:14" ht="17" thickBot="1" x14ac:dyDescent="0.25">
      <c r="A56" s="17">
        <v>1000</v>
      </c>
      <c r="B56" s="18">
        <v>1335</v>
      </c>
      <c r="C56" s="18">
        <v>1644</v>
      </c>
      <c r="E56" s="17">
        <v>1000</v>
      </c>
      <c r="F56" s="19">
        <f>1001/0.75</f>
        <v>1334.6666666666667</v>
      </c>
      <c r="G56" s="19">
        <f>1252/0.75</f>
        <v>1669.3333333333333</v>
      </c>
      <c r="J56">
        <v>100</v>
      </c>
      <c r="K56">
        <v>0.8</v>
      </c>
      <c r="M56">
        <f t="shared" si="0"/>
        <v>0.25</v>
      </c>
      <c r="N56">
        <f t="shared" ref="N56:N62" si="1">K56/J56*0.7</f>
        <v>5.5999999999999999E-3</v>
      </c>
    </row>
    <row r="57" spans="1:14" ht="17" thickBot="1" x14ac:dyDescent="0.25">
      <c r="A57" s="20">
        <v>1200</v>
      </c>
      <c r="B57" s="21">
        <v>1458</v>
      </c>
      <c r="C57" s="21">
        <v>1791</v>
      </c>
      <c r="E57" s="20">
        <v>1200</v>
      </c>
      <c r="F57" s="22">
        <f>1096/0.75</f>
        <v>1461.3333333333333</v>
      </c>
      <c r="G57" s="22">
        <f>1371/0.75</f>
        <v>1828</v>
      </c>
      <c r="J57">
        <v>150</v>
      </c>
      <c r="K57">
        <v>1.3</v>
      </c>
      <c r="M57">
        <f t="shared" si="0"/>
        <v>0.375</v>
      </c>
      <c r="N57">
        <f t="shared" si="1"/>
        <v>6.0666666666666664E-3</v>
      </c>
    </row>
    <row r="58" spans="1:14" ht="17" thickBot="1" x14ac:dyDescent="0.25">
      <c r="A58" s="17">
        <v>1400</v>
      </c>
      <c r="B58" s="18">
        <v>1594</v>
      </c>
      <c r="C58" s="18">
        <v>1962</v>
      </c>
      <c r="E58" s="17">
        <v>1400</v>
      </c>
      <c r="F58" s="19">
        <f>1211/0.75</f>
        <v>1614.6666666666667</v>
      </c>
      <c r="G58" s="19">
        <f>1517/0.75</f>
        <v>2022.6666666666667</v>
      </c>
      <c r="J58">
        <v>200</v>
      </c>
      <c r="K58">
        <v>1.8</v>
      </c>
      <c r="M58">
        <f t="shared" si="0"/>
        <v>0.5</v>
      </c>
      <c r="N58">
        <f t="shared" si="1"/>
        <v>6.3E-3</v>
      </c>
    </row>
    <row r="59" spans="1:14" ht="17" thickBot="1" x14ac:dyDescent="0.25">
      <c r="A59" s="20">
        <v>1600</v>
      </c>
      <c r="B59" s="21">
        <v>1720</v>
      </c>
      <c r="C59" s="21">
        <v>2123</v>
      </c>
      <c r="E59" s="20">
        <v>1600</v>
      </c>
      <c r="F59" s="22">
        <f>1291/0.75</f>
        <v>1721.3333333333333</v>
      </c>
      <c r="G59" s="22">
        <f>1621/0.75</f>
        <v>2161.3333333333335</v>
      </c>
      <c r="J59">
        <v>250</v>
      </c>
      <c r="K59">
        <v>2.4500000000000002</v>
      </c>
      <c r="M59">
        <f t="shared" si="0"/>
        <v>0.625</v>
      </c>
      <c r="N59">
        <f t="shared" si="1"/>
        <v>6.8600000000000006E-3</v>
      </c>
    </row>
    <row r="60" spans="1:14" ht="17" thickBot="1" x14ac:dyDescent="0.25">
      <c r="A60" s="17">
        <v>1800</v>
      </c>
      <c r="B60" s="18">
        <v>1830</v>
      </c>
      <c r="C60" s="18">
        <v>2265</v>
      </c>
      <c r="E60" s="17">
        <v>1800</v>
      </c>
      <c r="F60" s="19">
        <f>1395/0.75</f>
        <v>1860</v>
      </c>
      <c r="G60" s="19">
        <f>1752/0.75</f>
        <v>2336</v>
      </c>
      <c r="J60">
        <v>300</v>
      </c>
      <c r="K60">
        <v>3.05</v>
      </c>
      <c r="M60">
        <f t="shared" si="0"/>
        <v>0.75</v>
      </c>
      <c r="N60">
        <f t="shared" si="1"/>
        <v>7.1166666666666652E-3</v>
      </c>
    </row>
    <row r="61" spans="1:14" ht="17" thickBot="1" x14ac:dyDescent="0.25">
      <c r="A61" s="20">
        <v>2000</v>
      </c>
      <c r="B61" s="21">
        <v>1953</v>
      </c>
      <c r="C61" s="21">
        <v>2407</v>
      </c>
      <c r="E61" s="20">
        <v>2000</v>
      </c>
      <c r="F61" s="22">
        <f>1482/0.75</f>
        <v>1976</v>
      </c>
      <c r="G61" s="22">
        <f>1866/0.75</f>
        <v>2488</v>
      </c>
      <c r="J61">
        <v>350</v>
      </c>
      <c r="K61">
        <v>3.75</v>
      </c>
      <c r="M61">
        <f t="shared" si="0"/>
        <v>0.875</v>
      </c>
      <c r="N61">
        <f t="shared" si="1"/>
        <v>7.4999999999999997E-3</v>
      </c>
    </row>
    <row r="62" spans="1:14" ht="17" thickBot="1" x14ac:dyDescent="0.25">
      <c r="A62" s="17">
        <v>2200</v>
      </c>
      <c r="B62" s="18">
        <v>2062</v>
      </c>
      <c r="C62" s="18">
        <v>2540</v>
      </c>
      <c r="E62" s="17">
        <v>2200</v>
      </c>
      <c r="F62" s="19">
        <f>1571/0.75</f>
        <v>2094.6666666666665</v>
      </c>
      <c r="G62" s="19">
        <f>1963/0.75</f>
        <v>2617.3333333333335</v>
      </c>
      <c r="J62">
        <v>400</v>
      </c>
      <c r="K62">
        <v>4.5</v>
      </c>
      <c r="M62">
        <f>J62/400</f>
        <v>1</v>
      </c>
      <c r="N62">
        <f t="shared" si="1"/>
        <v>7.8750000000000001E-3</v>
      </c>
    </row>
    <row r="63" spans="1:14" ht="17" thickBot="1" x14ac:dyDescent="0.25">
      <c r="A63" s="20">
        <v>2400</v>
      </c>
      <c r="B63" s="21">
        <v>2170</v>
      </c>
      <c r="C63" s="21">
        <v>2678</v>
      </c>
      <c r="E63" s="20">
        <v>2400</v>
      </c>
      <c r="F63" s="22">
        <f>1652/0.75</f>
        <v>2202.6666666666665</v>
      </c>
      <c r="G63" s="22">
        <f>2066/0.75</f>
        <v>2754.6666666666665</v>
      </c>
    </row>
    <row r="64" spans="1:14" ht="17" thickBot="1" x14ac:dyDescent="0.25">
      <c r="A64" s="17">
        <v>2600</v>
      </c>
      <c r="B64" s="18">
        <v>2275</v>
      </c>
      <c r="C64" s="18">
        <v>2814</v>
      </c>
      <c r="E64" s="17">
        <v>2600</v>
      </c>
      <c r="F64" s="19">
        <f>1729/0.75</f>
        <v>2305.3333333333335</v>
      </c>
      <c r="G64" s="19">
        <f>2166/0.75</f>
        <v>2888</v>
      </c>
    </row>
    <row r="65" spans="1:7" ht="17" thickBot="1" x14ac:dyDescent="0.25">
      <c r="A65" s="20">
        <v>2800</v>
      </c>
      <c r="B65" s="21">
        <v>2373</v>
      </c>
      <c r="C65" s="21">
        <v>2937</v>
      </c>
      <c r="E65" s="20">
        <v>2800</v>
      </c>
      <c r="F65" s="22">
        <f>1806/0.75</f>
        <v>2408</v>
      </c>
      <c r="G65" s="22">
        <f>2263/0.75</f>
        <v>3017.3333333333335</v>
      </c>
    </row>
    <row r="66" spans="1:7" ht="17" thickBot="1" x14ac:dyDescent="0.25">
      <c r="A66" s="17">
        <v>3000</v>
      </c>
      <c r="B66" s="18">
        <v>2473</v>
      </c>
      <c r="C66" s="18">
        <v>3066</v>
      </c>
      <c r="E66" s="17">
        <v>3000</v>
      </c>
      <c r="F66" s="19">
        <f>1878/0.75</f>
        <v>2504</v>
      </c>
      <c r="G66" s="19">
        <f>2356/0.75</f>
        <v>3141.3333333333335</v>
      </c>
    </row>
  </sheetData>
  <mergeCells count="11">
    <mergeCell ref="A41:C41"/>
    <mergeCell ref="E41:G41"/>
    <mergeCell ref="B42:C42"/>
    <mergeCell ref="F42:G42"/>
    <mergeCell ref="A1:G1"/>
    <mergeCell ref="A2:A3"/>
    <mergeCell ref="B2:B3"/>
    <mergeCell ref="C2:C3"/>
    <mergeCell ref="D2:E2"/>
    <mergeCell ref="F2:F3"/>
    <mergeCell ref="G2:G3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Calcualtions</vt:lpstr>
      <vt:lpstr>Cable - OHL loss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Ergun</dc:creator>
  <cp:lastModifiedBy>Hakan Ergun</cp:lastModifiedBy>
  <dcterms:created xsi:type="dcterms:W3CDTF">2023-05-02T05:11:19Z</dcterms:created>
  <dcterms:modified xsi:type="dcterms:W3CDTF">2023-08-03T15:09:30Z</dcterms:modified>
</cp:coreProperties>
</file>