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urrent Code\NYSBOE\Elections\2020\General\"/>
    </mc:Choice>
  </mc:AlternateContent>
  <xr:revisionPtr revIDLastSave="0" documentId="8_{611606E1-BF3E-4ABD-A3DF-10ABF78BBA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st AD" sheetId="5" r:id="rId1"/>
    <sheet name="2nd AD" sheetId="359" r:id="rId2"/>
    <sheet name="3rd AD" sheetId="360" r:id="rId3"/>
    <sheet name="4th AD" sheetId="361" r:id="rId4"/>
    <sheet name="5th AD" sheetId="362" r:id="rId5"/>
    <sheet name="6th AD" sheetId="363" r:id="rId6"/>
    <sheet name="7th AD" sheetId="364" r:id="rId7"/>
    <sheet name="8th AD" sheetId="365" r:id="rId8"/>
    <sheet name="9th AD" sheetId="366" r:id="rId9"/>
    <sheet name="10th AD" sheetId="367" r:id="rId10"/>
    <sheet name="11th AD" sheetId="368" r:id="rId11"/>
    <sheet name="12th AD" sheetId="369" r:id="rId12"/>
    <sheet name="13th AD" sheetId="370" r:id="rId13"/>
    <sheet name="14th AD" sheetId="371" r:id="rId14"/>
    <sheet name="15th AD" sheetId="372" r:id="rId15"/>
    <sheet name="16th AD" sheetId="373" r:id="rId16"/>
    <sheet name="17th AD" sheetId="374" r:id="rId17"/>
    <sheet name="18th AD" sheetId="375" r:id="rId18"/>
    <sheet name="19th AD" sheetId="376" r:id="rId19"/>
    <sheet name="20th AD" sheetId="377" r:id="rId20"/>
    <sheet name="21st AD" sheetId="378" r:id="rId21"/>
    <sheet name="22nd AD" sheetId="379" r:id="rId22"/>
    <sheet name="23rd AD" sheetId="380" r:id="rId23"/>
    <sheet name="24th AD" sheetId="381" r:id="rId24"/>
    <sheet name="25th AD" sheetId="382" r:id="rId25"/>
    <sheet name="26th AD" sheetId="383" r:id="rId26"/>
    <sheet name="27th AD" sheetId="384" r:id="rId27"/>
    <sheet name="28th AD" sheetId="385" r:id="rId28"/>
    <sheet name="29th AD" sheetId="386" r:id="rId29"/>
    <sheet name="30th AD" sheetId="387" r:id="rId30"/>
    <sheet name="31st AD" sheetId="388" r:id="rId31"/>
    <sheet name="32nd AD" sheetId="389" r:id="rId32"/>
    <sheet name="33rd AD" sheetId="390" r:id="rId33"/>
    <sheet name="34th AD" sheetId="391" r:id="rId34"/>
    <sheet name="35th AD" sheetId="392" r:id="rId35"/>
    <sheet name="36th AD" sheetId="393" r:id="rId36"/>
    <sheet name="37th AD" sheetId="394" r:id="rId37"/>
    <sheet name="38th AD" sheetId="395" r:id="rId38"/>
    <sheet name="39th AD" sheetId="396" r:id="rId39"/>
    <sheet name="40th AD" sheetId="397" r:id="rId40"/>
    <sheet name="41st AD" sheetId="398" r:id="rId41"/>
    <sheet name="42nd AD" sheetId="399" r:id="rId42"/>
    <sheet name="43rd AD" sheetId="400" r:id="rId43"/>
    <sheet name="44th AD" sheetId="401" r:id="rId44"/>
    <sheet name="45th AD" sheetId="402" r:id="rId45"/>
    <sheet name="46th AD" sheetId="403" r:id="rId46"/>
    <sheet name="47th AD" sheetId="404" r:id="rId47"/>
    <sheet name="48th AD" sheetId="405" r:id="rId48"/>
    <sheet name="49th AD" sheetId="406" r:id="rId49"/>
    <sheet name="50th AD" sheetId="407" r:id="rId50"/>
    <sheet name="51st AD" sheetId="408" r:id="rId51"/>
    <sheet name="52nd AD" sheetId="409" r:id="rId52"/>
    <sheet name="53rd AD" sheetId="410" r:id="rId53"/>
    <sheet name="54th AD" sheetId="411" r:id="rId54"/>
    <sheet name="55th AD" sheetId="412" r:id="rId55"/>
    <sheet name="56th AD" sheetId="413" r:id="rId56"/>
    <sheet name="57th AD" sheetId="414" r:id="rId57"/>
    <sheet name="58th AD" sheetId="415" r:id="rId58"/>
    <sheet name="59th AD" sheetId="416" r:id="rId59"/>
    <sheet name="60th AD" sheetId="417" r:id="rId60"/>
    <sheet name="61st AD" sheetId="418" r:id="rId61"/>
    <sheet name="62nd AD" sheetId="419" r:id="rId62"/>
    <sheet name="63rd AD" sheetId="420" r:id="rId63"/>
    <sheet name="64th AD" sheetId="421" r:id="rId64"/>
    <sheet name="65th AD" sheetId="422" r:id="rId65"/>
    <sheet name="66th AD" sheetId="423" r:id="rId66"/>
    <sheet name="67th AD" sheetId="424" r:id="rId67"/>
    <sheet name="68th AD" sheetId="425" r:id="rId68"/>
    <sheet name="69th AD" sheetId="426" r:id="rId69"/>
    <sheet name="70th AD" sheetId="427" r:id="rId70"/>
    <sheet name="71st AD" sheetId="428" r:id="rId71"/>
    <sheet name="72nd AD" sheetId="429" r:id="rId72"/>
    <sheet name="73rd AD" sheetId="430" r:id="rId73"/>
    <sheet name="74th AD" sheetId="431" r:id="rId74"/>
    <sheet name="75th AD" sheetId="432" r:id="rId75"/>
    <sheet name="76th AD" sheetId="433" r:id="rId76"/>
    <sheet name="77th AD" sheetId="434" r:id="rId77"/>
    <sheet name="78th AD" sheetId="435" r:id="rId78"/>
    <sheet name="79th AD" sheetId="436" r:id="rId79"/>
    <sheet name="80th AD" sheetId="437" r:id="rId80"/>
    <sheet name="81st AD" sheetId="438" r:id="rId81"/>
    <sheet name="82nd AD" sheetId="439" r:id="rId82"/>
    <sheet name="83rd AD" sheetId="440" r:id="rId83"/>
    <sheet name="84th AD" sheetId="441" r:id="rId84"/>
    <sheet name="85th AD" sheetId="442" r:id="rId85"/>
    <sheet name="86th AD" sheetId="443" r:id="rId86"/>
    <sheet name="87th AD" sheetId="444" r:id="rId87"/>
    <sheet name="88th AD" sheetId="445" r:id="rId88"/>
    <sheet name="89th AD" sheetId="446" r:id="rId89"/>
    <sheet name="90th AD" sheetId="447" r:id="rId90"/>
    <sheet name="91st AD" sheetId="448" r:id="rId91"/>
    <sheet name="92nd AD" sheetId="449" r:id="rId92"/>
    <sheet name="93rd AD" sheetId="450" r:id="rId93"/>
    <sheet name="94th AD" sheetId="451" r:id="rId94"/>
    <sheet name="95th AD" sheetId="452" r:id="rId95"/>
    <sheet name="96th AD" sheetId="453" r:id="rId96"/>
    <sheet name="97th AD" sheetId="454" r:id="rId97"/>
    <sheet name="98th AD" sheetId="455" r:id="rId98"/>
    <sheet name="99th AD" sheetId="456" r:id="rId99"/>
    <sheet name="100th AD" sheetId="457" r:id="rId100"/>
    <sheet name="101st AD" sheetId="458" r:id="rId101"/>
    <sheet name="102nd AD" sheetId="459" r:id="rId102"/>
    <sheet name="103rd AD" sheetId="460" r:id="rId103"/>
    <sheet name="104th AD" sheetId="461" r:id="rId104"/>
    <sheet name="105th AD" sheetId="462" r:id="rId105"/>
    <sheet name="106th AD" sheetId="463" r:id="rId106"/>
    <sheet name="107th AD" sheetId="464" r:id="rId107"/>
    <sheet name="108th AD" sheetId="465" r:id="rId108"/>
    <sheet name="109th AD" sheetId="466" r:id="rId109"/>
    <sheet name="110th AD" sheetId="467" r:id="rId110"/>
    <sheet name="111th AD" sheetId="468" r:id="rId111"/>
    <sheet name="112th AD" sheetId="469" r:id="rId112"/>
    <sheet name="113th AD" sheetId="470" r:id="rId113"/>
    <sheet name="114th AD" sheetId="471" r:id="rId114"/>
    <sheet name="115th AD" sheetId="472" r:id="rId115"/>
    <sheet name="116th AD" sheetId="473" r:id="rId116"/>
    <sheet name="117th AD" sheetId="474" r:id="rId117"/>
    <sheet name="118th AD" sheetId="475" r:id="rId118"/>
    <sheet name="119th AD" sheetId="476" r:id="rId119"/>
    <sheet name="120th AD" sheetId="477" r:id="rId120"/>
    <sheet name="121st AD" sheetId="478" r:id="rId121"/>
    <sheet name="122nd AD" sheetId="479" r:id="rId122"/>
    <sheet name="123rd AD" sheetId="480" r:id="rId123"/>
    <sheet name="124th AD" sheetId="481" r:id="rId124"/>
    <sheet name="125th AD" sheetId="482" r:id="rId125"/>
    <sheet name="126th AD" sheetId="483" r:id="rId126"/>
    <sheet name="127th AD" sheetId="484" r:id="rId127"/>
    <sheet name="128th AD" sheetId="485" r:id="rId128"/>
    <sheet name="129th AD" sheetId="486" r:id="rId129"/>
    <sheet name="130th AD" sheetId="487" r:id="rId130"/>
    <sheet name="131st AD" sheetId="488" r:id="rId131"/>
    <sheet name="132nd AD" sheetId="489" r:id="rId132"/>
    <sheet name="133rd AD" sheetId="490" r:id="rId133"/>
    <sheet name="134th AD" sheetId="491" r:id="rId134"/>
    <sheet name="135th AD" sheetId="492" r:id="rId135"/>
    <sheet name="136th AD" sheetId="493" r:id="rId136"/>
    <sheet name="137th AD" sheetId="494" r:id="rId137"/>
    <sheet name="138th AD" sheetId="495" r:id="rId138"/>
    <sheet name="139th AD" sheetId="496" r:id="rId139"/>
    <sheet name="140th AD" sheetId="497" r:id="rId140"/>
    <sheet name="141st AD" sheetId="498" r:id="rId141"/>
    <sheet name="142nd AD" sheetId="499" r:id="rId142"/>
    <sheet name="143rd AD" sheetId="500" r:id="rId143"/>
    <sheet name="144th AD" sheetId="501" r:id="rId144"/>
    <sheet name="145th AD" sheetId="502" r:id="rId145"/>
    <sheet name="146th AD" sheetId="503" r:id="rId146"/>
    <sheet name="147th AD" sheetId="504" r:id="rId147"/>
    <sheet name="148th AD" sheetId="505" r:id="rId148"/>
    <sheet name="149th AD" sheetId="506" r:id="rId149"/>
    <sheet name="150th AD" sheetId="507" r:id="rId150"/>
  </sheets>
  <definedNames>
    <definedName name="_xlnm.Print_Area" localSheetId="0">'1st AD'!$A$1:$O$1465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458" l="1"/>
  <c r="C12" i="458"/>
  <c r="D12" i="458"/>
  <c r="E12" i="458"/>
  <c r="F12" i="458"/>
  <c r="G12" i="458"/>
  <c r="H12" i="458"/>
  <c r="B9" i="460"/>
  <c r="C10" i="463"/>
  <c r="B9" i="462"/>
  <c r="D10" i="475"/>
  <c r="E5" i="505" l="1"/>
  <c r="C3" i="494"/>
  <c r="C7" i="491"/>
  <c r="D7" i="491" s="1"/>
  <c r="C8" i="491"/>
  <c r="D6" i="488"/>
  <c r="E6" i="488" s="1"/>
  <c r="C7" i="485"/>
  <c r="C8" i="485"/>
  <c r="D4" i="482" l="1"/>
  <c r="D5" i="482"/>
  <c r="D3" i="482"/>
  <c r="C3" i="480"/>
  <c r="F5" i="479"/>
  <c r="E5" i="478"/>
  <c r="E6" i="478"/>
  <c r="F6" i="478" s="1"/>
  <c r="F6" i="471"/>
  <c r="F7" i="471"/>
  <c r="D6" i="469"/>
  <c r="E4" i="465"/>
  <c r="E5" i="465"/>
  <c r="E6" i="465"/>
  <c r="F6" i="465" s="1"/>
  <c r="E5" i="461"/>
  <c r="D4" i="460"/>
  <c r="D5" i="460"/>
  <c r="D6" i="460"/>
  <c r="C6" i="444"/>
  <c r="C7" i="441"/>
  <c r="D7" i="441" s="1"/>
  <c r="C3" i="427"/>
  <c r="D3" i="427" s="1"/>
  <c r="C4" i="408"/>
  <c r="C4" i="398"/>
  <c r="C5" i="398"/>
  <c r="C5" i="395"/>
  <c r="C4" i="395"/>
  <c r="C5" i="392"/>
  <c r="C4" i="392"/>
  <c r="C3" i="392"/>
  <c r="D3" i="392" s="1"/>
  <c r="C4" i="391"/>
  <c r="D4" i="391" s="1"/>
  <c r="C5" i="391"/>
  <c r="C6" i="391"/>
  <c r="C4" i="388"/>
  <c r="D4" i="388" s="1"/>
  <c r="C9" i="359"/>
  <c r="C8" i="359"/>
  <c r="C7" i="359"/>
  <c r="D7" i="359" s="1"/>
  <c r="C6" i="359"/>
  <c r="E4" i="460" l="1"/>
  <c r="F4" i="465"/>
  <c r="D4" i="398"/>
  <c r="E3" i="482"/>
  <c r="D3" i="421" l="1"/>
  <c r="D4" i="421"/>
  <c r="D5" i="421"/>
  <c r="D6" i="421"/>
  <c r="D7" i="421"/>
  <c r="D8" i="421"/>
  <c r="D9" i="421"/>
  <c r="D10" i="421" l="1"/>
  <c r="E4" i="421"/>
  <c r="E3" i="421"/>
  <c r="B10" i="507" l="1"/>
  <c r="B10" i="506"/>
  <c r="D10" i="505"/>
  <c r="C10" i="505"/>
  <c r="B10" i="505"/>
  <c r="C9" i="504"/>
  <c r="B9" i="504"/>
  <c r="C12" i="503"/>
  <c r="B12" i="503"/>
  <c r="C10" i="502"/>
  <c r="B10" i="502"/>
  <c r="D10" i="501"/>
  <c r="C10" i="501"/>
  <c r="B10" i="501"/>
  <c r="B11" i="500"/>
  <c r="B11" i="499"/>
  <c r="B8" i="498"/>
  <c r="C12" i="497"/>
  <c r="B12" i="497"/>
  <c r="D10" i="496"/>
  <c r="C10" i="496"/>
  <c r="B10" i="496"/>
  <c r="B12" i="495"/>
  <c r="B8" i="494"/>
  <c r="B10" i="493"/>
  <c r="B11" i="492"/>
  <c r="B12" i="491"/>
  <c r="D11" i="490"/>
  <c r="C11" i="490"/>
  <c r="B11" i="490"/>
  <c r="F9" i="489"/>
  <c r="E9" i="489"/>
  <c r="D9" i="489"/>
  <c r="C9" i="489"/>
  <c r="B9" i="489"/>
  <c r="C10" i="488"/>
  <c r="B10" i="488"/>
  <c r="D11" i="487"/>
  <c r="C11" i="487"/>
  <c r="B11" i="487"/>
  <c r="B10" i="486"/>
  <c r="B12" i="485"/>
  <c r="B11" i="484"/>
  <c r="E11" i="483"/>
  <c r="D11" i="483"/>
  <c r="C11" i="483"/>
  <c r="B11" i="483"/>
  <c r="C10" i="482"/>
  <c r="B10" i="482"/>
  <c r="D10" i="481"/>
  <c r="C10" i="481"/>
  <c r="B10" i="481"/>
  <c r="B8" i="480"/>
  <c r="E10" i="479"/>
  <c r="D10" i="479"/>
  <c r="C10" i="479"/>
  <c r="B10" i="479"/>
  <c r="D12" i="478"/>
  <c r="C12" i="478"/>
  <c r="B12" i="478"/>
  <c r="D10" i="477"/>
  <c r="C10" i="477"/>
  <c r="B10" i="477"/>
  <c r="C10" i="476"/>
  <c r="B10" i="476"/>
  <c r="F10" i="475"/>
  <c r="E10" i="475"/>
  <c r="C10" i="475"/>
  <c r="B10" i="475"/>
  <c r="E9" i="474"/>
  <c r="D9" i="474"/>
  <c r="C9" i="474"/>
  <c r="B9" i="474"/>
  <c r="C10" i="473"/>
  <c r="B10" i="473"/>
  <c r="D9" i="472"/>
  <c r="C9" i="472"/>
  <c r="B9" i="472"/>
  <c r="E12" i="471"/>
  <c r="D12" i="471"/>
  <c r="C12" i="471"/>
  <c r="B12" i="471"/>
  <c r="C11" i="470"/>
  <c r="B11" i="470"/>
  <c r="C11" i="469"/>
  <c r="B11" i="469"/>
  <c r="D10" i="468"/>
  <c r="C10" i="468"/>
  <c r="B10" i="468"/>
  <c r="C11" i="467"/>
  <c r="B11" i="467"/>
  <c r="B11" i="466"/>
  <c r="D11" i="465"/>
  <c r="C11" i="465"/>
  <c r="B11" i="465"/>
  <c r="D12" i="464"/>
  <c r="C12" i="464"/>
  <c r="B12" i="464"/>
  <c r="C12" i="463"/>
  <c r="B12" i="463"/>
  <c r="B11" i="462"/>
  <c r="D10" i="461"/>
  <c r="C10" i="461"/>
  <c r="B10" i="461"/>
  <c r="C11" i="460"/>
  <c r="B11" i="460"/>
  <c r="H10" i="459"/>
  <c r="G10" i="459"/>
  <c r="F10" i="459"/>
  <c r="E10" i="459"/>
  <c r="D10" i="459"/>
  <c r="C10" i="459"/>
  <c r="B10" i="459"/>
  <c r="C9" i="457"/>
  <c r="B9" i="457"/>
  <c r="C13" i="456"/>
  <c r="B13" i="456"/>
  <c r="C9" i="455"/>
  <c r="B9" i="455"/>
  <c r="B11" i="454"/>
  <c r="B9" i="453"/>
  <c r="C9" i="452"/>
  <c r="B9" i="452"/>
  <c r="C12" i="451"/>
  <c r="B12" i="451"/>
  <c r="B11" i="450"/>
  <c r="B8" i="449"/>
  <c r="B9" i="448"/>
  <c r="B8" i="447"/>
  <c r="B7" i="446"/>
  <c r="B9" i="445"/>
  <c r="B11" i="444"/>
  <c r="B8" i="443"/>
  <c r="B9" i="442"/>
  <c r="B11" i="441"/>
  <c r="B9" i="440"/>
  <c r="B9" i="439"/>
  <c r="B9" i="438"/>
  <c r="B9" i="437"/>
  <c r="B9" i="436"/>
  <c r="B8" i="435"/>
  <c r="B9" i="434"/>
  <c r="B9" i="433"/>
  <c r="B8" i="432"/>
  <c r="B8" i="431"/>
  <c r="B9" i="430"/>
  <c r="B7" i="429"/>
  <c r="B8" i="428"/>
  <c r="B8" i="427"/>
  <c r="B7" i="426"/>
  <c r="B8" i="425"/>
  <c r="B8" i="424"/>
  <c r="B8" i="423"/>
  <c r="B8" i="422"/>
  <c r="C10" i="421"/>
  <c r="B10" i="421"/>
  <c r="B11" i="420"/>
  <c r="B8" i="419"/>
  <c r="B10" i="418"/>
  <c r="B7" i="417"/>
  <c r="B7" i="416"/>
  <c r="B8" i="415"/>
  <c r="B8" i="414"/>
  <c r="B7" i="413"/>
  <c r="B8" i="412"/>
  <c r="B9" i="411"/>
  <c r="B7" i="410"/>
  <c r="B8" i="409"/>
  <c r="B8" i="408"/>
  <c r="B7" i="407"/>
  <c r="B8" i="406"/>
  <c r="B8" i="405"/>
  <c r="B10" i="404"/>
  <c r="B9" i="403"/>
  <c r="B9" i="402"/>
  <c r="B10" i="401"/>
  <c r="B8" i="400"/>
  <c r="B7" i="399"/>
  <c r="B10" i="398"/>
  <c r="B8" i="397"/>
  <c r="B7" i="396"/>
  <c r="B10" i="395"/>
  <c r="B7" i="394"/>
  <c r="B7" i="393"/>
  <c r="B10" i="392"/>
  <c r="B10" i="391"/>
  <c r="B7" i="390"/>
  <c r="B7" i="389"/>
  <c r="B9" i="388"/>
  <c r="B7" i="387"/>
  <c r="B7" i="386"/>
  <c r="B8" i="385"/>
  <c r="B7" i="384"/>
  <c r="B10" i="383"/>
  <c r="B8" i="382"/>
  <c r="B7" i="381"/>
  <c r="B10" i="380"/>
  <c r="B11" i="379"/>
  <c r="B10" i="378"/>
  <c r="B11" i="377"/>
  <c r="B11" i="376"/>
  <c r="B9" i="375"/>
  <c r="B10" i="374"/>
  <c r="B12" i="373"/>
  <c r="B12" i="372"/>
  <c r="B11" i="371"/>
  <c r="B11" i="370"/>
  <c r="B11" i="369"/>
  <c r="B10" i="368"/>
  <c r="B11" i="367"/>
  <c r="C12" i="366"/>
  <c r="B12" i="366"/>
  <c r="B11" i="365"/>
  <c r="B10" i="364"/>
  <c r="B11" i="363"/>
  <c r="B10" i="362"/>
  <c r="B12" i="361"/>
  <c r="B11" i="360"/>
  <c r="B12" i="359"/>
  <c r="B10" i="5"/>
  <c r="I9" i="459" l="1"/>
  <c r="I7" i="459"/>
  <c r="I6" i="459"/>
  <c r="I4" i="459"/>
  <c r="I3" i="459"/>
  <c r="J3" i="459" s="1"/>
  <c r="E11" i="478"/>
  <c r="E9" i="478"/>
  <c r="E8" i="478"/>
  <c r="E4" i="478"/>
  <c r="E3" i="478"/>
  <c r="F3" i="478" s="1"/>
  <c r="F4" i="478" l="1"/>
  <c r="C3" i="507"/>
  <c r="D3" i="507" s="1"/>
  <c r="C4" i="507"/>
  <c r="C5" i="507"/>
  <c r="C6" i="507"/>
  <c r="C7" i="507"/>
  <c r="C8" i="507"/>
  <c r="C9" i="507"/>
  <c r="C3" i="506"/>
  <c r="C4" i="506"/>
  <c r="D4" i="506" s="1"/>
  <c r="C5" i="506"/>
  <c r="C6" i="506"/>
  <c r="C7" i="506"/>
  <c r="C8" i="506"/>
  <c r="C9" i="506"/>
  <c r="E3" i="505"/>
  <c r="F3" i="505" s="1"/>
  <c r="E4" i="505"/>
  <c r="E6" i="505"/>
  <c r="E7" i="505"/>
  <c r="E8" i="505"/>
  <c r="E9" i="505"/>
  <c r="D3" i="504"/>
  <c r="D4" i="504"/>
  <c r="D5" i="504"/>
  <c r="D6" i="504"/>
  <c r="D7" i="504"/>
  <c r="D8" i="504"/>
  <c r="D3" i="503"/>
  <c r="D4" i="503"/>
  <c r="D5" i="503"/>
  <c r="D6" i="503"/>
  <c r="D7" i="503"/>
  <c r="E7" i="503" s="1"/>
  <c r="D8" i="503"/>
  <c r="D9" i="503"/>
  <c r="D10" i="503"/>
  <c r="D11" i="503"/>
  <c r="D3" i="502"/>
  <c r="D4" i="502"/>
  <c r="D5" i="502"/>
  <c r="D6" i="502"/>
  <c r="D7" i="502"/>
  <c r="D8" i="502"/>
  <c r="D9" i="502"/>
  <c r="E3" i="501"/>
  <c r="E4" i="501"/>
  <c r="E5" i="501"/>
  <c r="E6" i="501"/>
  <c r="E7" i="501"/>
  <c r="E8" i="501"/>
  <c r="E9" i="501"/>
  <c r="C3" i="500"/>
  <c r="C4" i="500"/>
  <c r="C5" i="500"/>
  <c r="C6" i="500"/>
  <c r="C7" i="500"/>
  <c r="C8" i="500"/>
  <c r="C9" i="500"/>
  <c r="C10" i="500"/>
  <c r="C3" i="499"/>
  <c r="C4" i="499"/>
  <c r="C5" i="499"/>
  <c r="C6" i="499"/>
  <c r="C7" i="499"/>
  <c r="C8" i="499"/>
  <c r="C9" i="499"/>
  <c r="C10" i="499"/>
  <c r="C3" i="498"/>
  <c r="C4" i="498"/>
  <c r="D4" i="498" s="1"/>
  <c r="C5" i="498"/>
  <c r="C6" i="498"/>
  <c r="C7" i="498"/>
  <c r="D3" i="497"/>
  <c r="D4" i="497"/>
  <c r="D5" i="497"/>
  <c r="D6" i="497"/>
  <c r="D7" i="497"/>
  <c r="E7" i="497" s="1"/>
  <c r="D8" i="497"/>
  <c r="D9" i="497"/>
  <c r="D10" i="497"/>
  <c r="D11" i="497"/>
  <c r="E3" i="496"/>
  <c r="E4" i="496"/>
  <c r="E5" i="496"/>
  <c r="F5" i="496" s="1"/>
  <c r="E6" i="496"/>
  <c r="E7" i="496"/>
  <c r="E8" i="496"/>
  <c r="E9" i="496"/>
  <c r="C3" i="495"/>
  <c r="C4" i="495"/>
  <c r="C5" i="495"/>
  <c r="C6" i="495"/>
  <c r="C7" i="495"/>
  <c r="C8" i="495"/>
  <c r="C9" i="495"/>
  <c r="C10" i="495"/>
  <c r="C11" i="495"/>
  <c r="C4" i="494"/>
  <c r="D3" i="494" s="1"/>
  <c r="C5" i="494"/>
  <c r="C6" i="494"/>
  <c r="C7" i="494"/>
  <c r="C3" i="493"/>
  <c r="C4" i="493"/>
  <c r="C5" i="493"/>
  <c r="D5" i="493" s="1"/>
  <c r="C6" i="493"/>
  <c r="D6" i="493" s="1"/>
  <c r="C7" i="493"/>
  <c r="C8" i="493"/>
  <c r="C9" i="493"/>
  <c r="C3" i="492"/>
  <c r="C4" i="492"/>
  <c r="C5" i="492"/>
  <c r="C6" i="492"/>
  <c r="C7" i="492"/>
  <c r="C8" i="492"/>
  <c r="C9" i="492"/>
  <c r="C10" i="492"/>
  <c r="C3" i="491"/>
  <c r="D3" i="491" s="1"/>
  <c r="C4" i="491"/>
  <c r="C5" i="491"/>
  <c r="C6" i="491"/>
  <c r="D6" i="491" s="1"/>
  <c r="C9" i="491"/>
  <c r="C10" i="491"/>
  <c r="C11" i="491"/>
  <c r="E3" i="490"/>
  <c r="E4" i="490"/>
  <c r="E5" i="490"/>
  <c r="E6" i="490"/>
  <c r="E7" i="490"/>
  <c r="E8" i="490"/>
  <c r="E9" i="490"/>
  <c r="E10" i="490"/>
  <c r="G3" i="489"/>
  <c r="G4" i="489"/>
  <c r="G5" i="489"/>
  <c r="G6" i="489"/>
  <c r="G7" i="489"/>
  <c r="G8" i="489"/>
  <c r="D3" i="488"/>
  <c r="D4" i="488"/>
  <c r="D5" i="488"/>
  <c r="D7" i="488"/>
  <c r="D8" i="488"/>
  <c r="D9" i="488"/>
  <c r="E3" i="487"/>
  <c r="E4" i="487"/>
  <c r="E5" i="487"/>
  <c r="E6" i="487"/>
  <c r="E7" i="487"/>
  <c r="E8" i="487"/>
  <c r="E9" i="487"/>
  <c r="E10" i="487"/>
  <c r="C3" i="486"/>
  <c r="C4" i="486"/>
  <c r="C5" i="486"/>
  <c r="C6" i="486"/>
  <c r="C7" i="486"/>
  <c r="C8" i="486"/>
  <c r="C9" i="486"/>
  <c r="C3" i="485"/>
  <c r="C4" i="485"/>
  <c r="C5" i="485"/>
  <c r="C6" i="485"/>
  <c r="C9" i="485"/>
  <c r="C10" i="485"/>
  <c r="C11" i="485"/>
  <c r="C3" i="484"/>
  <c r="C4" i="484"/>
  <c r="C5" i="484"/>
  <c r="C6" i="484"/>
  <c r="C7" i="484"/>
  <c r="C8" i="484"/>
  <c r="C9" i="484"/>
  <c r="C10" i="484"/>
  <c r="F3" i="483"/>
  <c r="F4" i="483"/>
  <c r="F5" i="483"/>
  <c r="F6" i="483"/>
  <c r="F7" i="483"/>
  <c r="F8" i="483"/>
  <c r="F9" i="483"/>
  <c r="F10" i="483"/>
  <c r="D6" i="482"/>
  <c r="E4" i="482" s="1"/>
  <c r="D7" i="482"/>
  <c r="D8" i="482"/>
  <c r="D9" i="482"/>
  <c r="E3" i="481"/>
  <c r="F3" i="481" s="1"/>
  <c r="E4" i="481"/>
  <c r="E5" i="481"/>
  <c r="E6" i="481"/>
  <c r="E7" i="481"/>
  <c r="E8" i="481"/>
  <c r="E9" i="481"/>
  <c r="C4" i="480"/>
  <c r="C5" i="480"/>
  <c r="C6" i="480"/>
  <c r="C7" i="480"/>
  <c r="F3" i="479"/>
  <c r="G3" i="479" s="1"/>
  <c r="F4" i="479"/>
  <c r="F6" i="479"/>
  <c r="F7" i="479"/>
  <c r="F8" i="479"/>
  <c r="F9" i="479"/>
  <c r="E7" i="478"/>
  <c r="F7" i="478" s="1"/>
  <c r="E10" i="478"/>
  <c r="E3" i="477"/>
  <c r="F3" i="477" s="1"/>
  <c r="E4" i="477"/>
  <c r="E5" i="477"/>
  <c r="E6" i="477"/>
  <c r="E7" i="477"/>
  <c r="E8" i="477"/>
  <c r="E9" i="477"/>
  <c r="D3" i="476"/>
  <c r="D4" i="476"/>
  <c r="E4" i="476" s="1"/>
  <c r="D5" i="476"/>
  <c r="D6" i="476"/>
  <c r="E6" i="476" s="1"/>
  <c r="D7" i="476"/>
  <c r="D8" i="476"/>
  <c r="D9" i="476"/>
  <c r="G3" i="475"/>
  <c r="G4" i="475"/>
  <c r="G5" i="475"/>
  <c r="G6" i="475"/>
  <c r="G7" i="475"/>
  <c r="G8" i="475"/>
  <c r="G9" i="475"/>
  <c r="F3" i="474"/>
  <c r="F4" i="474"/>
  <c r="F5" i="474"/>
  <c r="F6" i="474"/>
  <c r="F7" i="474"/>
  <c r="F8" i="474"/>
  <c r="D3" i="473"/>
  <c r="E3" i="473" s="1"/>
  <c r="D4" i="473"/>
  <c r="D5" i="473"/>
  <c r="D6" i="473"/>
  <c r="D7" i="473"/>
  <c r="D8" i="473"/>
  <c r="D9" i="473"/>
  <c r="E3" i="472"/>
  <c r="E4" i="472"/>
  <c r="E5" i="472"/>
  <c r="E6" i="472"/>
  <c r="E7" i="472"/>
  <c r="E8" i="472"/>
  <c r="F3" i="471"/>
  <c r="G3" i="471" s="1"/>
  <c r="F4" i="471"/>
  <c r="F5" i="471"/>
  <c r="F8" i="471"/>
  <c r="G8" i="471" s="1"/>
  <c r="F9" i="471"/>
  <c r="F10" i="471"/>
  <c r="F11" i="471"/>
  <c r="D3" i="470"/>
  <c r="D4" i="470"/>
  <c r="D5" i="470"/>
  <c r="D6" i="470"/>
  <c r="D7" i="470"/>
  <c r="D8" i="470"/>
  <c r="D9" i="470"/>
  <c r="D10" i="470"/>
  <c r="D3" i="469"/>
  <c r="E3" i="469" s="1"/>
  <c r="D4" i="469"/>
  <c r="D5" i="469"/>
  <c r="D7" i="469"/>
  <c r="D8" i="469"/>
  <c r="D9" i="469"/>
  <c r="D10" i="469"/>
  <c r="E3" i="468"/>
  <c r="E4" i="468"/>
  <c r="F4" i="468" s="1"/>
  <c r="E5" i="468"/>
  <c r="E6" i="468"/>
  <c r="E7" i="468"/>
  <c r="E8" i="468"/>
  <c r="E9" i="468"/>
  <c r="D3" i="467"/>
  <c r="D4" i="467"/>
  <c r="D5" i="467"/>
  <c r="D6" i="467"/>
  <c r="D7" i="467"/>
  <c r="D8" i="467"/>
  <c r="D9" i="467"/>
  <c r="D10" i="467"/>
  <c r="C3" i="466"/>
  <c r="C4" i="466"/>
  <c r="C5" i="466"/>
  <c r="C6" i="466"/>
  <c r="C7" i="466"/>
  <c r="C8" i="466"/>
  <c r="C9" i="466"/>
  <c r="C10" i="466"/>
  <c r="E3" i="465"/>
  <c r="E7" i="465"/>
  <c r="E8" i="465"/>
  <c r="E9" i="465"/>
  <c r="E10" i="465"/>
  <c r="E3" i="464"/>
  <c r="E4" i="464"/>
  <c r="E5" i="464"/>
  <c r="E6" i="464"/>
  <c r="E7" i="464"/>
  <c r="F7" i="464" s="1"/>
  <c r="E8" i="464"/>
  <c r="E9" i="464"/>
  <c r="E10" i="464"/>
  <c r="E11" i="464"/>
  <c r="D3" i="463"/>
  <c r="D4" i="463"/>
  <c r="D5" i="463"/>
  <c r="D6" i="463"/>
  <c r="D7" i="463"/>
  <c r="D8" i="463"/>
  <c r="D9" i="463"/>
  <c r="D10" i="463"/>
  <c r="D11" i="463"/>
  <c r="C3" i="462"/>
  <c r="C4" i="462"/>
  <c r="C5" i="462"/>
  <c r="C6" i="462"/>
  <c r="C7" i="462"/>
  <c r="C8" i="462"/>
  <c r="C9" i="462"/>
  <c r="C10" i="462"/>
  <c r="E3" i="461"/>
  <c r="E4" i="461"/>
  <c r="F4" i="461" s="1"/>
  <c r="E6" i="461"/>
  <c r="E7" i="461"/>
  <c r="E8" i="461"/>
  <c r="E9" i="461"/>
  <c r="D3" i="460"/>
  <c r="D7" i="460"/>
  <c r="D8" i="460"/>
  <c r="D9" i="460"/>
  <c r="D10" i="460"/>
  <c r="I5" i="459"/>
  <c r="J4" i="459" s="1"/>
  <c r="I8" i="459"/>
  <c r="I3" i="458"/>
  <c r="I4" i="458"/>
  <c r="I5" i="458"/>
  <c r="I6" i="458"/>
  <c r="I7" i="458"/>
  <c r="J7" i="458" s="1"/>
  <c r="I8" i="458"/>
  <c r="I9" i="458"/>
  <c r="I10" i="458"/>
  <c r="I11" i="458"/>
  <c r="D3" i="457"/>
  <c r="D4" i="457"/>
  <c r="D5" i="457"/>
  <c r="D6" i="457"/>
  <c r="D7" i="457"/>
  <c r="D8" i="457"/>
  <c r="D3" i="456"/>
  <c r="D4" i="456"/>
  <c r="D5" i="456"/>
  <c r="D6" i="456"/>
  <c r="D7" i="456"/>
  <c r="D8" i="456"/>
  <c r="D9" i="456"/>
  <c r="D10" i="456"/>
  <c r="D11" i="456"/>
  <c r="D12" i="456"/>
  <c r="D3" i="455"/>
  <c r="D4" i="455"/>
  <c r="D5" i="455"/>
  <c r="D6" i="455"/>
  <c r="D7" i="455"/>
  <c r="D8" i="455"/>
  <c r="C3" i="454"/>
  <c r="D3" i="454" s="1"/>
  <c r="C4" i="454"/>
  <c r="C5" i="454"/>
  <c r="C6" i="454"/>
  <c r="C7" i="454"/>
  <c r="C8" i="454"/>
  <c r="C9" i="454"/>
  <c r="C10" i="454"/>
  <c r="C3" i="453"/>
  <c r="C4" i="453"/>
  <c r="C5" i="453"/>
  <c r="C6" i="453"/>
  <c r="C7" i="453"/>
  <c r="C8" i="453"/>
  <c r="D3" i="452"/>
  <c r="E3" i="452" s="1"/>
  <c r="D4" i="452"/>
  <c r="D5" i="452"/>
  <c r="D6" i="452"/>
  <c r="D7" i="452"/>
  <c r="D8" i="452"/>
  <c r="D3" i="451"/>
  <c r="E3" i="451" s="1"/>
  <c r="D4" i="451"/>
  <c r="D5" i="451"/>
  <c r="D6" i="451"/>
  <c r="D7" i="451"/>
  <c r="D8" i="451"/>
  <c r="D9" i="451"/>
  <c r="D10" i="451"/>
  <c r="D11" i="451"/>
  <c r="C3" i="450"/>
  <c r="C4" i="450"/>
  <c r="C5" i="450"/>
  <c r="C6" i="450"/>
  <c r="C7" i="450"/>
  <c r="C8" i="450"/>
  <c r="C9" i="450"/>
  <c r="C10" i="450"/>
  <c r="C3" i="449"/>
  <c r="C4" i="449"/>
  <c r="C5" i="449"/>
  <c r="C6" i="449"/>
  <c r="C7" i="449"/>
  <c r="C3" i="448"/>
  <c r="C4" i="448"/>
  <c r="C5" i="448"/>
  <c r="C6" i="448"/>
  <c r="C7" i="448"/>
  <c r="C8" i="448"/>
  <c r="C3" i="447"/>
  <c r="C4" i="447"/>
  <c r="C5" i="447"/>
  <c r="C6" i="447"/>
  <c r="C7" i="447"/>
  <c r="C3" i="446"/>
  <c r="C4" i="446"/>
  <c r="C5" i="446"/>
  <c r="C6" i="446"/>
  <c r="C3" i="445"/>
  <c r="C4" i="445"/>
  <c r="C5" i="445"/>
  <c r="C6" i="445"/>
  <c r="C7" i="445"/>
  <c r="C8" i="445"/>
  <c r="C3" i="444"/>
  <c r="C4" i="444"/>
  <c r="D4" i="444" s="1"/>
  <c r="C5" i="444"/>
  <c r="D5" i="444" s="1"/>
  <c r="C7" i="444"/>
  <c r="D7" i="444" s="1"/>
  <c r="C8" i="444"/>
  <c r="C9" i="444"/>
  <c r="C10" i="444"/>
  <c r="C3" i="443"/>
  <c r="D3" i="443" s="1"/>
  <c r="C4" i="443"/>
  <c r="D4" i="443" s="1"/>
  <c r="C5" i="443"/>
  <c r="C6" i="443"/>
  <c r="C7" i="443"/>
  <c r="I12" i="458" l="1"/>
  <c r="E3" i="457"/>
  <c r="E4" i="456"/>
  <c r="E3" i="456"/>
  <c r="E3" i="455"/>
  <c r="E3" i="488"/>
  <c r="D10" i="488"/>
  <c r="D3" i="493"/>
  <c r="D3" i="445"/>
  <c r="D3" i="449"/>
  <c r="D4" i="450"/>
  <c r="D3" i="447"/>
  <c r="F3" i="461"/>
  <c r="D3" i="462"/>
  <c r="E4" i="467"/>
  <c r="D3" i="506"/>
  <c r="E4" i="473"/>
  <c r="D4" i="491"/>
  <c r="E4" i="497"/>
  <c r="E4" i="470"/>
  <c r="F4" i="487"/>
  <c r="D4" i="492"/>
  <c r="D4" i="495"/>
  <c r="F3" i="496"/>
  <c r="E4" i="503"/>
  <c r="F4" i="505"/>
  <c r="F3" i="464"/>
  <c r="G4" i="483"/>
  <c r="D3" i="485"/>
  <c r="F3" i="490"/>
  <c r="E4" i="463"/>
  <c r="E4" i="469"/>
  <c r="D4" i="486"/>
  <c r="C9" i="453"/>
  <c r="D3" i="453"/>
  <c r="D3" i="444"/>
  <c r="C11" i="444"/>
  <c r="E4" i="452"/>
  <c r="E3" i="463"/>
  <c r="F4" i="464"/>
  <c r="E3" i="470"/>
  <c r="E3" i="476"/>
  <c r="D4" i="485"/>
  <c r="F3" i="487"/>
  <c r="F4" i="490"/>
  <c r="C11" i="492"/>
  <c r="D3" i="492"/>
  <c r="D3" i="495"/>
  <c r="E3" i="497"/>
  <c r="D4" i="499"/>
  <c r="D4" i="500"/>
  <c r="E3" i="503"/>
  <c r="C10" i="493"/>
  <c r="D3" i="448"/>
  <c r="C9" i="448"/>
  <c r="D4" i="466"/>
  <c r="F3" i="468"/>
  <c r="H3" i="475"/>
  <c r="F4" i="481"/>
  <c r="D4" i="484"/>
  <c r="D3" i="498"/>
  <c r="C8" i="498"/>
  <c r="C11" i="499"/>
  <c r="D3" i="499"/>
  <c r="D3" i="500"/>
  <c r="C11" i="500"/>
  <c r="D4" i="507"/>
  <c r="C8" i="480"/>
  <c r="D3" i="480"/>
  <c r="D3" i="446"/>
  <c r="C7" i="446"/>
  <c r="D3" i="450"/>
  <c r="E4" i="451"/>
  <c r="D4" i="454"/>
  <c r="J3" i="458"/>
  <c r="D4" i="462"/>
  <c r="F3" i="465"/>
  <c r="C11" i="466"/>
  <c r="D3" i="466"/>
  <c r="E3" i="467"/>
  <c r="G4" i="471"/>
  <c r="F4" i="477"/>
  <c r="G4" i="479"/>
  <c r="G3" i="483"/>
  <c r="D3" i="484"/>
  <c r="E4" i="488"/>
  <c r="E3" i="504"/>
  <c r="C10" i="507"/>
  <c r="C10" i="506"/>
  <c r="E3" i="502"/>
  <c r="F3" i="501"/>
  <c r="C12" i="495"/>
  <c r="C8" i="494"/>
  <c r="C12" i="491"/>
  <c r="H3" i="489"/>
  <c r="C10" i="486"/>
  <c r="C12" i="485"/>
  <c r="C11" i="484"/>
  <c r="G3" i="474"/>
  <c r="F3" i="472"/>
  <c r="C11" i="462"/>
  <c r="E3" i="460"/>
  <c r="J4" i="458"/>
  <c r="C11" i="454"/>
  <c r="C11" i="450"/>
  <c r="C8" i="449"/>
  <c r="C8" i="447"/>
  <c r="C9" i="445"/>
  <c r="C8" i="443"/>
  <c r="I10" i="459"/>
  <c r="E12" i="478"/>
  <c r="D12" i="463"/>
  <c r="D11" i="469"/>
  <c r="D11" i="470"/>
  <c r="F9" i="474"/>
  <c r="D10" i="476"/>
  <c r="D12" i="503"/>
  <c r="E11" i="465"/>
  <c r="D9" i="504"/>
  <c r="D9" i="452"/>
  <c r="D13" i="456"/>
  <c r="E10" i="468"/>
  <c r="E9" i="472"/>
  <c r="F11" i="483"/>
  <c r="G9" i="489"/>
  <c r="E10" i="496"/>
  <c r="D10" i="502"/>
  <c r="D12" i="451"/>
  <c r="G10" i="475"/>
  <c r="D11" i="460"/>
  <c r="D11" i="467"/>
  <c r="D10" i="473"/>
  <c r="E10" i="477"/>
  <c r="D12" i="497"/>
  <c r="E10" i="501"/>
  <c r="E10" i="505"/>
  <c r="E10" i="461"/>
  <c r="D9" i="455"/>
  <c r="D9" i="457"/>
  <c r="E12" i="464"/>
  <c r="F12" i="471"/>
  <c r="F10" i="479"/>
  <c r="E10" i="481"/>
  <c r="D10" i="482"/>
  <c r="E11" i="487"/>
  <c r="E11" i="490"/>
  <c r="D3" i="486"/>
  <c r="C3" i="442"/>
  <c r="C4" i="442"/>
  <c r="D4" i="442" s="1"/>
  <c r="C5" i="442"/>
  <c r="D5" i="442" s="1"/>
  <c r="C6" i="442"/>
  <c r="C7" i="442"/>
  <c r="C8" i="442"/>
  <c r="C3" i="441"/>
  <c r="C4" i="441"/>
  <c r="D4" i="441" s="1"/>
  <c r="C5" i="441"/>
  <c r="D5" i="441" s="1"/>
  <c r="C6" i="441"/>
  <c r="C8" i="441"/>
  <c r="C9" i="441"/>
  <c r="C10" i="441"/>
  <c r="C3" i="440"/>
  <c r="D3" i="440" s="1"/>
  <c r="C4" i="440"/>
  <c r="D4" i="440" s="1"/>
  <c r="C5" i="440"/>
  <c r="C6" i="440"/>
  <c r="C7" i="440"/>
  <c r="C8" i="440"/>
  <c r="C3" i="439"/>
  <c r="C4" i="439"/>
  <c r="D4" i="439" s="1"/>
  <c r="C5" i="439"/>
  <c r="D5" i="439" s="1"/>
  <c r="C6" i="439"/>
  <c r="C7" i="439"/>
  <c r="C8" i="439"/>
  <c r="C3" i="438"/>
  <c r="D3" i="438" s="1"/>
  <c r="C4" i="438"/>
  <c r="D4" i="438" s="1"/>
  <c r="C5" i="438"/>
  <c r="D5" i="438" s="1"/>
  <c r="C6" i="438"/>
  <c r="C7" i="438"/>
  <c r="C8" i="438"/>
  <c r="C3" i="437"/>
  <c r="C4" i="437"/>
  <c r="D4" i="437" s="1"/>
  <c r="C5" i="437"/>
  <c r="D5" i="437" s="1"/>
  <c r="C6" i="437"/>
  <c r="C7" i="437"/>
  <c r="C8" i="437"/>
  <c r="C3" i="436"/>
  <c r="D3" i="436" s="1"/>
  <c r="C4" i="436"/>
  <c r="D4" i="436" s="1"/>
  <c r="C5" i="436"/>
  <c r="D5" i="436" s="1"/>
  <c r="C7" i="436"/>
  <c r="C8" i="436"/>
  <c r="C3" i="435"/>
  <c r="D3" i="435" s="1"/>
  <c r="C4" i="435"/>
  <c r="D4" i="435" s="1"/>
  <c r="C5" i="435"/>
  <c r="C6" i="435"/>
  <c r="C7" i="435"/>
  <c r="C3" i="434"/>
  <c r="C4" i="434"/>
  <c r="D4" i="434" s="1"/>
  <c r="C5" i="434"/>
  <c r="D5" i="434" s="1"/>
  <c r="C6" i="434"/>
  <c r="C7" i="434"/>
  <c r="C8" i="434"/>
  <c r="C3" i="433"/>
  <c r="C4" i="433"/>
  <c r="D4" i="433" s="1"/>
  <c r="C5" i="433"/>
  <c r="C6" i="433"/>
  <c r="C7" i="433"/>
  <c r="C8" i="433"/>
  <c r="C3" i="432"/>
  <c r="C4" i="432"/>
  <c r="C5" i="432"/>
  <c r="C6" i="432"/>
  <c r="C7" i="432"/>
  <c r="C3" i="431"/>
  <c r="C4" i="431"/>
  <c r="C5" i="431"/>
  <c r="C6" i="431"/>
  <c r="C7" i="431"/>
  <c r="C3" i="430"/>
  <c r="C4" i="430"/>
  <c r="D4" i="430" s="1"/>
  <c r="C5" i="430"/>
  <c r="C6" i="430"/>
  <c r="C7" i="430"/>
  <c r="C8" i="430"/>
  <c r="C3" i="429"/>
  <c r="D3" i="429" s="1"/>
  <c r="C4" i="429"/>
  <c r="C5" i="429"/>
  <c r="C6" i="429"/>
  <c r="C3" i="428"/>
  <c r="C4" i="428"/>
  <c r="C5" i="428"/>
  <c r="C6" i="428"/>
  <c r="C7" i="428"/>
  <c r="C4" i="427"/>
  <c r="D4" i="427" s="1"/>
  <c r="C5" i="427"/>
  <c r="C6" i="427"/>
  <c r="C7" i="427"/>
  <c r="C3" i="426"/>
  <c r="D3" i="426" s="1"/>
  <c r="C4" i="426"/>
  <c r="C5" i="426"/>
  <c r="C6" i="426"/>
  <c r="C3" i="425"/>
  <c r="D3" i="425" s="1"/>
  <c r="C4" i="425"/>
  <c r="D4" i="425" s="1"/>
  <c r="C5" i="425"/>
  <c r="C6" i="425"/>
  <c r="C7" i="425"/>
  <c r="C3" i="424"/>
  <c r="C4" i="424"/>
  <c r="C5" i="424"/>
  <c r="C6" i="424"/>
  <c r="C7" i="424"/>
  <c r="C3" i="423"/>
  <c r="C4" i="423"/>
  <c r="D4" i="423" s="1"/>
  <c r="C5" i="423"/>
  <c r="C6" i="423"/>
  <c r="C7" i="423"/>
  <c r="C3" i="422"/>
  <c r="C4" i="422"/>
  <c r="C5" i="422"/>
  <c r="C6" i="422"/>
  <c r="C7" i="422"/>
  <c r="C3" i="420"/>
  <c r="C4" i="420"/>
  <c r="C5" i="420"/>
  <c r="C6" i="420"/>
  <c r="C7" i="420"/>
  <c r="C8" i="420"/>
  <c r="C9" i="420"/>
  <c r="C10" i="420"/>
  <c r="C3" i="419"/>
  <c r="C4" i="419"/>
  <c r="C5" i="419"/>
  <c r="C6" i="419"/>
  <c r="C7" i="419"/>
  <c r="C3" i="418"/>
  <c r="C4" i="418"/>
  <c r="C5" i="418"/>
  <c r="C6" i="418"/>
  <c r="C7" i="418"/>
  <c r="C8" i="418"/>
  <c r="C9" i="418"/>
  <c r="C3" i="417"/>
  <c r="D3" i="417" s="1"/>
  <c r="C4" i="417"/>
  <c r="C5" i="417"/>
  <c r="C6" i="417"/>
  <c r="C3" i="416"/>
  <c r="D3" i="416" s="1"/>
  <c r="C4" i="416"/>
  <c r="C5" i="416"/>
  <c r="C6" i="416"/>
  <c r="C3" i="415"/>
  <c r="C4" i="415"/>
  <c r="C5" i="415"/>
  <c r="C6" i="415"/>
  <c r="C7" i="415"/>
  <c r="C3" i="414"/>
  <c r="C4" i="414"/>
  <c r="D4" i="414" s="1"/>
  <c r="C5" i="414"/>
  <c r="C6" i="414"/>
  <c r="C7" i="414"/>
  <c r="C3" i="413"/>
  <c r="C4" i="413"/>
  <c r="C5" i="413"/>
  <c r="C6" i="413"/>
  <c r="C3" i="412"/>
  <c r="D3" i="412" s="1"/>
  <c r="C4" i="412"/>
  <c r="D4" i="412" s="1"/>
  <c r="C5" i="412"/>
  <c r="C6" i="412"/>
  <c r="C7" i="412"/>
  <c r="C3" i="411"/>
  <c r="D3" i="411" s="1"/>
  <c r="C4" i="411"/>
  <c r="D4" i="411" s="1"/>
  <c r="C5" i="411"/>
  <c r="C6" i="411"/>
  <c r="C7" i="411"/>
  <c r="C8" i="411"/>
  <c r="C3" i="410"/>
  <c r="D3" i="410" s="1"/>
  <c r="C4" i="410"/>
  <c r="C5" i="410"/>
  <c r="C6" i="410"/>
  <c r="C3" i="409"/>
  <c r="C4" i="409"/>
  <c r="C5" i="409"/>
  <c r="C6" i="409"/>
  <c r="C7" i="409"/>
  <c r="C3" i="408"/>
  <c r="D3" i="408" s="1"/>
  <c r="C5" i="408"/>
  <c r="C6" i="408"/>
  <c r="C7" i="408"/>
  <c r="C3" i="407"/>
  <c r="C4" i="407"/>
  <c r="C5" i="407"/>
  <c r="C6" i="407"/>
  <c r="C3" i="406"/>
  <c r="C4" i="406"/>
  <c r="C5" i="406"/>
  <c r="C6" i="406"/>
  <c r="C7" i="406"/>
  <c r="C3" i="405"/>
  <c r="C4" i="405"/>
  <c r="C5" i="405"/>
  <c r="C6" i="405"/>
  <c r="C7" i="405"/>
  <c r="C3" i="404"/>
  <c r="C4" i="404"/>
  <c r="C5" i="404"/>
  <c r="C6" i="404"/>
  <c r="C7" i="404"/>
  <c r="C8" i="404"/>
  <c r="C9" i="404"/>
  <c r="C3" i="403"/>
  <c r="C4" i="403"/>
  <c r="C5" i="403"/>
  <c r="C6" i="403"/>
  <c r="C7" i="403"/>
  <c r="C8" i="403"/>
  <c r="C3" i="402"/>
  <c r="C4" i="402"/>
  <c r="C5" i="402"/>
  <c r="C6" i="402"/>
  <c r="C7" i="402"/>
  <c r="C8" i="402"/>
  <c r="C3" i="401"/>
  <c r="C4" i="401"/>
  <c r="C5" i="401"/>
  <c r="C6" i="401"/>
  <c r="C7" i="401"/>
  <c r="C8" i="401"/>
  <c r="C9" i="401"/>
  <c r="C3" i="400"/>
  <c r="C4" i="400"/>
  <c r="D4" i="400" s="1"/>
  <c r="C5" i="400"/>
  <c r="C6" i="400"/>
  <c r="C7" i="400"/>
  <c r="C3" i="399"/>
  <c r="D3" i="399" s="1"/>
  <c r="C4" i="399"/>
  <c r="C5" i="399"/>
  <c r="C6" i="399"/>
  <c r="C3" i="398"/>
  <c r="C6" i="398"/>
  <c r="C7" i="398"/>
  <c r="C8" i="398"/>
  <c r="C9" i="398"/>
  <c r="C3" i="397"/>
  <c r="C4" i="397"/>
  <c r="D4" i="397" s="1"/>
  <c r="C5" i="397"/>
  <c r="C6" i="397"/>
  <c r="C7" i="397"/>
  <c r="C3" i="396"/>
  <c r="D3" i="396" s="1"/>
  <c r="C4" i="396"/>
  <c r="C5" i="396"/>
  <c r="C6" i="396"/>
  <c r="C3" i="395"/>
  <c r="D3" i="395" s="1"/>
  <c r="C6" i="395"/>
  <c r="D4" i="395" s="1"/>
  <c r="C7" i="395"/>
  <c r="C8" i="395"/>
  <c r="C9" i="395"/>
  <c r="C3" i="394"/>
  <c r="D3" i="394" s="1"/>
  <c r="C4" i="394"/>
  <c r="C5" i="394"/>
  <c r="C6" i="394"/>
  <c r="C3" i="393"/>
  <c r="D3" i="393" s="1"/>
  <c r="C4" i="393"/>
  <c r="C5" i="393"/>
  <c r="C6" i="393"/>
  <c r="C6" i="392"/>
  <c r="D4" i="392" s="1"/>
  <c r="C7" i="392"/>
  <c r="C8" i="392"/>
  <c r="C9" i="392"/>
  <c r="C3" i="391"/>
  <c r="D3" i="391" s="1"/>
  <c r="C7" i="391"/>
  <c r="C8" i="391"/>
  <c r="C9" i="391"/>
  <c r="C3" i="390"/>
  <c r="C4" i="390"/>
  <c r="C5" i="390"/>
  <c r="C6" i="390"/>
  <c r="C3" i="389"/>
  <c r="C4" i="389"/>
  <c r="C5" i="389"/>
  <c r="C6" i="389"/>
  <c r="C3" i="388"/>
  <c r="C5" i="388"/>
  <c r="C6" i="388"/>
  <c r="C7" i="388"/>
  <c r="C8" i="388"/>
  <c r="C3" i="387"/>
  <c r="D3" i="387" s="1"/>
  <c r="C4" i="387"/>
  <c r="C5" i="387"/>
  <c r="C6" i="387"/>
  <c r="C3" i="386"/>
  <c r="D3" i="386" s="1"/>
  <c r="C4" i="386"/>
  <c r="C5" i="386"/>
  <c r="C6" i="386"/>
  <c r="C3" i="385"/>
  <c r="C4" i="385"/>
  <c r="D4" i="385" s="1"/>
  <c r="C5" i="385"/>
  <c r="C6" i="385"/>
  <c r="C7" i="385"/>
  <c r="C3" i="384"/>
  <c r="D3" i="384" s="1"/>
  <c r="C4" i="384"/>
  <c r="C5" i="384"/>
  <c r="C6" i="384"/>
  <c r="C3" i="383"/>
  <c r="D3" i="383" s="1"/>
  <c r="C4" i="383"/>
  <c r="C5" i="383"/>
  <c r="C6" i="383"/>
  <c r="C7" i="383"/>
  <c r="C8" i="383"/>
  <c r="C9" i="383"/>
  <c r="C3" i="382"/>
  <c r="C4" i="382"/>
  <c r="C5" i="382"/>
  <c r="C6" i="382"/>
  <c r="C7" i="382"/>
  <c r="C3" i="381"/>
  <c r="C4" i="381"/>
  <c r="C5" i="381"/>
  <c r="C6" i="381"/>
  <c r="C3" i="380"/>
  <c r="C4" i="380"/>
  <c r="C5" i="380"/>
  <c r="C6" i="380"/>
  <c r="C7" i="380"/>
  <c r="C8" i="380"/>
  <c r="C9" i="380"/>
  <c r="C3" i="379"/>
  <c r="C4" i="379"/>
  <c r="C5" i="379"/>
  <c r="C6" i="379"/>
  <c r="C7" i="379"/>
  <c r="C8" i="379"/>
  <c r="C9" i="379"/>
  <c r="C10" i="379"/>
  <c r="C3" i="378"/>
  <c r="C4" i="378"/>
  <c r="C5" i="378"/>
  <c r="C6" i="378"/>
  <c r="D6" i="378" s="1"/>
  <c r="C7" i="378"/>
  <c r="C8" i="378"/>
  <c r="C9" i="378"/>
  <c r="C3" i="377"/>
  <c r="C4" i="377"/>
  <c r="C5" i="377"/>
  <c r="C6" i="377"/>
  <c r="C7" i="377"/>
  <c r="C8" i="377"/>
  <c r="C9" i="377"/>
  <c r="C10" i="377"/>
  <c r="C3" i="376"/>
  <c r="D3" i="376" s="1"/>
  <c r="C4" i="376"/>
  <c r="C5" i="376"/>
  <c r="C6" i="376"/>
  <c r="C7" i="376"/>
  <c r="C8" i="376"/>
  <c r="C9" i="376"/>
  <c r="C10" i="376"/>
  <c r="C3" i="375"/>
  <c r="C4" i="375"/>
  <c r="C5" i="375"/>
  <c r="C6" i="375"/>
  <c r="C7" i="375"/>
  <c r="C8" i="375"/>
  <c r="C3" i="374"/>
  <c r="D3" i="374" s="1"/>
  <c r="C4" i="374"/>
  <c r="C5" i="374"/>
  <c r="C6" i="374"/>
  <c r="C7" i="374"/>
  <c r="C8" i="374"/>
  <c r="C9" i="374"/>
  <c r="C3" i="373"/>
  <c r="C4" i="373"/>
  <c r="C5" i="373"/>
  <c r="C6" i="373"/>
  <c r="C7" i="373"/>
  <c r="D7" i="373" s="1"/>
  <c r="C8" i="373"/>
  <c r="C9" i="373"/>
  <c r="C10" i="373"/>
  <c r="C11" i="373"/>
  <c r="C3" i="372"/>
  <c r="C4" i="372"/>
  <c r="C5" i="372"/>
  <c r="C6" i="372"/>
  <c r="C7" i="372"/>
  <c r="C8" i="372"/>
  <c r="C9" i="372"/>
  <c r="C10" i="372"/>
  <c r="C11" i="372"/>
  <c r="C3" i="371"/>
  <c r="C4" i="371"/>
  <c r="C5" i="371"/>
  <c r="C6" i="371"/>
  <c r="D6" i="371" s="1"/>
  <c r="C7" i="371"/>
  <c r="C8" i="371"/>
  <c r="C9" i="371"/>
  <c r="C10" i="371"/>
  <c r="C3" i="370"/>
  <c r="C4" i="370"/>
  <c r="C5" i="370"/>
  <c r="C6" i="370"/>
  <c r="C7" i="370"/>
  <c r="C8" i="370"/>
  <c r="C9" i="370"/>
  <c r="C10" i="370"/>
  <c r="C3" i="369"/>
  <c r="C4" i="369"/>
  <c r="C5" i="369"/>
  <c r="C6" i="369"/>
  <c r="C7" i="369"/>
  <c r="C8" i="369"/>
  <c r="C9" i="369"/>
  <c r="C10" i="369"/>
  <c r="C3" i="368"/>
  <c r="C4" i="368"/>
  <c r="C5" i="368"/>
  <c r="C6" i="368"/>
  <c r="C7" i="368"/>
  <c r="C8" i="368"/>
  <c r="C9" i="368"/>
  <c r="C3" i="367"/>
  <c r="C4" i="367"/>
  <c r="C5" i="367"/>
  <c r="C6" i="367"/>
  <c r="C7" i="367"/>
  <c r="C8" i="367"/>
  <c r="C9" i="367"/>
  <c r="C10" i="367"/>
  <c r="D3" i="366"/>
  <c r="D4" i="366"/>
  <c r="D5" i="366"/>
  <c r="D6" i="366"/>
  <c r="D7" i="366"/>
  <c r="D8" i="366"/>
  <c r="D9" i="366"/>
  <c r="D10" i="366"/>
  <c r="D11" i="366"/>
  <c r="C3" i="365"/>
  <c r="C4" i="365"/>
  <c r="C5" i="365"/>
  <c r="C6" i="365"/>
  <c r="C7" i="365"/>
  <c r="C8" i="365"/>
  <c r="C9" i="365"/>
  <c r="C10" i="365"/>
  <c r="C3" i="364"/>
  <c r="C4" i="364"/>
  <c r="C5" i="364"/>
  <c r="C6" i="364"/>
  <c r="C7" i="364"/>
  <c r="C8" i="364"/>
  <c r="C9" i="364"/>
  <c r="C3" i="363"/>
  <c r="C4" i="363"/>
  <c r="C5" i="363"/>
  <c r="C6" i="363"/>
  <c r="C7" i="363"/>
  <c r="C8" i="363"/>
  <c r="C9" i="363"/>
  <c r="C10" i="363"/>
  <c r="C3" i="362"/>
  <c r="D3" i="362" s="1"/>
  <c r="C4" i="362"/>
  <c r="C5" i="362"/>
  <c r="C6" i="362"/>
  <c r="C7" i="362"/>
  <c r="C8" i="362"/>
  <c r="C9" i="362"/>
  <c r="C3" i="361"/>
  <c r="C4" i="361"/>
  <c r="C5" i="361"/>
  <c r="C6" i="361"/>
  <c r="C7" i="361"/>
  <c r="D7" i="361" s="1"/>
  <c r="C8" i="361"/>
  <c r="C9" i="361"/>
  <c r="C10" i="361"/>
  <c r="C11" i="361"/>
  <c r="C3" i="360"/>
  <c r="C4" i="360"/>
  <c r="C5" i="360"/>
  <c r="C6" i="360"/>
  <c r="D6" i="360" s="1"/>
  <c r="C7" i="360"/>
  <c r="C8" i="360"/>
  <c r="C9" i="360"/>
  <c r="C10" i="360"/>
  <c r="C3" i="359"/>
  <c r="C4" i="359"/>
  <c r="C5" i="359"/>
  <c r="C10" i="359"/>
  <c r="C11" i="359"/>
  <c r="D4" i="375" l="1"/>
  <c r="D3" i="398"/>
  <c r="D3" i="401"/>
  <c r="D3" i="441"/>
  <c r="D4" i="361"/>
  <c r="D4" i="378"/>
  <c r="D4" i="379"/>
  <c r="D4" i="401"/>
  <c r="D4" i="376"/>
  <c r="D4" i="377"/>
  <c r="D3" i="379"/>
  <c r="D3" i="382"/>
  <c r="D3" i="432"/>
  <c r="C12" i="373"/>
  <c r="D3" i="373"/>
  <c r="C10" i="378"/>
  <c r="D3" i="378"/>
  <c r="C9" i="403"/>
  <c r="D3" i="403"/>
  <c r="D3" i="442"/>
  <c r="C9" i="442"/>
  <c r="D4" i="365"/>
  <c r="D4" i="370"/>
  <c r="C9" i="375"/>
  <c r="D3" i="375"/>
  <c r="D3" i="389"/>
  <c r="C7" i="389"/>
  <c r="C8" i="400"/>
  <c r="D3" i="400"/>
  <c r="D4" i="418"/>
  <c r="D3" i="423"/>
  <c r="C8" i="423"/>
  <c r="D3" i="439"/>
  <c r="C9" i="439"/>
  <c r="D4" i="359"/>
  <c r="D4" i="360"/>
  <c r="D4" i="362"/>
  <c r="D3" i="365"/>
  <c r="C11" i="365"/>
  <c r="E4" i="366"/>
  <c r="D4" i="367"/>
  <c r="D3" i="369"/>
  <c r="C11" i="369"/>
  <c r="D3" i="370"/>
  <c r="C11" i="371"/>
  <c r="D3" i="371"/>
  <c r="D4" i="372"/>
  <c r="D4" i="374"/>
  <c r="D4" i="380"/>
  <c r="D4" i="383"/>
  <c r="C9" i="402"/>
  <c r="D3" i="402"/>
  <c r="D4" i="404"/>
  <c r="D3" i="409"/>
  <c r="D3" i="414"/>
  <c r="C8" i="414"/>
  <c r="C10" i="418"/>
  <c r="D3" i="418"/>
  <c r="D4" i="420"/>
  <c r="D3" i="424"/>
  <c r="C8" i="424"/>
  <c r="D3" i="430"/>
  <c r="C9" i="433"/>
  <c r="D3" i="433"/>
  <c r="D3" i="361"/>
  <c r="C12" i="361"/>
  <c r="D3" i="405"/>
  <c r="C8" i="405"/>
  <c r="C8" i="422"/>
  <c r="D3" i="422"/>
  <c r="C8" i="428"/>
  <c r="D3" i="428"/>
  <c r="D3" i="434"/>
  <c r="C9" i="434"/>
  <c r="D4" i="369"/>
  <c r="D4" i="371"/>
  <c r="D3" i="388"/>
  <c r="C7" i="390"/>
  <c r="D3" i="390"/>
  <c r="D3" i="406"/>
  <c r="D3" i="407"/>
  <c r="C7" i="407"/>
  <c r="C7" i="413"/>
  <c r="D3" i="413"/>
  <c r="C9" i="437"/>
  <c r="D3" i="437"/>
  <c r="C12" i="359"/>
  <c r="D3" i="359"/>
  <c r="D3" i="360"/>
  <c r="C11" i="360"/>
  <c r="E3" i="366"/>
  <c r="D3" i="367"/>
  <c r="D3" i="372"/>
  <c r="D4" i="373"/>
  <c r="D3" i="380"/>
  <c r="C10" i="380"/>
  <c r="D3" i="381"/>
  <c r="C7" i="381"/>
  <c r="C8" i="397"/>
  <c r="D3" i="397"/>
  <c r="D4" i="403"/>
  <c r="C10" i="404"/>
  <c r="D3" i="404"/>
  <c r="D3" i="415"/>
  <c r="C8" i="415"/>
  <c r="C8" i="419"/>
  <c r="D3" i="419"/>
  <c r="D3" i="420"/>
  <c r="C11" i="420"/>
  <c r="C8" i="431"/>
  <c r="D3" i="431"/>
  <c r="C11" i="441"/>
  <c r="D5" i="440"/>
  <c r="C9" i="440"/>
  <c r="C9" i="438"/>
  <c r="C9" i="436"/>
  <c r="C8" i="435"/>
  <c r="C8" i="432"/>
  <c r="C9" i="430"/>
  <c r="C7" i="429"/>
  <c r="C8" i="427"/>
  <c r="C7" i="426"/>
  <c r="C8" i="425"/>
  <c r="C7" i="417"/>
  <c r="C7" i="416"/>
  <c r="C8" i="412"/>
  <c r="D5" i="411"/>
  <c r="C9" i="411"/>
  <c r="C7" i="410"/>
  <c r="C8" i="409"/>
  <c r="C8" i="408"/>
  <c r="C8" i="406"/>
  <c r="C10" i="401"/>
  <c r="C7" i="399"/>
  <c r="C10" i="398"/>
  <c r="C7" i="396"/>
  <c r="C10" i="395"/>
  <c r="C7" i="394"/>
  <c r="C7" i="393"/>
  <c r="C10" i="392"/>
  <c r="C10" i="391"/>
  <c r="C9" i="388"/>
  <c r="C7" i="387"/>
  <c r="C7" i="386"/>
  <c r="D3" i="385"/>
  <c r="C8" i="385"/>
  <c r="C7" i="384"/>
  <c r="C10" i="383"/>
  <c r="C8" i="382"/>
  <c r="C11" i="379"/>
  <c r="D3" i="377"/>
  <c r="C11" i="377"/>
  <c r="C11" i="376"/>
  <c r="C10" i="374"/>
  <c r="C12" i="372"/>
  <c r="C11" i="370"/>
  <c r="D4" i="368"/>
  <c r="C10" i="368"/>
  <c r="D3" i="368"/>
  <c r="C11" i="367"/>
  <c r="D4" i="364"/>
  <c r="D3" i="364"/>
  <c r="C10" i="364"/>
  <c r="D4" i="363"/>
  <c r="D3" i="363"/>
  <c r="C11" i="363"/>
  <c r="C10" i="362"/>
  <c r="D12" i="366"/>
  <c r="C3" i="5"/>
  <c r="C4" i="5"/>
  <c r="C5" i="5"/>
  <c r="C6" i="5"/>
  <c r="C7" i="5"/>
  <c r="C8" i="5"/>
  <c r="C9" i="5"/>
  <c r="C10" i="5" l="1"/>
  <c r="D3" i="5"/>
  <c r="D4" i="5"/>
</calcChain>
</file>

<file path=xl/sharedStrings.xml><?xml version="1.0" encoding="utf-8"?>
<sst xmlns="http://schemas.openxmlformats.org/spreadsheetml/2006/main" count="1960" uniqueCount="751">
  <si>
    <t>Blank</t>
  </si>
  <si>
    <t>Void</t>
  </si>
  <si>
    <t>Total Votes by County</t>
  </si>
  <si>
    <t>Total Votes by Party</t>
  </si>
  <si>
    <t>Total Votes by Candidate</t>
  </si>
  <si>
    <t>Candidate Name (Party)</t>
  </si>
  <si>
    <t>Scattering</t>
  </si>
  <si>
    <t>Lewis County Vote Results</t>
  </si>
  <si>
    <t>Madison County Vote Results</t>
  </si>
  <si>
    <t>Schuyler County Vote Results</t>
  </si>
  <si>
    <t>Tioga County Vote Results</t>
  </si>
  <si>
    <t>Tompkins County Vote Results</t>
  </si>
  <si>
    <t>Livingston County Vote Results</t>
  </si>
  <si>
    <t>Ontario County Vote Results</t>
  </si>
  <si>
    <t>Wayne County Vote Results</t>
  </si>
  <si>
    <t>Yates County Vote Results</t>
  </si>
  <si>
    <t>Allegany County Vote Results</t>
  </si>
  <si>
    <t>Cattaraugus County Vote Results</t>
  </si>
  <si>
    <t>Chautauqua County Vote Results</t>
  </si>
  <si>
    <t>Genesee County Vote Results</t>
  </si>
  <si>
    <t>Wyoming County Vote Results</t>
  </si>
  <si>
    <t>Part of Suffolk County Vote Results</t>
  </si>
  <si>
    <t>Part of Nassau County Vote Results</t>
  </si>
  <si>
    <t>Part of Queens County Vote Results</t>
  </si>
  <si>
    <t>Part of Kings County Vote Results</t>
  </si>
  <si>
    <t>Part of New York County Vote Results</t>
  </si>
  <si>
    <t>Part of Bronx County Vote Results</t>
  </si>
  <si>
    <t>Part of Westchester County Vote Results</t>
  </si>
  <si>
    <t>Part of Dutchess County Vote Results</t>
  </si>
  <si>
    <t>Greene County Vote Results</t>
  </si>
  <si>
    <t>Schoharie County Vote Results</t>
  </si>
  <si>
    <t>Part of Broome County Vote Results</t>
  </si>
  <si>
    <t>Part of Rensselaer County Vote Results</t>
  </si>
  <si>
    <t>Part of Saratoga County Vote Results</t>
  </si>
  <si>
    <t>Clinton County Vote Results</t>
  </si>
  <si>
    <t>Essex County Vote Results</t>
  </si>
  <si>
    <t>Franklin County Vote Results</t>
  </si>
  <si>
    <t>Fulton County Vote Results</t>
  </si>
  <si>
    <t>Hamilton County Vote Results</t>
  </si>
  <si>
    <t>Warren County Vote Results</t>
  </si>
  <si>
    <t>Part of Herkimer County Vote Results</t>
  </si>
  <si>
    <t>Part of Oswego County Vote Results</t>
  </si>
  <si>
    <t>Part of Monroe County Vote Results</t>
  </si>
  <si>
    <t>Part of Erie County Vote Results</t>
  </si>
  <si>
    <t>Part of Niagara County Vote Results</t>
  </si>
  <si>
    <t>Part of Richmond County Vote Results</t>
  </si>
  <si>
    <t>Part of Rockland County Vote Results</t>
  </si>
  <si>
    <t>Part of Orange County Vote Results</t>
  </si>
  <si>
    <t>Part of Ulster County Vote Results</t>
  </si>
  <si>
    <t>Part of Putnam County Vote Results</t>
  </si>
  <si>
    <t>Part of Delaware County Vote Results</t>
  </si>
  <si>
    <t>Part of Washington County Vote Results</t>
  </si>
  <si>
    <t>Part of Albany County Vote Results</t>
  </si>
  <si>
    <t>Part of St. Lawrence County Vote Results</t>
  </si>
  <si>
    <t>Montgomery County Vote Results</t>
  </si>
  <si>
    <t>Part of Schenectady County Vote Results</t>
  </si>
  <si>
    <t>Part of Oneida County Vote Results</t>
  </si>
  <si>
    <t>Part of Cayuga County Vote Results</t>
  </si>
  <si>
    <t>Part of Onondaga County Vote Results</t>
  </si>
  <si>
    <t>Part of Chenango County Vote Results</t>
  </si>
  <si>
    <t>Member of Assembly 1st Assembly District - General Election - November 3, 2020</t>
  </si>
  <si>
    <t>Fred W. Thiele, Jr. (DEM)</t>
  </si>
  <si>
    <t>Heather C. Collins (REP)</t>
  </si>
  <si>
    <t>Heather C. Collins (CON)</t>
  </si>
  <si>
    <t>Fred W. Thiele, Jr. (IND)</t>
  </si>
  <si>
    <t>Member of Assembly 2nd Assembly District - General Election - November 3, 2020</t>
  </si>
  <si>
    <t>Laura M. Jens-Smith (DEM)</t>
  </si>
  <si>
    <t>Jodi A. Giglio (REP)</t>
  </si>
  <si>
    <t>Jodi A. Giglio (CON)</t>
  </si>
  <si>
    <t>Laura M. Jens-Smith (WOR)</t>
  </si>
  <si>
    <t>William V. Van Helmond (LBT)</t>
  </si>
  <si>
    <t>Jodi A. Giglio (IND)</t>
  </si>
  <si>
    <t>Member of Assembly 3rd Assembly District - General Election - November 3, 2020</t>
  </si>
  <si>
    <t>Steven Polgar (DEM)</t>
  </si>
  <si>
    <t>Joseph P. De Stefano (REP)</t>
  </si>
  <si>
    <t>Joseph P. De Stefano (CON)</t>
  </si>
  <si>
    <t>Adam Martin (LBT)</t>
  </si>
  <si>
    <t>Joseph P. De Stefano (IND)</t>
  </si>
  <si>
    <t>Member of Assembly 4th Assembly District - General Election - November 3, 2020</t>
  </si>
  <si>
    <t>Steven Englebright (DEM)</t>
  </si>
  <si>
    <t>Michael S. Ross (REP)</t>
  </si>
  <si>
    <t>Michael S. Ross (CON)</t>
  </si>
  <si>
    <t>Steven Englebright (WOR)</t>
  </si>
  <si>
    <t>Adam Fischer-Gledhill (LBT)</t>
  </si>
  <si>
    <t>Steven Englebright (IND)</t>
  </si>
  <si>
    <t>Member of Assembly 5th Assembly District - General Election - November 3, 2020</t>
  </si>
  <si>
    <t>Alfred Ianacci (DEM)</t>
  </si>
  <si>
    <t>Douglas M. Smith (REP)</t>
  </si>
  <si>
    <t>Douglas M. Smith (CON)</t>
  </si>
  <si>
    <t>Douglas M. Smith (IND)</t>
  </si>
  <si>
    <t>Member of Assembly 6th Assembly District - General Election - November 3, 2020</t>
  </si>
  <si>
    <t>Philip R. Ramos (DEM)</t>
  </si>
  <si>
    <t>Ryan S. Skelly (REP)</t>
  </si>
  <si>
    <t>Ryan S. Skelly (CON)</t>
  </si>
  <si>
    <t>Philip R. Ramos (WOR)</t>
  </si>
  <si>
    <t>Philip R. Ramos (IND)</t>
  </si>
  <si>
    <t>Member of Assembly 7th Assembly District - General Election - November 3, 2020</t>
  </si>
  <si>
    <t>Francis T. Genco (DEM)</t>
  </si>
  <si>
    <t>Jarett C. Gandolfo (REP)</t>
  </si>
  <si>
    <t>Jarett C. Gandolfo (CON)</t>
  </si>
  <si>
    <t>Jarett C. Gandolfo (IND)</t>
  </si>
  <si>
    <t>Member of Assembly 8th Assembly District - General Election - November 3, 2020</t>
  </si>
  <si>
    <t>Dylan G. Rice (DEM)</t>
  </si>
  <si>
    <t>Michael J. Fitzpatrick (REP)</t>
  </si>
  <si>
    <t>Michael J. Fitzpatrick (CON)</t>
  </si>
  <si>
    <t>Michael J. Fitzpatrick (IND)</t>
  </si>
  <si>
    <t>Michael J. Fitzpatrick (Safe Neighborhoods)</t>
  </si>
  <si>
    <t>Member of Assembly 9th Assembly District - General Election - November 3, 2020</t>
  </si>
  <si>
    <t>Ann M. Brancato (DEM)</t>
  </si>
  <si>
    <t>Michael A.  Durso (REP)</t>
  </si>
  <si>
    <t>Michael A.  Durso (CON)</t>
  </si>
  <si>
    <t>Ann M. Brancato (WOR)</t>
  </si>
  <si>
    <t>Michael A.  Durso (LBT)</t>
  </si>
  <si>
    <t>Michael A.  Durso (IND)</t>
  </si>
  <si>
    <t>Member of Assembly 10th Assembly District - General Election - November 3, 2020</t>
  </si>
  <si>
    <t>Steve Stern (DEM)</t>
  </si>
  <si>
    <t>Jamie R. Silvestri (REP)</t>
  </si>
  <si>
    <t>Jamie R. Silvestri (CON)</t>
  </si>
  <si>
    <t>Steve Stern (WOR)</t>
  </si>
  <si>
    <t>Steve Stern (IND)</t>
  </si>
  <si>
    <t>Member of Assembly 11th Assembly District - General Election - November 3, 2020</t>
  </si>
  <si>
    <t>Kimberly Jean-Pierre (DEM)</t>
  </si>
  <si>
    <t>Eugene M. Murray (REP)</t>
  </si>
  <si>
    <t>Eugene M. Murray (CON)</t>
  </si>
  <si>
    <t>Kimberly Jean-Pierre (IND)</t>
  </si>
  <si>
    <t>Member of Assembly 12th Assembly District - General Election - November 3, 2020</t>
  </si>
  <si>
    <t>Michael A. Marcantonio (DEM)</t>
  </si>
  <si>
    <t>Keith Brown (REP)</t>
  </si>
  <si>
    <t>Keith Brown (CON)</t>
  </si>
  <si>
    <t>Michael A. Marcantonio (WOR)</t>
  </si>
  <si>
    <t>Keith Brown (IND)</t>
  </si>
  <si>
    <t>Member of Assembly 13th Assembly District - General Election - November 3, 2020</t>
  </si>
  <si>
    <t>Charles D. Lavine (DEM)</t>
  </si>
  <si>
    <t>Andrew A. Monteleone (REP)</t>
  </si>
  <si>
    <t>Andrew A. Monteleone (CON)</t>
  </si>
  <si>
    <t>Charles D. Lavine (WOR)</t>
  </si>
  <si>
    <t>Andrew A. Monteleone (IND)</t>
  </si>
  <si>
    <t>Member of Assembly 14th Assembly District - General Election - November 3, 2020</t>
  </si>
  <si>
    <t>Kevin C. Gorman (DEM)</t>
  </si>
  <si>
    <t>David G. McDonough (REP)</t>
  </si>
  <si>
    <t>David G. McDonough (CON)</t>
  </si>
  <si>
    <t>Jake Gutowitz (LBT)</t>
  </si>
  <si>
    <t>David G. McDonough (IND)</t>
  </si>
  <si>
    <t>Member of Assembly 15th Assembly District - General Election - November 3, 2020</t>
  </si>
  <si>
    <t>Joseph J. Sackman, III (DEM)</t>
  </si>
  <si>
    <t>Michael A. Montesano (REP)</t>
  </si>
  <si>
    <t>Michael A. Montesano (CON)</t>
  </si>
  <si>
    <t>Joseph J. Sackman, III (WOR)</t>
  </si>
  <si>
    <t>Michael A. Montesano (LBT)</t>
  </si>
  <si>
    <t>Michael A. Montesano (IND)</t>
  </si>
  <si>
    <t>Member of Assembly 16th Assembly District - General Election - November 3, 2020</t>
  </si>
  <si>
    <t>Gina L. Sillitti (DEM)</t>
  </si>
  <si>
    <t>Ragini Srivastava (REP)</t>
  </si>
  <si>
    <t>Ragini Srivastava (CON)</t>
  </si>
  <si>
    <t>Gina L. Sillitti (WOR)</t>
  </si>
  <si>
    <t>Blay Tarnoff (LBT)</t>
  </si>
  <si>
    <t>Ragini Srivastava (IND)</t>
  </si>
  <si>
    <t>Member of Assembly 17th Assembly District - General Election - November 3, 2020</t>
  </si>
  <si>
    <t>Mark A. Engelman (DEM)</t>
  </si>
  <si>
    <t>John K. Mikulin (REP)</t>
  </si>
  <si>
    <t>John K. Mikulin (CON)</t>
  </si>
  <si>
    <t>John K. Mikulin (IND)</t>
  </si>
  <si>
    <t>Member of Assembly 18th Assembly District - General Election - November 3, 2020</t>
  </si>
  <si>
    <t>Taylor R. Darling (DEM)</t>
  </si>
  <si>
    <t>Cherice P. Vanderhall (REP)</t>
  </si>
  <si>
    <t>Cherice P. Vanderhall (CON)</t>
  </si>
  <si>
    <t>Member of Assembly 19th Assembly District - General Election - November 3, 2020</t>
  </si>
  <si>
    <t>Gary B. Port (DEM)</t>
  </si>
  <si>
    <t>Edward P. Ra (REP)</t>
  </si>
  <si>
    <t>Edward P. Ra (CON)</t>
  </si>
  <si>
    <t>Edward P. Ra (LBT)</t>
  </si>
  <si>
    <t>Edward P. Ra (IND)</t>
  </si>
  <si>
    <t>Member of Assembly 20th Assembly District - General Election - November 3, 2020</t>
  </si>
  <si>
    <t>Gregory S. Marks (DEM)</t>
  </si>
  <si>
    <t>Melissa L. Miller (REP)</t>
  </si>
  <si>
    <t>Melissa L. Miller (CON)</t>
  </si>
  <si>
    <t>Melissa L. Miller (LBT)</t>
  </si>
  <si>
    <t>Melissa L. Miller (IND)</t>
  </si>
  <si>
    <t>Member of Assembly 21st Assembly District - General Election - November 3, 2020</t>
  </si>
  <si>
    <t>Judy A. Griffin (DEM)</t>
  </si>
  <si>
    <t>Patricia M. Canzoneri-Fitzpatrick (REP)</t>
  </si>
  <si>
    <t>Patricia M. Canzoneri-Fitzpatrick (CON)</t>
  </si>
  <si>
    <t>Barry Leon (LBT)</t>
  </si>
  <si>
    <t>Member of Assembly 22nd Assembly District - General Election - November 3, 2020</t>
  </si>
  <si>
    <t>Michaelle C. Solages (DEM)</t>
  </si>
  <si>
    <t>Nicholas M. Zacchea (REP)</t>
  </si>
  <si>
    <t>Nicholas M. Zacchea (CON)</t>
  </si>
  <si>
    <t>Michaelle C. Solages (WOR)</t>
  </si>
  <si>
    <t>Michaelle C. Solages (IND)</t>
  </si>
  <si>
    <t>Member of Assembly 23rd Assembly District - General Election - November 3, 2020</t>
  </si>
  <si>
    <t>Stacey G. Pheffer Amato (DEM)</t>
  </si>
  <si>
    <t>Peter D. Hatzipetros (REP)</t>
  </si>
  <si>
    <t>Peter D. Hatzipetros (CON)</t>
  </si>
  <si>
    <t>Peter D. Hatzipetros (Save Our City)</t>
  </si>
  <si>
    <t>Member of Assembly 24th Assembly District - General Election - November 3, 2020</t>
  </si>
  <si>
    <t>David I. Weprin (DEM)</t>
  </si>
  <si>
    <t>Member of Assembly 25th Assembly District - General Election - November 3, 2020</t>
  </si>
  <si>
    <t>Nily D. Rozic (DEM)</t>
  </si>
  <si>
    <t>Nily D. Rozic (WOR)</t>
  </si>
  <si>
    <t>Member of Assembly 26th Assembly District - General Election - November 3, 2020</t>
  </si>
  <si>
    <t>Edward C. Braunstein (DEM)</t>
  </si>
  <si>
    <t>John-Alexander M. Sakelos (REP)</t>
  </si>
  <si>
    <t>John-Alexander M. Sakelos (CON)</t>
  </si>
  <si>
    <t>John-Alexander M. Sakelos (Save Our City)</t>
  </si>
  <si>
    <t>Member of Assembly 27th Assembly District - General Election - November 3, 2020</t>
  </si>
  <si>
    <t>Daniel Rosenthal (DEM)</t>
  </si>
  <si>
    <t>Member of Assembly 28th Assembly District - General Election - November 3, 2020</t>
  </si>
  <si>
    <t>Andrew D. Hevesi (DEM)</t>
  </si>
  <si>
    <t>Danniel S. Maio (COVID19 Stories)</t>
  </si>
  <si>
    <t>Member of Assembly 29th Assembly District - General Election - November 3, 2020</t>
  </si>
  <si>
    <t>Alicia L. Hyndman (DEM)</t>
  </si>
  <si>
    <t>Member of Assembly 30th Assembly District - General Election - November 3, 2020</t>
  </si>
  <si>
    <t>Brian Barnwell (DEM)</t>
  </si>
  <si>
    <t>Member of Assembly 31st Assembly District - General Election - November 3, 2020</t>
  </si>
  <si>
    <t>Khaleel  Anderson (DEM)</t>
  </si>
  <si>
    <t>Joseph A. Cullina (REP)</t>
  </si>
  <si>
    <t>Khaleel  Anderson (WOR)</t>
  </si>
  <si>
    <t>Member of Assembly 32nd Assembly District - General Election - November 3, 2020</t>
  </si>
  <si>
    <t>Vivian E. Cook (DEM)</t>
  </si>
  <si>
    <t>Member of Assembly 33rd Assembly District - General Election - November 3, 2020</t>
  </si>
  <si>
    <t>Clyde Vanel (DEM)</t>
  </si>
  <si>
    <t>Member of Assembly 34th Assembly District - General Election - November 3, 2020</t>
  </si>
  <si>
    <t>Jessica Gonzalez-Rojas (DEM)</t>
  </si>
  <si>
    <t>William A. Marquez (REP)</t>
  </si>
  <si>
    <t>William A. Marquez (CON)</t>
  </si>
  <si>
    <t>Jessica Gonzalez-Rojas (WOR)</t>
  </si>
  <si>
    <t>Member of Assembly 35th Assembly District - General Election - November 3, 2020</t>
  </si>
  <si>
    <t>Jeffrion L. Aubry (DEM)</t>
  </si>
  <si>
    <t>Han-Kohn To (REP)</t>
  </si>
  <si>
    <t>Han-Kohn To (CON)</t>
  </si>
  <si>
    <t>Han-Kohn To (Save Our City)</t>
  </si>
  <si>
    <t>Member of Assembly 36th Assembly District - General Election - November 3, 2020</t>
  </si>
  <si>
    <t>Zohran Kwame Mamdani (DEM)</t>
  </si>
  <si>
    <t>Member of Assembly 37th Assembly District - General Election - November 3, 2020</t>
  </si>
  <si>
    <t>Catherine Nolan (DEM)</t>
  </si>
  <si>
    <t>Member of Assembly 38th Assembly District - General Election - November 3, 2020</t>
  </si>
  <si>
    <t>Jenifer Rajkumar (DEM)</t>
  </si>
  <si>
    <t>Giovanni A. Perna (REP)</t>
  </si>
  <si>
    <t>Giovanni A. Perna (CON)</t>
  </si>
  <si>
    <t>Giovanni A. Perna (Save Our City)</t>
  </si>
  <si>
    <t>Member of Assembly 39th Assembly District - General Election - November 3, 2020</t>
  </si>
  <si>
    <t>Catalina Cruz (DEM)</t>
  </si>
  <si>
    <t>Member of Assembly 40th Assembly District - General Election - November 3, 2020</t>
  </si>
  <si>
    <t>Ron Kim (DEM)</t>
  </si>
  <si>
    <t>Steven Lee (Justice &amp; Peace)</t>
  </si>
  <si>
    <t>Member of Assembly 41st Assembly District - General Election - November 3, 2020</t>
  </si>
  <si>
    <t>Helene E. Weinstein (DEM)</t>
  </si>
  <si>
    <t>Ramona Johnson (REP)</t>
  </si>
  <si>
    <t>Ramona Johnson (CON)</t>
  </si>
  <si>
    <t>Helene E. Weinstein (WOR)</t>
  </si>
  <si>
    <t>Member of Assembly 42nd Assembly District - General Election - November 3, 2020</t>
  </si>
  <si>
    <t>Rodneyse Bichotte (DEM)</t>
  </si>
  <si>
    <t>Member of Assembly 43rd Assembly District - General Election - November 3, 2020</t>
  </si>
  <si>
    <t>Diana Richardson (DEM)</t>
  </si>
  <si>
    <t>Menachem M. Raitport (REP)</t>
  </si>
  <si>
    <t>Member of Assembly 44th Assembly District - General Election - November 3, 2020</t>
  </si>
  <si>
    <t>Robert C. Carroll (DEM)</t>
  </si>
  <si>
    <t>Salvatore P. Barrera (REP)</t>
  </si>
  <si>
    <t>Salvatore P. Barrera (CON)</t>
  </si>
  <si>
    <t>Robert C. Carroll (WOR)</t>
  </si>
  <si>
    <t>Member of Assembly 45th Assembly District - General Election - November 3, 2020</t>
  </si>
  <si>
    <t>Steven Cymbrowitz (DEM)</t>
  </si>
  <si>
    <t>Steven Cymbrowitz (WOR)</t>
  </si>
  <si>
    <t>Steven Cymbrowitz (IND)</t>
  </si>
  <si>
    <t>Member of Assembly 46th Assembly District - General Election - November 3, 2020</t>
  </si>
  <si>
    <t>Mathylde Frontus (DEM)</t>
  </si>
  <si>
    <t>Mark Szuszkiewicz (REP)</t>
  </si>
  <si>
    <t>Mark Szuszkiewicz (CON)</t>
  </si>
  <si>
    <t>Member of Assembly 47th Assembly District - General Election - November 3, 2020</t>
  </si>
  <si>
    <t>William Colton (DEM)</t>
  </si>
  <si>
    <t>Barbara Marino (REP)</t>
  </si>
  <si>
    <t>Barbara Marino (CON)</t>
  </si>
  <si>
    <t>William Colton (WOR)</t>
  </si>
  <si>
    <t>Member of Assembly 48th Assembly District - General Election - November 3, 2020</t>
  </si>
  <si>
    <t>Simcha Eichenstein (DEM)</t>
  </si>
  <si>
    <t>Simcha Eichenstein (CON)</t>
  </si>
  <si>
    <t>Member of Assembly 49th Assembly District - General Election - November 3, 2020</t>
  </si>
  <si>
    <t>Peter J.  Abbate, Jr. (DEM)</t>
  </si>
  <si>
    <t>Peter J.  Abbate, Jr. (IND)</t>
  </si>
  <si>
    <t>Member of Assembly 50th Assembly District - General Election - November 3, 2020</t>
  </si>
  <si>
    <t>Emily E. Gallagher (DEM)</t>
  </si>
  <si>
    <t>Member of Assembly 51st Assembly District - General Election - November 3, 2020</t>
  </si>
  <si>
    <t>Marcela Mitaynes (DEM)</t>
  </si>
  <si>
    <t>Marcela Mitaynes (WOR)</t>
  </si>
  <si>
    <t>Member of Assembly 52nd Assembly District - General Election - November 3, 2020</t>
  </si>
  <si>
    <t>Jo Anne Simon (DEM)</t>
  </si>
  <si>
    <t>Jo Anne Simon (WOR)</t>
  </si>
  <si>
    <t>Member of Assembly 53rd Assembly District - General Election - November 3, 2020</t>
  </si>
  <si>
    <t>Maritza Davila (DEM)</t>
  </si>
  <si>
    <t>Member of Assembly 54th Assembly District - General Election - November 3, 2020</t>
  </si>
  <si>
    <t>Erik Martin Dilan (DEM)</t>
  </si>
  <si>
    <t>Khorshed A. Chowdhury (REP)</t>
  </si>
  <si>
    <t>Scott Hutchins (GRE)</t>
  </si>
  <si>
    <t>Member of Assembly 55th Assembly District - General Election - November 3, 2020</t>
  </si>
  <si>
    <t>Latrice Walker (DEM)</t>
  </si>
  <si>
    <t>Berneda W. Jackson (REP)</t>
  </si>
  <si>
    <t>Member of Assembly 56th Assembly District - General Election - November 3, 2020</t>
  </si>
  <si>
    <t>Stefani L. Zinerman (DEM)</t>
  </si>
  <si>
    <t>Member of Assembly 57th Assembly District - General Election - November 3, 2020</t>
  </si>
  <si>
    <t>Phara Souffrant Forrest (DEM)</t>
  </si>
  <si>
    <t>Walter T.  Mosley, III (WOR)</t>
  </si>
  <si>
    <t>Member of Assembly 58th Assembly District - General Election - November 3, 2020</t>
  </si>
  <si>
    <t>N. Nick Perry (DEM)</t>
  </si>
  <si>
    <t>N. Nick Perry (WOR)</t>
  </si>
  <si>
    <t>Member of Assembly 59th Assembly District - General Election - November 3, 2020</t>
  </si>
  <si>
    <t>Jaime R. Williams (DEM)</t>
  </si>
  <si>
    <t>Member of Assembly 60th Assembly District - General Election - November 3, 2020</t>
  </si>
  <si>
    <t>Charles Barron (DEM)</t>
  </si>
  <si>
    <t>Member of Assembly 61st Assembly District - General Election - November 3, 2020</t>
  </si>
  <si>
    <t>Charles D. Fall (DEM)</t>
  </si>
  <si>
    <t>Paul Ciurcina, Jr. (REP)</t>
  </si>
  <si>
    <t>Paul Ciurcina, Jr. (CON)</t>
  </si>
  <si>
    <t>Charles D. Fall (IND)</t>
  </si>
  <si>
    <t>Member of Assembly 62nd Assembly District - General Election - November 3, 2020</t>
  </si>
  <si>
    <t>Michael W. Reilly, Jr. (REP)</t>
  </si>
  <si>
    <t>Michael W. Reilly, Jr. (CON)</t>
  </si>
  <si>
    <t>Member of Assembly 63rd Assembly District - General Election - November 3, 2020</t>
  </si>
  <si>
    <t>Michael J. Cusick (DEM)</t>
  </si>
  <si>
    <t>Anthony M.  DeGuerre (REP)</t>
  </si>
  <si>
    <t>Anthony M.  DeGuerre (CON)</t>
  </si>
  <si>
    <t>Michael J. Cusick (IND)</t>
  </si>
  <si>
    <t>Anthony M.  DeGuerre (SAM)</t>
  </si>
  <si>
    <t>Member of Assembly 64th Assembly District - General Election - November 3, 2020</t>
  </si>
  <si>
    <t>Brandon S. Patterson (DEM)</t>
  </si>
  <si>
    <t>Michael Tannousis (REP)</t>
  </si>
  <si>
    <t>Michael Tannousis (CON)</t>
  </si>
  <si>
    <t>Brandon S. Patterson (IND)</t>
  </si>
  <si>
    <t>Member of Assembly 65th Assembly District - General Election - November 3, 2020</t>
  </si>
  <si>
    <t>Yuh-Line Niou (DEM)</t>
  </si>
  <si>
    <t>Yuh-Line Niou (WOR)</t>
  </si>
  <si>
    <t>Member of Assembly 66th Assembly District - General Election - November 3, 2020</t>
  </si>
  <si>
    <t>Deborah J. Glick (DEM)</t>
  </si>
  <si>
    <t>Tamara Lashchyk (REP)</t>
  </si>
  <si>
    <t>Member of Assembly 67th Assembly District - General Election - November 3, 2020</t>
  </si>
  <si>
    <t>Linda B. Rosenthal (DEM)</t>
  </si>
  <si>
    <t>Linda B. Rosenthal (WOR)</t>
  </si>
  <si>
    <t>Member of Assembly 68th Assembly District - General Election - November 3, 2020</t>
  </si>
  <si>
    <t>Robert J. Rodriguez (DEM)</t>
  </si>
  <si>
    <t>Daby Benjamine Carreras (REP)</t>
  </si>
  <si>
    <t>Member of Assembly 69th Assembly District - General Election - November 3, 2020</t>
  </si>
  <si>
    <t>Daniel J. O’Donnell (DEM)</t>
  </si>
  <si>
    <t>Member of Assembly 70th Assembly District - General Election - November 3, 2020</t>
  </si>
  <si>
    <t>Inez E. Dickens (DEM)</t>
  </si>
  <si>
    <t>Craig Schley (Schley for 70 Assy)</t>
  </si>
  <si>
    <t>Member of Assembly 71st Assembly District - General Election - November 3, 2020</t>
  </si>
  <si>
    <t>Alfred E. Taylor (DEM)</t>
  </si>
  <si>
    <t>Alfred E. Taylor (WOR)</t>
  </si>
  <si>
    <t>Member of Assembly 72nd Assembly District - General Election - November 3, 2020</t>
  </si>
  <si>
    <t>Carmen De La Rosa (DEM)</t>
  </si>
  <si>
    <t>Member of Assembly 73rd Assembly District - General Election - November 3, 2020</t>
  </si>
  <si>
    <t>Dan Quart (DEM)</t>
  </si>
  <si>
    <t>Judith Graham (REP)</t>
  </si>
  <si>
    <t>Dan Quart (WOR)</t>
  </si>
  <si>
    <t>Member of Assembly 74th Assembly District - General Election - November 3, 2020</t>
  </si>
  <si>
    <t>Harvey Epstein (DEM)</t>
  </si>
  <si>
    <t>Harvey Epstein (WOR)</t>
  </si>
  <si>
    <t>Member of Assembly 75th Assembly District - General Election - November 3, 2020</t>
  </si>
  <si>
    <t>Richard N. Gottfried (DEM)</t>
  </si>
  <si>
    <t>Richard N. Gottfried (WOR)</t>
  </si>
  <si>
    <t>Member of Assembly 76th Assembly District - General Election - November 3, 2020</t>
  </si>
  <si>
    <t>Louis Puliafito (REP)</t>
  </si>
  <si>
    <t>Rebecca A. Seawright (Rise and Unite)</t>
  </si>
  <si>
    <t>Louis Puliafito (Liberal)</t>
  </si>
  <si>
    <t>Member of Assembly 77th Assembly District - General Election - November 3, 2020</t>
  </si>
  <si>
    <t>Latoya Joyner (DEM)</t>
  </si>
  <si>
    <t>Tanya  Carmichael (REP)</t>
  </si>
  <si>
    <t>Benjamin Eggleston (CON)</t>
  </si>
  <si>
    <t>Member of Assembly 78th Assembly District - General Election - November 3, 2020</t>
  </si>
  <si>
    <t>Jose Rivera (DEM)</t>
  </si>
  <si>
    <t>Michael Dister (REP)</t>
  </si>
  <si>
    <t>Member of Assembly 79th Assembly District - General Election - November 3, 2020</t>
  </si>
  <si>
    <t>Chantel Jackson (DEM)</t>
  </si>
  <si>
    <t>Donald Skinner (REP)</t>
  </si>
  <si>
    <t>Dion Powell (CON)</t>
  </si>
  <si>
    <t>Member of Assembly 80th Assembly District - General Election - November 3, 2020</t>
  </si>
  <si>
    <t>Nathalia Fernandez (DEM)</t>
  </si>
  <si>
    <t>Gene A. DeFrancis (REP)</t>
  </si>
  <si>
    <t>Elizabeth Perri (CON)</t>
  </si>
  <si>
    <t>Member of Assembly 81st Assembly District - General Election - November 3, 2020</t>
  </si>
  <si>
    <t>Jeffrey Dinowitz (DEM)</t>
  </si>
  <si>
    <t>Nicole J. Torres (REP)</t>
  </si>
  <si>
    <t>Alan H. Reed (CON)</t>
  </si>
  <si>
    <t>Member of Assembly 82nd Assembly District - General Election - November 3, 2020</t>
  </si>
  <si>
    <t>Michael R. Benedetto (DEM)</t>
  </si>
  <si>
    <t>John A. DeStefano (REP)</t>
  </si>
  <si>
    <t>William E. Britt, Jr. (CON)</t>
  </si>
  <si>
    <t>Member of Assembly 83rd Assembly District - General Election - November 3, 2020</t>
  </si>
  <si>
    <t>Carl Heastie (DEM)</t>
  </si>
  <si>
    <t>Brenton Ritchie (REP)</t>
  </si>
  <si>
    <t>Regina Cartagena (CON)</t>
  </si>
  <si>
    <t>Member of Assembly 84th Assembly District - General Election - November 3, 2020</t>
  </si>
  <si>
    <t>Amanda N. Septimo (DEM)</t>
  </si>
  <si>
    <t>Rosaline Nieves (REP)</t>
  </si>
  <si>
    <t>Linda Ortiz (CON)</t>
  </si>
  <si>
    <t>Amanda N. Septimo (WOR)</t>
  </si>
  <si>
    <t>Carmen E. Arroyo (Proven Leader)</t>
  </si>
  <si>
    <t>Member of Assembly 85th Assembly District - General Election - November 3, 2020</t>
  </si>
  <si>
    <t>Kenneth Burgos (DEM)</t>
  </si>
  <si>
    <t>Janelle King (REP)</t>
  </si>
  <si>
    <t>Gabriel Eronosele (CON)</t>
  </si>
  <si>
    <t>Member of Assembly 86th Assembly District - General Election - November 3, 2020</t>
  </si>
  <si>
    <t>Victor M. Pichardo (DEM)</t>
  </si>
  <si>
    <t>Lorraine E. Zeigler (REP)</t>
  </si>
  <si>
    <t>Member of Assembly 87th Assembly District - General Election - November 3, 2020</t>
  </si>
  <si>
    <t>Karines Reyes (DEM)</t>
  </si>
  <si>
    <t>Michelle Castillo (REP)</t>
  </si>
  <si>
    <t>Juan G. DeJesus (CON)</t>
  </si>
  <si>
    <t>Karines Reyes (WOR)</t>
  </si>
  <si>
    <t>Carl  Lundgren (GRE)</t>
  </si>
  <si>
    <t>Member of Assembly 88th Assembly District - General Election - November 3, 2020</t>
  </si>
  <si>
    <t>Amy R. Paulin (DEM)</t>
  </si>
  <si>
    <t>Amy R. Paulin (WOR)</t>
  </si>
  <si>
    <t>Amy R. Paulin (SAM)</t>
  </si>
  <si>
    <t>Member of Assembly 89th Assembly District - General Election - November 3, 2020</t>
  </si>
  <si>
    <t>J. Gary Pretlow (DEM)</t>
  </si>
  <si>
    <t>Member of Assembly 90th Assembly District - General Election - November 3, 2020</t>
  </si>
  <si>
    <t>Nader J. Sayegh (DEM)</t>
  </si>
  <si>
    <t>Nader J. Sayegh (IND)</t>
  </si>
  <si>
    <t>Member of Assembly 91st Assembly District - General Election - November 3, 2020</t>
  </si>
  <si>
    <t>Steven Otis (DEM)</t>
  </si>
  <si>
    <t>Steven Otis (WOR)</t>
  </si>
  <si>
    <t>Steven Otis (IND)</t>
  </si>
  <si>
    <t>Member of Assembly 92nd Assembly District - General Election - November 3, 2020</t>
  </si>
  <si>
    <t>Thomas J. Abinanti (DEM)</t>
  </si>
  <si>
    <t>Thomas J. Abinanti (WOR)</t>
  </si>
  <si>
    <t>Member of Assembly 93rd Assembly District - General Election - November 3, 2020</t>
  </si>
  <si>
    <t>Chris Burdick (DEM)</t>
  </si>
  <si>
    <t>John  Nuculovic (REP)</t>
  </si>
  <si>
    <t>John  Nuculovic (CON)</t>
  </si>
  <si>
    <t>Chris Burdick (WOR)</t>
  </si>
  <si>
    <t>Chris Burdick (IND)</t>
  </si>
  <si>
    <t>Member of Assembly 94th Assembly District - General Election - November 3, 2020</t>
  </si>
  <si>
    <t>Stephanie J. Keegan (DEM)</t>
  </si>
  <si>
    <t>Kevin  Byrne (REP)</t>
  </si>
  <si>
    <t>Kevin  Byrne (CON)</t>
  </si>
  <si>
    <t>Kevin  Byrne (IND)</t>
  </si>
  <si>
    <t>Kevin  Byrne (SAM)</t>
  </si>
  <si>
    <t>Kevin  Byrne (Rebuild Our State)</t>
  </si>
  <si>
    <t>Member of Assembly 95th Assembly District - General Election - November 3, 2020</t>
  </si>
  <si>
    <t>Sandra R. Galef (DEM)</t>
  </si>
  <si>
    <t>Lawrence A. Chiulli (REP)</t>
  </si>
  <si>
    <t>Lawrence A. Chiulli (CON)</t>
  </si>
  <si>
    <t>Member of Assembly 96th Assembly District - General Election - November 3, 2020</t>
  </si>
  <si>
    <t>Kenneth P. Zebrowski (DEM)</t>
  </si>
  <si>
    <t>Kenneth P. Zebrowski (WOR)</t>
  </si>
  <si>
    <t>Kenneth P. Zebrowski (SAM)</t>
  </si>
  <si>
    <t>Member of Assembly 97th Assembly District - General Election - November 3, 2020</t>
  </si>
  <si>
    <t>Ellen C. Jaffee (DEM)</t>
  </si>
  <si>
    <t>Michael V. Lawler (REP)</t>
  </si>
  <si>
    <t>Michael V. Lawler (CON)</t>
  </si>
  <si>
    <t>Michael V. Lawler (IND)</t>
  </si>
  <si>
    <t>Michael V. Lawler (SAM)</t>
  </si>
  <si>
    <t>Member of Assembly 98th Assembly District - General Election - November 3, 2020</t>
  </si>
  <si>
    <t>Karl A. Brabenec (REP)</t>
  </si>
  <si>
    <t>Karl A. Brabenec (CON)</t>
  </si>
  <si>
    <t>Karl A. Brabenec (IND)</t>
  </si>
  <si>
    <t>Member of Assembly 99th Assembly District - General Election - November 3, 2020</t>
  </si>
  <si>
    <t>Sarita  Bhandarkar (DEM)</t>
  </si>
  <si>
    <t>Colin J. Schmitt (REP)</t>
  </si>
  <si>
    <t>Colin J. Schmitt (CON)</t>
  </si>
  <si>
    <t>Sarita  Bhandarkar (WOR)</t>
  </si>
  <si>
    <t>Colin J. Schmitt (LBT)</t>
  </si>
  <si>
    <t>Colin J. Schmitt (IND)</t>
  </si>
  <si>
    <t>Colin J. Schmitt (SAM)</t>
  </si>
  <si>
    <t>Member of Assembly 100th Assembly District - General Election - November 3, 2020</t>
  </si>
  <si>
    <t>Part of Sullivan County Vote Results</t>
  </si>
  <si>
    <t>Aileen M. Gunther (DEM)</t>
  </si>
  <si>
    <t>Aileen M. Gunther (WOR)</t>
  </si>
  <si>
    <t>Aileen M. Gunther (IND)</t>
  </si>
  <si>
    <t>Member of Assembly 101st Assembly District - General Election - November 3, 2020</t>
  </si>
  <si>
    <t>Part of Otsego County Vote Results</t>
  </si>
  <si>
    <t>Chad J. McEvoy (DEM)</t>
  </si>
  <si>
    <t>Brian D.  Miller (REP)</t>
  </si>
  <si>
    <t>Brian D.  Miller (CON)</t>
  </si>
  <si>
    <t>Chad J. McEvoy (WOR)</t>
  </si>
  <si>
    <t>Barbara A. Kidney (GRE)</t>
  </si>
  <si>
    <t>Brian D.  Miller (IND)</t>
  </si>
  <si>
    <t>Member of Assembly 102nd Assembly District - General Election - November 3, 2020</t>
  </si>
  <si>
    <t>Part of Columbia County Vote Results</t>
  </si>
  <si>
    <t>Betsy Kraat (DEM)</t>
  </si>
  <si>
    <t>Christopher Tague (REP)</t>
  </si>
  <si>
    <t>Christopher Tague (CON)</t>
  </si>
  <si>
    <t>Christopher Tague (IND)</t>
  </si>
  <si>
    <t>Member of Assembly 103rd Assembly District - General Election - November 3, 2020</t>
  </si>
  <si>
    <t>Kevin A. Cahill (DEM)</t>
  </si>
  <si>
    <t>Rex Bridges (REP)</t>
  </si>
  <si>
    <t>Rex Bridges (CON)</t>
  </si>
  <si>
    <t>Kevin A. Cahill (WOR)</t>
  </si>
  <si>
    <t>Kevin A. Cahill (IND)</t>
  </si>
  <si>
    <t>Member of Assembly 104th Assembly District - General Election - November 3, 2020</t>
  </si>
  <si>
    <t>Jonathan G. Jacobson (DEM)</t>
  </si>
  <si>
    <t>Andrew  Gauzza, IV (REP)</t>
  </si>
  <si>
    <t>Andrew  Gauzza, IV (CON)</t>
  </si>
  <si>
    <t>Jonathan G. Jacobson (WOR)</t>
  </si>
  <si>
    <t>Member of Assembly 105th Assembly District - General Election - November 3, 2020</t>
  </si>
  <si>
    <t>Laurette Giardino (DEM)</t>
  </si>
  <si>
    <t>Kieran Michael Lalor (REP)</t>
  </si>
  <si>
    <t>Kieran Michael Lalor (CON)</t>
  </si>
  <si>
    <t>Laurette Giardino (WOR)</t>
  </si>
  <si>
    <t>Kieran Michael Lalor (IND)</t>
  </si>
  <si>
    <t>Member of Assembly 106th Assembly District - General Election - November 3, 2020</t>
  </si>
  <si>
    <t>Didi Barrett (DEM)</t>
  </si>
  <si>
    <t>Dean  Michael (REP)</t>
  </si>
  <si>
    <t>Dean  Michael (CON)</t>
  </si>
  <si>
    <t>Didi Barrett (WOR)</t>
  </si>
  <si>
    <t>Dean  Michael (LBT)</t>
  </si>
  <si>
    <t>Didi Barrett (IND)</t>
  </si>
  <si>
    <t>Member of Assembly 107th Assembly District - General Election - November 3, 2020</t>
  </si>
  <si>
    <t>Brittany L. Vogel (DEM)</t>
  </si>
  <si>
    <t>Jacob C. Ashby (REP)</t>
  </si>
  <si>
    <t>Jacob C. Ashby (CON)</t>
  </si>
  <si>
    <t>Brittany L. Vogel (WOR)</t>
  </si>
  <si>
    <t>Charles A. Senrick (LBT)</t>
  </si>
  <si>
    <t>Jacob C. Ashby (IND)</t>
  </si>
  <si>
    <t>Member of Assembly 108th Assembly District - General Election - November 3, 2020</t>
  </si>
  <si>
    <t>John T. McDonald, III (DEM)</t>
  </si>
  <si>
    <t>Petros Papanicolaou (REP)</t>
  </si>
  <si>
    <t>Petros Papanicolaou (CON)</t>
  </si>
  <si>
    <t>Sam Fein (WOR)</t>
  </si>
  <si>
    <t>John T. McDonald, III (IND)</t>
  </si>
  <si>
    <t>Member of Assembly 109th Assembly District - General Election - November 3, 2020</t>
  </si>
  <si>
    <t>Patricia A. Fahy (DEM)</t>
  </si>
  <si>
    <t>Robert G. Porter (REP)</t>
  </si>
  <si>
    <t>Robert G. Porter (CON)</t>
  </si>
  <si>
    <t>Robert G. Porter (LBT)</t>
  </si>
  <si>
    <t>Patricia A. Fahy (IND)</t>
  </si>
  <si>
    <t>Member of Assembly 110th Assembly District - General Election - November 3, 2020</t>
  </si>
  <si>
    <t>Phillip G. Steck (DEM)</t>
  </si>
  <si>
    <t>Dave M. Feiden (REP)</t>
  </si>
  <si>
    <t>Dave M. Feiden (CON)</t>
  </si>
  <si>
    <t>Phillip G. Steck (WOR)</t>
  </si>
  <si>
    <t>Phillip G. Steck (IND)</t>
  </si>
  <si>
    <t>Member of Assembly 111th Assembly District - General Election - November 3, 2020</t>
  </si>
  <si>
    <t>Angelo L. Santabarbara (DEM)</t>
  </si>
  <si>
    <t>Paul E. DeLorenzo (REP)</t>
  </si>
  <si>
    <t>Angelo L. Santabarbara (CON)</t>
  </si>
  <si>
    <t>Angelo L. Santabarbara (IND)</t>
  </si>
  <si>
    <t>Member of Assembly 112th Assembly District - General Election - November 3, 2020</t>
  </si>
  <si>
    <t>Joseph S. Seeman (DEM)</t>
  </si>
  <si>
    <t>Mary Beth Walsh (REP)</t>
  </si>
  <si>
    <t>Mary Beth Walsh (CON)</t>
  </si>
  <si>
    <t>Joseph S. Seeman (WOR)</t>
  </si>
  <si>
    <t>Mary Beth Walsh (IND)</t>
  </si>
  <si>
    <t>Member of Assembly 113th Assembly District - General Election - November 3, 2020</t>
  </si>
  <si>
    <t>Carrie Woerner (DEM)</t>
  </si>
  <si>
    <t>David M. Catalfamo (REP)</t>
  </si>
  <si>
    <t>David M. Catalfamo (CON)</t>
  </si>
  <si>
    <t>Carrie Woerner (IND)</t>
  </si>
  <si>
    <t>Carrie Woerner (SAM)</t>
  </si>
  <si>
    <t>Member of Assembly 114th Assembly District - General Election - November 3, 2020</t>
  </si>
  <si>
    <t>Claudia K. Braymer (DEM)</t>
  </si>
  <si>
    <t>Matthew J. Simpson (REP)</t>
  </si>
  <si>
    <t>Matthew J. Simpson (CON)</t>
  </si>
  <si>
    <t>Claudia K. Braymer (WOR)</t>
  </si>
  <si>
    <t>Matthew J. Simpson (IND)</t>
  </si>
  <si>
    <t>Evelyn M. Wood (SAM)</t>
  </si>
  <si>
    <t>Member of Assembly 115th Assembly District - General Election - November 3, 2020</t>
  </si>
  <si>
    <t>D. Billy Jones (DEM)</t>
  </si>
  <si>
    <t>D. Billy Jones (WOR)</t>
  </si>
  <si>
    <t>D. Billy Jones (IND)</t>
  </si>
  <si>
    <t>Member of Assembly 116th Assembly District - General Election - November 3, 2020</t>
  </si>
  <si>
    <t>Part of Jefferson County Vote Results</t>
  </si>
  <si>
    <t>Alex V. Hammond (DEM)</t>
  </si>
  <si>
    <t>Mark C. Walczyk (REP)</t>
  </si>
  <si>
    <t>Mark C. Walczyk (CON)</t>
  </si>
  <si>
    <t>Mark C. Walczyk (IND)</t>
  </si>
  <si>
    <t>Member of Assembly 117th Assembly District - General Election - November 3, 2020</t>
  </si>
  <si>
    <t>Kenneth Blankenbush (REP)</t>
  </si>
  <si>
    <t>Kenneth Blankenbush (CON)</t>
  </si>
  <si>
    <t>Kenneth Blankenbush (IND)</t>
  </si>
  <si>
    <t>Member of Assembly 118th Assembly District - General Election - November 3, 2020</t>
  </si>
  <si>
    <t>Robert J. Smullen (REP)</t>
  </si>
  <si>
    <t>Robert J. Smullen (CON)</t>
  </si>
  <si>
    <t>Robert J. Smullen (IND)</t>
  </si>
  <si>
    <t>Robert J. Smullen (SAM)</t>
  </si>
  <si>
    <t>Member of Assembly 119th Assembly District - General Election - November 3, 2020</t>
  </si>
  <si>
    <t>Marianne  Buttenschon (DEM)</t>
  </si>
  <si>
    <t>John S. Zielinski (REP)</t>
  </si>
  <si>
    <t>Marianne  Buttenschon (IND)</t>
  </si>
  <si>
    <t>Michael C. Gentile (SAM)</t>
  </si>
  <si>
    <t>Member of Assembly 120th Assembly District - General Election - November 3, 2020</t>
  </si>
  <si>
    <t>Gail E. Tosh (DEM)</t>
  </si>
  <si>
    <t>William A. Barclay (REP)</t>
  </si>
  <si>
    <t>William A. Barclay (CON)</t>
  </si>
  <si>
    <t>William A. Barclay (IND)</t>
  </si>
  <si>
    <t>Member of Assembly 121st Assembly District - General Election - November 3, 2020</t>
  </si>
  <si>
    <t>Dan Buttermann (DEM)</t>
  </si>
  <si>
    <t>John J. Salka (REP)</t>
  </si>
  <si>
    <t>John J. Salka (CON)</t>
  </si>
  <si>
    <t>Corey J. Mosher (WOR)</t>
  </si>
  <si>
    <t>Jake Cornell (LBT)</t>
  </si>
  <si>
    <t>John J. Salka (IND)</t>
  </si>
  <si>
    <t>Member of Assembly 122nd Assembly District - General Election - November 3, 2020</t>
  </si>
  <si>
    <t>Richard O. Shaw (DEM)</t>
  </si>
  <si>
    <t>Joe G. Angelino (REP)</t>
  </si>
  <si>
    <t>Joe G. Angelino (CON)</t>
  </si>
  <si>
    <t>Joe G. Angelino (IND)</t>
  </si>
  <si>
    <t>Member of Assembly 123rd Assembly District - General Election - November 3, 2020</t>
  </si>
  <si>
    <t>Donna A. Lupardo (DEM)</t>
  </si>
  <si>
    <t>Donna A. Lupardo (WOR)</t>
  </si>
  <si>
    <t>Member of Assembly 124th Assembly District - General Election - November 3, 2020</t>
  </si>
  <si>
    <t>Part of Chemung County Vote Results</t>
  </si>
  <si>
    <t>Randy Reid (DEM)</t>
  </si>
  <si>
    <t>Christopher S. Friend (REP)</t>
  </si>
  <si>
    <t>Christopher S. Friend (CON)</t>
  </si>
  <si>
    <t>Christopher S. Friend (IND)</t>
  </si>
  <si>
    <t>Member of Assembly 125th Assembly District - General Election - November 3, 2020</t>
  </si>
  <si>
    <t>Part of Cortland County Vote Results</t>
  </si>
  <si>
    <t>Anna  Kelles (DEM)</t>
  </si>
  <si>
    <t>Matthew McIntyre (REP)</t>
  </si>
  <si>
    <t>Anna  Kelles (WOR)</t>
  </si>
  <si>
    <t>Matthew McIntyre (LBT)</t>
  </si>
  <si>
    <t>Member of Assembly 126th Assembly District - General Election - November 3, 2020</t>
  </si>
  <si>
    <t>Dia Carabajal (DEM)</t>
  </si>
  <si>
    <t>John Lemondes, Jr. (REP)</t>
  </si>
  <si>
    <t>John Lemondes, Jr. (CON)</t>
  </si>
  <si>
    <t>Dia Carabajal (WOR)</t>
  </si>
  <si>
    <t>John Lemondes, Jr. (IND)</t>
  </si>
  <si>
    <t>Member of Assembly 127th Assembly District - General Election - November 3, 2020</t>
  </si>
  <si>
    <t>Albert A. Stirpe, Jr. (DEM)</t>
  </si>
  <si>
    <t>Mark R. Venesky (REP)</t>
  </si>
  <si>
    <t>Mark R. Venesky (CON)</t>
  </si>
  <si>
    <t>Albert A. Stirpe, Jr. (WOR)</t>
  </si>
  <si>
    <t>Mark R. Venesky (IND)</t>
  </si>
  <si>
    <t>Member of Assembly 128th Assembly District - General Election - November 3, 2020</t>
  </si>
  <si>
    <t>Pamela Jo Hunter (DEM)</t>
  </si>
  <si>
    <t>Stephanie M. Jackson (REP)</t>
  </si>
  <si>
    <t>Stephanie M. Jackson (CON)</t>
  </si>
  <si>
    <t>Pamela Jo Hunter (WOR)</t>
  </si>
  <si>
    <t>Stephanie M. Jackson (LBT)</t>
  </si>
  <si>
    <t>Pamela Jo Hunter (IND)</t>
  </si>
  <si>
    <t>Member of Assembly 129th Assembly District - General Election - November 3, 2020</t>
  </si>
  <si>
    <t>William B. Magnarelli (DEM)</t>
  </si>
  <si>
    <t>Edward G. Weber, Jr. (REP)</t>
  </si>
  <si>
    <t>Edward G. Weber, Jr. (CON)</t>
  </si>
  <si>
    <t>William B. Magnarelli (IND)</t>
  </si>
  <si>
    <t>Member of Assembly 130th Assembly District - General Election - November 3, 2020</t>
  </si>
  <si>
    <t>Scott Comegys (DEM)</t>
  </si>
  <si>
    <t>Brian D. Manktelow (REP)</t>
  </si>
  <si>
    <t>Brian D. Manktelow (CON)</t>
  </si>
  <si>
    <t>Brian D. Manktelow (IND)</t>
  </si>
  <si>
    <t>Scott Comegys (SAM)</t>
  </si>
  <si>
    <t>Member of Assembly 131st Assembly District - General Election - November 3, 2020</t>
  </si>
  <si>
    <t>Part of Seneca County Vote Results</t>
  </si>
  <si>
    <t>Matthew  Miller (DEM)</t>
  </si>
  <si>
    <t>Jeff L. Gallahan (REP)</t>
  </si>
  <si>
    <t>Jeff L. Gallahan (CON)</t>
  </si>
  <si>
    <t>Cynthia L. Wade (SAM)</t>
  </si>
  <si>
    <t>Member of Assembly 132nd Assembly District - General Election - November 3, 2020</t>
  </si>
  <si>
    <t>Part of Steuben County Vote Results</t>
  </si>
  <si>
    <t>Philip A. Palmesano (REP)</t>
  </si>
  <si>
    <t>Philip A. Palmesano (CON)</t>
  </si>
  <si>
    <t>Philip A. Palmesano (IND)</t>
  </si>
  <si>
    <t>Member of Assembly 133rd Assembly District - General Election - November 3, 2020</t>
  </si>
  <si>
    <t>ChaRon K. Sattler-Leblanc (DEM)</t>
  </si>
  <si>
    <t>Marjorie L. Byrnes (REP)</t>
  </si>
  <si>
    <t>Marjorie L. Byrnes (CON)</t>
  </si>
  <si>
    <t>ChaRon K. Sattler-Leblanc (WOR)</t>
  </si>
  <si>
    <t>Marjorie L. Byrnes (IND)</t>
  </si>
  <si>
    <t>Member of Assembly 134th Assembly District - General Election - November 3, 2020</t>
  </si>
  <si>
    <t>Carolyn D. Carrol (DEM)</t>
  </si>
  <si>
    <t>Josh Jensen (REP)</t>
  </si>
  <si>
    <t>Josh Jensen (CON)</t>
  </si>
  <si>
    <t>Dylan P. Dailor (WOR)</t>
  </si>
  <si>
    <t>Ericka Jones (GRE)</t>
  </si>
  <si>
    <t>Josh Jensen (IND)</t>
  </si>
  <si>
    <t>Member of Assembly 135th Assembly District - General Election - November 3, 2020</t>
  </si>
  <si>
    <t>Jennifer A. Lunsford (DEM)</t>
  </si>
  <si>
    <t>Mark C. Johns (REP)</t>
  </si>
  <si>
    <t>Mark C. Johns (CON)</t>
  </si>
  <si>
    <t>Jennifer A. Lunsford (WOR)</t>
  </si>
  <si>
    <t>Mark C. Johns (IND)</t>
  </si>
  <si>
    <t>Member of Assembly 136th Assembly District - General Election - November 3, 2020</t>
  </si>
  <si>
    <t>Sarah Clark (DEM)</t>
  </si>
  <si>
    <t>Sarah Clark (WOR)</t>
  </si>
  <si>
    <t>Steven G. Becker (LBT)</t>
  </si>
  <si>
    <t>Justin F. Wilcox (IND)</t>
  </si>
  <si>
    <t>Member of Assembly 137th Assembly District - General Election - November 3, 2020</t>
  </si>
  <si>
    <t>Demond L. Meeks (DEM)</t>
  </si>
  <si>
    <t>Demond L. Meeks (WOR)</t>
  </si>
  <si>
    <t>Member of Assembly 138th Assembly District - General Election - November 3, 2020</t>
  </si>
  <si>
    <t>Harry B. Bronson (DEM)</t>
  </si>
  <si>
    <t>Peter Vazquez (REP)</t>
  </si>
  <si>
    <t>Peter Vazquez (CON)</t>
  </si>
  <si>
    <t>Harry B. Bronson (WOR)</t>
  </si>
  <si>
    <t>Peter Vazquez (LBT)</t>
  </si>
  <si>
    <t>Harry B. Bronson (IND)</t>
  </si>
  <si>
    <t>Member of Assembly 139th Assembly District - General Election - November 3, 2020</t>
  </si>
  <si>
    <t>Part of Orleans County Vote Results</t>
  </si>
  <si>
    <t>Stephen M. Hawley (REP)</t>
  </si>
  <si>
    <t>Stephen M. Hawley (CON)</t>
  </si>
  <si>
    <t>Mark E. Glogowski (LBT)</t>
  </si>
  <si>
    <t>Stephen M. Hawley (IND)</t>
  </si>
  <si>
    <t>Member of Assembly 140th Assembly District - General Election - November 3, 2020</t>
  </si>
  <si>
    <t>William C. Conrad, III (DEM)</t>
  </si>
  <si>
    <t>Robert E. Pecoraro (REP)</t>
  </si>
  <si>
    <t>Robert E. Pecoraro (CON)</t>
  </si>
  <si>
    <t>William C. Conrad, III (WOR)</t>
  </si>
  <si>
    <t>Anthony K. Baney (GRE)</t>
  </si>
  <si>
    <t>William C. Conrad, III (IND)</t>
  </si>
  <si>
    <t>Member of Assembly 141st Assembly District - General Election - November 3, 2020</t>
  </si>
  <si>
    <t>Crystal D. Peoples (DEM)</t>
  </si>
  <si>
    <t>Sean Miles (REP)</t>
  </si>
  <si>
    <t>Member of Assembly 142nd Assembly District - General Election - November 3, 2020</t>
  </si>
  <si>
    <t>Patrick B. Burke (DEM)</t>
  </si>
  <si>
    <t>Matthew S. Szalkowski (REP)</t>
  </si>
  <si>
    <t>Matthew S. Szalkowski (CON)</t>
  </si>
  <si>
    <t>Patrick B. Burke (WOR)</t>
  </si>
  <si>
    <t>Patrick B. Burke (IND)</t>
  </si>
  <si>
    <t>Member of Assembly 143rd Assembly District - General Election - November 3, 2020</t>
  </si>
  <si>
    <t>Monica Piga-Wallace (DEM)</t>
  </si>
  <si>
    <t>Frank C. Smierciak, II (REP)</t>
  </si>
  <si>
    <t>Frank C. Smierciak, II (CON)</t>
  </si>
  <si>
    <t>Monica Piga-Wallace (WOR)</t>
  </si>
  <si>
    <t>Monica Piga-Wallace (IND)</t>
  </si>
  <si>
    <t>Member of Assembly 144th Assembly District - General Election - November 3, 2020</t>
  </si>
  <si>
    <t>Michael J. Norris (REP)</t>
  </si>
  <si>
    <t>Michael J. Norris (CON)</t>
  </si>
  <si>
    <t>Michael J. Norris (LBT)</t>
  </si>
  <si>
    <t>Michael J. Norris (IND)</t>
  </si>
  <si>
    <t>Member of Assembly 145th Assembly District - General Election - November 3, 2020</t>
  </si>
  <si>
    <t>Angelo J. Morinello (REP)</t>
  </si>
  <si>
    <t>Angelo J. Morinello (CON)</t>
  </si>
  <si>
    <t>Angelo J. Morinello (LBT)</t>
  </si>
  <si>
    <t>Angelo J. Morinello (IND)</t>
  </si>
  <si>
    <t>Member of Assembly 146th Assembly District - General Election - November 3, 2020</t>
  </si>
  <si>
    <t>Karen M. McMahon (DEM)</t>
  </si>
  <si>
    <t>Robin L. Wolfgang (REP)</t>
  </si>
  <si>
    <t>Robin L. Wolfgang (CON)</t>
  </si>
  <si>
    <t>Karen M. McMahon (WOR)</t>
  </si>
  <si>
    <t>Ruben Cartagena, Jr. (GRE)</t>
  </si>
  <si>
    <t>Robin L. Wolfgang (IND)</t>
  </si>
  <si>
    <t>Member of Assembly 147th Assembly District - General Election - November 3, 2020</t>
  </si>
  <si>
    <t>David J. DiPietro (REP)</t>
  </si>
  <si>
    <t>David J. DiPietro (CON)</t>
  </si>
  <si>
    <t>David J. DiPietro (IND)</t>
  </si>
  <si>
    <t>Member of Assembly 148th Assembly District - General Election - November 3, 2020</t>
  </si>
  <si>
    <t>W. Ross Scott (DEM)</t>
  </si>
  <si>
    <t>Joseph M. Giglio (REP)</t>
  </si>
  <si>
    <t>Joseph M. Giglio (CON)</t>
  </si>
  <si>
    <t>Joseph M. Giglio (IND)</t>
  </si>
  <si>
    <t>Member of Assembly 149th Assembly District - General Election - November 3, 2020</t>
  </si>
  <si>
    <t>Jonathan D. Rivera (DEM)</t>
  </si>
  <si>
    <t>Joseph Totaro (REP)</t>
  </si>
  <si>
    <t>Jonathan D. Rivera (WOR)</t>
  </si>
  <si>
    <t>Jonathan D. Rivera (IND)</t>
  </si>
  <si>
    <t>Member of Assembly 150th Assembly District - General Election - November 3, 2020</t>
  </si>
  <si>
    <t>Christina Cardinale (DEM)</t>
  </si>
  <si>
    <t>Andrew W. Goodell (REP)</t>
  </si>
  <si>
    <t>Andrew W. Goodell (CON)</t>
  </si>
  <si>
    <t>Andrew W. Goodell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</si>
</sst>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5B3D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5B3D7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3" borderId="4" xfId="0" applyFont="1" applyFill="1" applyBorder="1"/>
    <xf numFmtId="3" fontId="3" fillId="0" borderId="1" xfId="0" applyNumberFormat="1" applyFont="1" applyBorder="1"/>
    <xf numFmtId="0" fontId="4" fillId="3" borderId="5" xfId="0" applyFont="1" applyFill="1" applyBorder="1"/>
    <xf numFmtId="3" fontId="3" fillId="0" borderId="3" xfId="0" applyNumberFormat="1" applyFont="1" applyBorder="1"/>
    <xf numFmtId="0" fontId="4" fillId="2" borderId="6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3" fontId="3" fillId="4" borderId="1" xfId="0" applyNumberFormat="1" applyFont="1" applyFill="1" applyBorder="1"/>
    <xf numFmtId="3" fontId="3" fillId="7" borderId="1" xfId="0" applyNumberFormat="1" applyFont="1" applyFill="1" applyBorder="1"/>
    <xf numFmtId="3" fontId="3" fillId="5" borderId="1" xfId="0" applyNumberFormat="1" applyFont="1" applyFill="1" applyBorder="1"/>
    <xf numFmtId="3" fontId="0" fillId="0" borderId="0" xfId="0" applyNumberFormat="1"/>
    <xf numFmtId="0" fontId="4" fillId="3" borderId="1" xfId="0" applyFont="1" applyFill="1" applyBorder="1"/>
    <xf numFmtId="3" fontId="4" fillId="5" borderId="1" xfId="0" applyNumberFormat="1" applyFont="1" applyFill="1" applyBorder="1"/>
    <xf numFmtId="0" fontId="4" fillId="3" borderId="4" xfId="0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horizontal="right" vertical="center"/>
    </xf>
    <xf numFmtId="3" fontId="3" fillId="0" borderId="2" xfId="0" applyNumberFormat="1" applyFont="1" applyBorder="1"/>
    <xf numFmtId="3" fontId="3" fillId="8" borderId="1" xfId="0" applyNumberFormat="1" applyFont="1" applyFill="1" applyBorder="1"/>
    <xf numFmtId="3" fontId="3" fillId="0" borderId="1" xfId="0" applyNumberFormat="1" applyFont="1" applyFill="1" applyBorder="1"/>
    <xf numFmtId="3" fontId="3" fillId="0" borderId="3" xfId="0" applyNumberFormat="1" applyFont="1" applyFill="1" applyBorder="1"/>
    <xf numFmtId="0" fontId="5" fillId="0" borderId="1" xfId="0" applyFont="1" applyBorder="1"/>
    <xf numFmtId="3" fontId="5" fillId="0" borderId="1" xfId="0" applyNumberFormat="1" applyFont="1" applyBorder="1"/>
    <xf numFmtId="3" fontId="6" fillId="0" borderId="7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0" fontId="6" fillId="0" borderId="8" xfId="0" applyFont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2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C19DFBB-E8D4-44B1-8386-A3B29AC58125}" name="MemberOfAssemblyAssemblyDistrict1General" displayName="MemberOfAssemblyAssemblyDistrict1General" ref="A2:D10" totalsRowCount="1" headerRowDxfId="2234" dataDxfId="2232" totalsRowDxfId="2230" headerRowBorderDxfId="2233" tableBorderDxfId="2231" totalsRowBorderDxfId="2229">
  <autoFilter ref="A2:D9" xr:uid="{3A650E04-D3BE-4799-8EA0-96F8843917A4}">
    <filterColumn colId="0" hiddenButton="1"/>
    <filterColumn colId="1" hiddenButton="1"/>
    <filterColumn colId="2" hiddenButton="1"/>
    <filterColumn colId="3" hiddenButton="1"/>
  </autoFilter>
  <tableColumns count="4">
    <tableColumn id="1" xr3:uid="{966F2FF4-31F5-4097-915C-EB02CCB63253}" name="Candidate Name (Party)" totalsRowLabel="Total Votes by County" dataDxfId="2228" totalsRowDxfId="2227"/>
    <tableColumn id="4" xr3:uid="{C7D1CB6B-2624-47BC-8CF3-483AA1924117}" name="Part of Suffolk County Vote Results" totalsRowFunction="custom" dataDxfId="2226" totalsRowDxfId="2225">
      <totalsRowFormula>SUM(MemberOfAssemblyAssemblyDistrict1General[Part of Suffolk County Vote Results])</totalsRowFormula>
    </tableColumn>
    <tableColumn id="3" xr3:uid="{21A88CE6-83FA-4BA2-89A5-4AFC3DA6D922}" name="Total Votes by Party" totalsRowFunction="custom" dataDxfId="2224" totalsRowDxfId="2223">
      <calculatedColumnFormula>MemberOfAssemblyAssemblyDistrict1General[[#This Row],[Part of Suffolk County Vote Results]]</calculatedColumnFormula>
      <totalsRowFormula>SUM(MemberOfAssemblyAssemblyDistrict1General[Total Votes by Party])</totalsRowFormula>
    </tableColumn>
    <tableColumn id="2" xr3:uid="{F5952D43-6E82-4B57-8B57-34D0381677D3}" name="Total Votes by Candidate" dataDxfId="2222" totalsRowDxfId="222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0245A2DF-213A-4578-974C-2043823FF8D5}" name="MemberOfAssemblyAssemblyDistrict10General" displayName="MemberOfAssemblyAssemblyDistrict10General" ref="A2:D11" totalsRowCount="1" headerRowDxfId="2106" dataDxfId="2104" totalsRowDxfId="2102" headerRowBorderDxfId="2105" tableBorderDxfId="2103" totalsRowBorderDxfId="2101">
  <autoFilter ref="A2:D10" xr:uid="{784F8CBD-14E3-44A5-A0D2-79783C1E721A}">
    <filterColumn colId="0" hiddenButton="1"/>
    <filterColumn colId="1" hiddenButton="1"/>
    <filterColumn colId="2" hiddenButton="1"/>
    <filterColumn colId="3" hiddenButton="1"/>
  </autoFilter>
  <tableColumns count="4">
    <tableColumn id="1" xr3:uid="{6354FF96-A466-4C76-9EDE-94D61D2C55C9}" name="Candidate Name (Party)" totalsRowLabel="Total Votes by County" dataDxfId="2100" totalsRowDxfId="2099"/>
    <tableColumn id="4" xr3:uid="{3B3313E5-4276-4730-8141-84BAF05ECD36}" name="Part of Suffolk County Vote Results" totalsRowFunction="custom" dataDxfId="2098" totalsRowDxfId="2097">
      <totalsRowFormula>SUM(MemberOfAssemblyAssemblyDistrict10General[Part of Suffolk County Vote Results])</totalsRowFormula>
    </tableColumn>
    <tableColumn id="3" xr3:uid="{E63AAB09-325B-4550-B37A-5DC13FCF8FD7}" name="Total Votes by Party" totalsRowFunction="custom" dataDxfId="2096" totalsRowDxfId="2095">
      <calculatedColumnFormula>MemberOfAssemblyAssemblyDistrict10General[[#This Row],[Part of Suffolk County Vote Results]]</calculatedColumnFormula>
      <totalsRowFormula>SUM(MemberOfAssemblyAssemblyDistrict10General[Total Votes by Party])</totalsRowFormula>
    </tableColumn>
    <tableColumn id="2" xr3:uid="{AE8AB542-A0BF-4BE0-9E10-5BB9F88745DA}" name="Total Votes by Candidate" dataDxfId="2094" totalsRowDxfId="2093"/>
  </tableColumns>
  <tableStyleInfo name="TableStyleMedium2" showFirstColumn="0" showLastColumn="0" showRowStripes="0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58A1C5DC-7AF2-4A27-B183-FF5926511A93}" name="MemberOfAssemblyAssemblyDistrict100General" displayName="MemberOfAssemblyAssemblyDistrict100General" ref="A2:E9" totalsRowCount="1" headerRowDxfId="857" dataDxfId="855" totalsRowDxfId="853" headerRowBorderDxfId="856" tableBorderDxfId="854" totalsRowBorderDxfId="852">
  <autoFilter ref="A2:E8" xr:uid="{DCA4E2B6-7050-4201-AFC1-F92DCDF029D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F7BAA80-7345-4286-80FE-E4D30264BCAC}" name="Candidate Name (Party)" totalsRowLabel="Total Votes by County" dataDxfId="851" totalsRowDxfId="850"/>
    <tableColumn id="2" xr3:uid="{C38BB9D5-9F8D-4621-A1B3-253C1FDD1C3F}" name="Part of Orange County Vote Results" totalsRowFunction="custom" dataDxfId="849" totalsRowDxfId="848">
      <totalsRowFormula>SUM(MemberOfAssemblyAssemblyDistrict100General[Part of Orange County Vote Results])</totalsRowFormula>
    </tableColumn>
    <tableColumn id="4" xr3:uid="{8EC3EF08-C5CA-4474-A68F-02B2F860B178}" name="Part of Sullivan County Vote Results" totalsRowFunction="custom" dataDxfId="847" totalsRowDxfId="846">
      <totalsRowFormula>SUM(MemberOfAssemblyAssemblyDistrict100General[Part of Sullivan County Vote Results])</totalsRowFormula>
    </tableColumn>
    <tableColumn id="3" xr3:uid="{891C3041-839A-4A89-8D4E-3D0F31D20C40}" name="Total Votes by Party" totalsRowFunction="custom" dataDxfId="845" totalsRowDxfId="844">
      <calculatedColumnFormula>SUM(MemberOfAssemblyAssemblyDistrict100General[[#This Row],[Part of Orange County Vote Results]:[Part of Sullivan County Vote Results]])</calculatedColumnFormula>
      <totalsRowFormula>SUM(MemberOfAssemblyAssemblyDistrict100General[Total Votes by Party])</totalsRowFormula>
    </tableColumn>
    <tableColumn id="5" xr3:uid="{BF0C7AE8-F57D-434A-85E3-1F71C8454C49}" name="Total Votes by Candidate" dataDxfId="843" totalsRowDxfId="842">
      <calculatedColumnFormula>SUM(D3,D4,D5)</calculatedColumnFormula>
    </tableColumn>
  </tableColumns>
  <tableStyleInfo name="TableStyleMedium2" showFirstColumn="0" showLastColumn="0" showRowStripes="0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97ADB344-15FF-4536-8A68-555E3F651F30}" name="MemberOfAssemblyAssemblyDistrict101General" displayName="MemberOfAssemblyAssemblyDistrict101General" ref="A2:J12" totalsRowCount="1" headerRowDxfId="841" dataDxfId="839" totalsRowDxfId="837" headerRowBorderDxfId="840" tableBorderDxfId="838" totalsRowBorderDxfId="836">
  <autoFilter ref="A2:J11" xr:uid="{879D58E5-43D4-4437-B9F1-EC5E7D6959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13CE874A-3519-4A5A-B8E6-F7652EB5ED46}" name="Candidate Name (Party)" totalsRowLabel="Total Votes by County" dataDxfId="835" totalsRowDxfId="834"/>
    <tableColumn id="2" xr3:uid="{92380600-09E2-43DE-9293-8B84EA87ABC4}" name="Part of Delaware County Vote Results" totalsRowFunction="custom" dataDxfId="833" totalsRowDxfId="832">
      <totalsRowFormula>SUM(MemberOfAssemblyAssemblyDistrict101General[Part of Delaware County Vote Results])</totalsRowFormula>
    </tableColumn>
    <tableColumn id="10" xr3:uid="{E9C4DF6F-CF28-4D08-823F-0FECF6A1637B}" name="Part of Herkimer County Vote Results" totalsRowFunction="custom" dataDxfId="831" totalsRowDxfId="830">
      <totalsRowFormula>SUM(MemberOfAssemblyAssemblyDistrict101General[Part of Herkimer County Vote Results])</totalsRowFormula>
    </tableColumn>
    <tableColumn id="9" xr3:uid="{8CE858F7-082A-4A4F-9F9F-05432A6A1FC9}" name="Part of Oneida County Vote Results" totalsRowFunction="custom" dataDxfId="829" totalsRowDxfId="828">
      <totalsRowFormula>SUM(MemberOfAssemblyAssemblyDistrict101General[Part of Oneida County Vote Results])</totalsRowFormula>
    </tableColumn>
    <tableColumn id="8" xr3:uid="{3E3A5E6B-BE3F-4819-8FC8-50EE754F34CB}" name="Part of Orange County Vote Results" totalsRowFunction="custom" dataDxfId="827" totalsRowDxfId="826">
      <totalsRowFormula>SUM(MemberOfAssemblyAssemblyDistrict101General[Part of Orange County Vote Results])</totalsRowFormula>
    </tableColumn>
    <tableColumn id="7" xr3:uid="{672863F6-F45E-4035-8903-078E31DBE339}" name="Part of Otsego County Vote Results" totalsRowFunction="custom" dataDxfId="825" totalsRowDxfId="824">
      <totalsRowFormula>SUM(MemberOfAssemblyAssemblyDistrict101General[Part of Otsego County Vote Results])</totalsRowFormula>
    </tableColumn>
    <tableColumn id="6" xr3:uid="{8FC1A0BD-7AF6-4C5F-8590-A744092C1C00}" name="Part of Sullivan County Vote Results" totalsRowFunction="custom" dataDxfId="823" totalsRowDxfId="822">
      <totalsRowFormula>SUM(MemberOfAssemblyAssemblyDistrict101General[Part of Sullivan County Vote Results])</totalsRowFormula>
    </tableColumn>
    <tableColumn id="4" xr3:uid="{C283AE54-E3F1-4F44-B8B2-E4A89DD6DCEB}" name="Part of Ulster County Vote Results" totalsRowFunction="custom" dataDxfId="821" totalsRowDxfId="820">
      <totalsRowFormula>SUM(MemberOfAssemblyAssemblyDistrict101General[Part of Ulster County Vote Results])</totalsRowFormula>
    </tableColumn>
    <tableColumn id="3" xr3:uid="{C5C24520-F9C9-47FB-A0BF-F79A5E220882}" name="Total Votes by Party" totalsRowFunction="custom" dataDxfId="819" totalsRowDxfId="818">
      <calculatedColumnFormula>SUM(MemberOfAssemblyAssemblyDistrict101General[[#This Row],[Part of Delaware County Vote Results]:[Part of Ulster County Vote Results]])</calculatedColumnFormula>
      <totalsRowFormula>SUM(MemberOfAssemblyAssemblyDistrict101General[Total Votes by Party])</totalsRowFormula>
    </tableColumn>
    <tableColumn id="5" xr3:uid="{1EC0B5C6-D469-45DB-818D-261ACD98D973}" name="Total Votes by Candidate" dataDxfId="817" totalsRowDxfId="816"/>
  </tableColumns>
  <tableStyleInfo name="TableStyleMedium2" showFirstColumn="0" showLastColumn="0" showRowStripes="0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3026C122-3173-4311-89F1-9F7C726605FD}" name="MemberOfAssemblyAssemblyDistrict102General" displayName="MemberOfAssemblyAssemblyDistrict102General" ref="A2:J10" totalsRowCount="1" headerRowDxfId="815" dataDxfId="813" totalsRowDxfId="811" headerRowBorderDxfId="814" tableBorderDxfId="812" totalsRowBorderDxfId="810">
  <autoFilter ref="A2:J9" xr:uid="{67401BB3-CFC4-47CC-B246-2E1D572C3D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C8D79C0C-1193-45F2-99FC-3EEDA0041DB6}" name="Candidate Name (Party)" totalsRowLabel="Total Votes by County" dataDxfId="809" totalsRowDxfId="808"/>
    <tableColumn id="2" xr3:uid="{159F32DE-1CD4-4426-98EC-9A9ABC67B1B0}" name="Greene County Vote Results" totalsRowFunction="custom" dataDxfId="807" totalsRowDxfId="806">
      <totalsRowFormula>SUM(MemberOfAssemblyAssemblyDistrict102General[Greene County Vote Results])</totalsRowFormula>
    </tableColumn>
    <tableColumn id="10" xr3:uid="{C5B3E585-FE3C-49B6-9C32-AA8893EAC607}" name="Schoharie County Vote Results" totalsRowFunction="custom" dataDxfId="805" totalsRowDxfId="804">
      <totalsRowFormula>SUM(MemberOfAssemblyAssemblyDistrict102General[Schoharie County Vote Results])</totalsRowFormula>
    </tableColumn>
    <tableColumn id="9" xr3:uid="{CB9863CD-C74A-48EA-9D3F-32CCBF4C4D8D}" name="Part of Albany County Vote Results" totalsRowFunction="custom" dataDxfId="803" totalsRowDxfId="802">
      <totalsRowFormula>SUM(MemberOfAssemblyAssemblyDistrict102General[Part of Albany County Vote Results])</totalsRowFormula>
    </tableColumn>
    <tableColumn id="8" xr3:uid="{5E343521-440F-4795-8A07-796353C79BE6}" name="Part of Columbia County Vote Results" totalsRowFunction="custom" dataDxfId="801" totalsRowDxfId="800">
      <totalsRowFormula>SUM(MemberOfAssemblyAssemblyDistrict102General[Part of Columbia County Vote Results])</totalsRowFormula>
    </tableColumn>
    <tableColumn id="7" xr3:uid="{CDE81AC3-9525-43DF-916B-0B5CE84DB308}" name="Part of Delaware County Vote Results" totalsRowFunction="custom" dataDxfId="799" totalsRowDxfId="798">
      <totalsRowFormula>SUM(MemberOfAssemblyAssemblyDistrict102General[Part of Delaware County Vote Results])</totalsRowFormula>
    </tableColumn>
    <tableColumn id="6" xr3:uid="{C574B184-5491-4B7D-A6C0-EBEB78E09C1F}" name="Part of Otsego County Vote Results" totalsRowFunction="custom" dataDxfId="797" totalsRowDxfId="796">
      <totalsRowFormula>SUM(MemberOfAssemblyAssemblyDistrict102General[Part of Otsego County Vote Results])</totalsRowFormula>
    </tableColumn>
    <tableColumn id="4" xr3:uid="{162BD3D6-B8F5-496E-AD87-36CFBB00F04A}" name="Part of Ulster County Vote Results" totalsRowFunction="custom" dataDxfId="795" totalsRowDxfId="794">
      <totalsRowFormula>SUM(MemberOfAssemblyAssemblyDistrict102General[Part of Ulster County Vote Results])</totalsRowFormula>
    </tableColumn>
    <tableColumn id="3" xr3:uid="{C166CB74-A3ED-409C-BB61-C05F012E9AB4}" name="Total Votes by Party" totalsRowFunction="custom" dataDxfId="793" totalsRowDxfId="792">
      <calculatedColumnFormula>SUM(MemberOfAssemblyAssemblyDistrict102General[[#This Row],[Greene County Vote Results]:[Part of Ulster County Vote Results]])</calculatedColumnFormula>
      <totalsRowFormula>SUM(MemberOfAssemblyAssemblyDistrict102General[Total Votes by Party])</totalsRowFormula>
    </tableColumn>
    <tableColumn id="5" xr3:uid="{5F2FCD4A-355E-4015-8F40-3B811F6F9B5D}" name="Total Votes by Candidate" dataDxfId="791" totalsRowDxfId="790"/>
  </tableColumns>
  <tableStyleInfo name="TableStyleMedium2" showFirstColumn="0" showLastColumn="0" showRowStripes="0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8D5908C3-39AF-4217-B309-CB866F39B3C0}" name="MemberOfAssemblyAssemblyDistrict103General" displayName="MemberOfAssemblyAssemblyDistrict103General" ref="A2:E11" totalsRowCount="1" headerRowDxfId="789" dataDxfId="787" totalsRowDxfId="785" headerRowBorderDxfId="788" tableBorderDxfId="786" totalsRowBorderDxfId="784">
  <autoFilter ref="A2:E10" xr:uid="{F877A077-3BBC-4C6E-88B4-3CF33C73069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4DA60C-F55E-452B-811A-BB9A8C256E85}" name="Candidate Name (Party)" totalsRowLabel="Total Votes by County" dataDxfId="783" totalsRowDxfId="782"/>
    <tableColumn id="2" xr3:uid="{C8035E53-0931-4851-A819-B8DA81925235}" name="Part of Dutchess County Vote Results" totalsRowFunction="custom" dataDxfId="781" totalsRowDxfId="780">
      <totalsRowFormula>SUM(MemberOfAssemblyAssemblyDistrict103General[Part of Dutchess County Vote Results])</totalsRowFormula>
    </tableColumn>
    <tableColumn id="4" xr3:uid="{2DD00B07-C572-47AB-9023-F9F224A11BC2}" name="Part of Ulster County Vote Results" totalsRowFunction="custom" dataDxfId="779" totalsRowDxfId="778">
      <totalsRowFormula>SUM(MemberOfAssemblyAssemblyDistrict103General[Part of Ulster County Vote Results])</totalsRowFormula>
    </tableColumn>
    <tableColumn id="3" xr3:uid="{94FBC01B-EEF3-42AD-AEB0-3B5B77BC325F}" name="Total Votes by Party" totalsRowFunction="custom" dataDxfId="777" totalsRowDxfId="776">
      <calculatedColumnFormula>SUM(MemberOfAssemblyAssemblyDistrict103General[[#This Row],[Part of Dutchess County Vote Results]:[Part of Ulster County Vote Results]])</calculatedColumnFormula>
      <totalsRowFormula>SUM(MemberOfAssemblyAssemblyDistrict103General[Total Votes by Party])</totalsRowFormula>
    </tableColumn>
    <tableColumn id="5" xr3:uid="{C0E3E25E-9C63-40A9-9B8D-F47056E57A53}" name="Total Votes by Candidate" dataDxfId="775" totalsRowDxfId="774">
      <calculatedColumnFormula>SUM(MemberOfAssemblyAssemblyDistrict103General[[#This Row],[Total Votes by Party]],D6,D7)</calculatedColumnFormula>
    </tableColumn>
  </tableColumns>
  <tableStyleInfo name="TableStyleMedium2" showFirstColumn="0" showLastColumn="0" showRowStripes="0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4AD0281A-E21F-4B9A-8E0C-ABBFE0DAE05E}" name="MemberOfAssemblyAssemblyDistrict104General" displayName="MemberOfAssemblyAssemblyDistrict104General" ref="A2:F10" totalsRowCount="1" headerRowDxfId="773" dataDxfId="771" totalsRowDxfId="769" headerRowBorderDxfId="772" tableBorderDxfId="770" totalsRowBorderDxfId="768">
  <autoFilter ref="A2:F9" xr:uid="{76D4C6D2-6514-4E33-B8CA-CAAAA53E94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E156591-D132-42E1-922C-03455DE6F72E}" name="Candidate Name (Party)" totalsRowLabel="Total Votes by County" dataDxfId="767" totalsRowDxfId="766"/>
    <tableColumn id="2" xr3:uid="{0F76CF50-0783-4541-AD5F-E21B5E50B997}" name="Part of Dutchess County Vote Results" totalsRowFunction="custom" dataDxfId="765" totalsRowDxfId="764">
      <totalsRowFormula>SUM(MemberOfAssemblyAssemblyDistrict104General[Part of Dutchess County Vote Results])</totalsRowFormula>
    </tableColumn>
    <tableColumn id="3" xr3:uid="{260E236A-4D63-4D4F-A836-9457C2B8A3B3}" name="Part of Orange County Vote Results" totalsRowFunction="custom" dataDxfId="763" totalsRowDxfId="762">
      <totalsRowFormula>SUM(MemberOfAssemblyAssemblyDistrict104General[Part of Orange County Vote Results])</totalsRowFormula>
    </tableColumn>
    <tableColumn id="4" xr3:uid="{6F8D8A48-1FFB-46B5-98AE-A594ACCD460B}" name="Part of Ulster County Vote Results" totalsRowFunction="custom" dataDxfId="761" totalsRowDxfId="760">
      <totalsRowFormula>SUM(MemberOfAssemblyAssemblyDistrict104General[Part of Ulster County Vote Results])</totalsRowFormula>
    </tableColumn>
    <tableColumn id="6" xr3:uid="{D6E1D6D6-411E-4B58-A8B2-03E73545CE23}" name="Total Votes by Party" totalsRowFunction="custom" dataDxfId="759" totalsRowDxfId="758">
      <calculatedColumnFormula>SUM(MemberOfAssemblyAssemblyDistrict104General[[#This Row],[Part of Dutchess County Vote Results]:[Part of Ulster County Vote Results]])</calculatedColumnFormula>
      <totalsRowFormula>SUM(MemberOfAssemblyAssemblyDistrict104General[Total Votes by Party])</totalsRowFormula>
    </tableColumn>
    <tableColumn id="5" xr3:uid="{349AA28F-4354-44A0-8B5B-F063696A6A26}" name="Total Votes by Candidate" dataDxfId="757" totalsRowDxfId="756"/>
  </tableColumns>
  <tableStyleInfo name="TableStyleMedium2" showFirstColumn="0" showLastColumn="0" showRowStripes="0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6917FB71-44FF-4D29-BFAD-357E669062AA}" name="MemberOfAssemblyAssemblyDistrict105General" displayName="MemberOfAssemblyAssemblyDistrict105General" ref="A2:D11" totalsRowCount="1" headerRowDxfId="755" dataDxfId="753" totalsRowDxfId="751" headerRowBorderDxfId="754" tableBorderDxfId="752" totalsRowBorderDxfId="750">
  <autoFilter ref="A2:D10" xr:uid="{123EF28F-8EA3-4F75-B5C2-5C0EA23BBC10}">
    <filterColumn colId="0" hiddenButton="1"/>
    <filterColumn colId="1" hiddenButton="1"/>
    <filterColumn colId="2" hiddenButton="1"/>
    <filterColumn colId="3" hiddenButton="1"/>
  </autoFilter>
  <tableColumns count="4">
    <tableColumn id="1" xr3:uid="{E32F5E77-08C9-4FA6-94B0-51FABA0D1D18}" name="Candidate Name (Party)" totalsRowLabel="Total Votes by County" dataDxfId="749" totalsRowDxfId="748"/>
    <tableColumn id="4" xr3:uid="{98AE0F60-8A62-4DF8-8453-121DA64B04B6}" name="Part of Dutchess County Vote Results" totalsRowFunction="custom" dataDxfId="747" totalsRowDxfId="746">
      <totalsRowFormula>SUM(MemberOfAssemblyAssemblyDistrict105General[Part of Dutchess County Vote Results])</totalsRowFormula>
    </tableColumn>
    <tableColumn id="3" xr3:uid="{E935FCBF-6B86-45E0-8202-6C7F05EACD20}" name="Total Votes by Party" totalsRowFunction="custom" dataDxfId="745" totalsRowDxfId="744">
      <calculatedColumnFormula>MemberOfAssemblyAssemblyDistrict105General[[#This Row],[Part of Dutchess County Vote Results]]</calculatedColumnFormula>
      <totalsRowFormula>SUM(MemberOfAssemblyAssemblyDistrict105General[Total Votes by Party])</totalsRowFormula>
    </tableColumn>
    <tableColumn id="2" xr3:uid="{6A255117-BDCE-45A1-9A0A-023514BC073E}" name="Total Votes by Candidate" dataDxfId="743" totalsRowDxfId="742"/>
  </tableColumns>
  <tableStyleInfo name="TableStyleMedium2" showFirstColumn="0" showLastColumn="0" showRowStripes="0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F8894A08-182B-47F7-AEF3-2E77D235B6AD}" name="MemberOfAssemblyAssemblyDistrict106General" displayName="MemberOfAssemblyAssemblyDistrict106General" ref="A2:E12" totalsRowCount="1" headerRowDxfId="741" dataDxfId="739" totalsRowDxfId="737" headerRowBorderDxfId="740" tableBorderDxfId="738" totalsRowBorderDxfId="736">
  <autoFilter ref="A2:E11" xr:uid="{42CA49A3-C0EE-449B-8AEB-31CDBCCA969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73EFA63-AE90-4FD5-B4DC-6F3610E65AC2}" name="Candidate Name (Party)" totalsRowLabel="Total Votes by County" dataDxfId="735" totalsRowDxfId="734"/>
    <tableColumn id="2" xr3:uid="{39FB0E2B-57D0-4C79-8A4E-FD7B6280E587}" name="Part of Columbia County Vote Results" totalsRowFunction="custom" dataDxfId="733" totalsRowDxfId="732">
      <totalsRowFormula>SUM(MemberOfAssemblyAssemblyDistrict106General[Part of Columbia County Vote Results])</totalsRowFormula>
    </tableColumn>
    <tableColumn id="4" xr3:uid="{25D43A18-88E1-4CFE-9023-9DFCC4334169}" name="Part of Dutchess County Vote Results" totalsRowFunction="custom" dataDxfId="731" totalsRowDxfId="730">
      <totalsRowFormula>SUM(MemberOfAssemblyAssemblyDistrict106General[Part of Dutchess County Vote Results])</totalsRowFormula>
    </tableColumn>
    <tableColumn id="3" xr3:uid="{DA548FF9-8377-49A2-9DC8-2698945A02C1}" name="Total Votes by Party" totalsRowFunction="custom" dataDxfId="729" totalsRowDxfId="728">
      <calculatedColumnFormula>SUM(MemberOfAssemblyAssemblyDistrict106General[[#This Row],[Part of Columbia County Vote Results]:[Part of Dutchess County Vote Results]])</calculatedColumnFormula>
      <totalsRowFormula>SUM(MemberOfAssemblyAssemblyDistrict106General[Total Votes by Party])</totalsRowFormula>
    </tableColumn>
    <tableColumn id="5" xr3:uid="{4EE3DC70-755D-4FDD-8488-E07E49929BA8}" name="Total Votes by Candidate" dataDxfId="727" totalsRowDxfId="726"/>
  </tableColumns>
  <tableStyleInfo name="TableStyleMedium2" showFirstColumn="0" showLastColumn="0" showRowStripes="0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B23422AC-FB08-4A1A-A569-03E72C609679}" name="MemberOfAssemblyAssemblyDistrict107General" displayName="MemberOfAssemblyAssemblyDistrict107General" ref="A2:F12" totalsRowCount="1" headerRowDxfId="725" dataDxfId="723" totalsRowDxfId="721" headerRowBorderDxfId="724" tableBorderDxfId="722" totalsRowBorderDxfId="720">
  <autoFilter ref="A2:F11" xr:uid="{F6E41C3A-2077-4ECA-A06A-C16955B2C3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A827B46-42E8-4F2D-9790-0D0B204728F3}" name="Candidate Name (Party)" totalsRowLabel="Total Votes by County" dataDxfId="719" totalsRowDxfId="718"/>
    <tableColumn id="2" xr3:uid="{75137BCC-D62E-4C02-B695-9930BF83AA43}" name="Part of Columbia County Vote Results" totalsRowFunction="custom" dataDxfId="717" totalsRowDxfId="716">
      <totalsRowFormula>SUM(MemberOfAssemblyAssemblyDistrict107General[Part of Columbia County Vote Results])</totalsRowFormula>
    </tableColumn>
    <tableColumn id="3" xr3:uid="{65F11032-927A-424B-B0D7-40217FF34ACD}" name="Part of Rensselaer County Vote Results" totalsRowFunction="custom" dataDxfId="715" totalsRowDxfId="714">
      <totalsRowFormula>SUM(MemberOfAssemblyAssemblyDistrict107General[Part of Rensselaer County Vote Results])</totalsRowFormula>
    </tableColumn>
    <tableColumn id="4" xr3:uid="{C51CE120-BF3C-44B3-AB9D-D50A947DA525}" name="Part of Washington County Vote Results" totalsRowFunction="custom" dataDxfId="713" totalsRowDxfId="712">
      <totalsRowFormula>SUM(MemberOfAssemblyAssemblyDistrict107General[Part of Washington County Vote Results])</totalsRowFormula>
    </tableColumn>
    <tableColumn id="6" xr3:uid="{604EFF32-6070-4AF6-8A03-2B2E0BF9BE75}" name="Total Votes by Party" totalsRowFunction="custom" dataDxfId="711" totalsRowDxfId="710">
      <calculatedColumnFormula>SUM(MemberOfAssemblyAssemblyDistrict107General[[#This Row],[Part of Columbia County Vote Results]:[Part of Washington County Vote Results]])</calculatedColumnFormula>
      <totalsRowFormula>SUM(MemberOfAssemblyAssemblyDistrict107General[Total Votes by Party])</totalsRowFormula>
    </tableColumn>
    <tableColumn id="5" xr3:uid="{7E58FF9A-20B2-4F57-A9E7-114B6DBC61A6}" name="Total Votes by Candidate" dataDxfId="709" totalsRowDxfId="708"/>
  </tableColumns>
  <tableStyleInfo name="TableStyleMedium2" showFirstColumn="0" showLastColumn="0" showRowStripes="0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2D0B7356-ED0C-4B9A-8541-C8C33ABD45C3}" name="MemberOfAssemblyAssemblyDistrict108General" displayName="MemberOfAssemblyAssemblyDistrict108General" ref="A2:F11" totalsRowCount="1" headerRowDxfId="707" dataDxfId="705" totalsRowDxfId="703" headerRowBorderDxfId="706" tableBorderDxfId="704" totalsRowBorderDxfId="702">
  <autoFilter ref="A2:F10" xr:uid="{C29B89ED-4808-43A2-B07D-91E4CA13D6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AF59BD2-7D97-459C-829A-370547B74AD6}" name="Candidate Name (Party)" totalsRowLabel="Total Votes by County" dataDxfId="701" totalsRowDxfId="700"/>
    <tableColumn id="2" xr3:uid="{C9F0504D-C040-4CC7-B9FE-53B122314090}" name="Part of Albany County Vote Results" totalsRowFunction="custom" dataDxfId="699" totalsRowDxfId="698">
      <totalsRowFormula>SUM(MemberOfAssemblyAssemblyDistrict108General[Part of Albany County Vote Results])</totalsRowFormula>
    </tableColumn>
    <tableColumn id="3" xr3:uid="{5062540E-4669-4AD7-925B-D9D5C4DA505A}" name="Part of Rensselaer County Vote Results" totalsRowFunction="custom" dataDxfId="697" totalsRowDxfId="696">
      <totalsRowFormula>SUM(MemberOfAssemblyAssemblyDistrict108General[Part of Rensselaer County Vote Results])</totalsRowFormula>
    </tableColumn>
    <tableColumn id="4" xr3:uid="{FF598EE0-7D02-49FC-8A0D-B301A931D792}" name="Part of Saratoga County Vote Results" totalsRowFunction="custom" dataDxfId="695" totalsRowDxfId="694">
      <totalsRowFormula>SUM(MemberOfAssemblyAssemblyDistrict108General[Part of Saratoga County Vote Results])</totalsRowFormula>
    </tableColumn>
    <tableColumn id="6" xr3:uid="{4DAC2DB9-3EAA-44D3-B6CB-F71222A64FFC}" name="Total Votes by Party" totalsRowFunction="custom" dataDxfId="693" totalsRowDxfId="692">
      <calculatedColumnFormula>SUM(MemberOfAssemblyAssemblyDistrict108General[[#This Row],[Part of Albany County Vote Results]:[Part of Saratoga County Vote Results]])</calculatedColumnFormula>
      <totalsRowFormula>SUM(MemberOfAssemblyAssemblyDistrict108General[Total Votes by Party])</totalsRowFormula>
    </tableColumn>
    <tableColumn id="5" xr3:uid="{FD81F9EC-4E73-4253-B293-C073D3287B9F}" name="Total Votes by Candidate" dataDxfId="691" totalsRowDxfId="690">
      <calculatedColumnFormula>SUM(MemberOfAssemblyAssemblyDistrict108General[[#This Row],[Total Votes by Party]])</calculatedColumnFormula>
    </tableColumn>
  </tableColumns>
  <tableStyleInfo name="TableStyleMedium2" showFirstColumn="0" showLastColumn="0" showRowStripes="0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7EF704EC-CCF6-4A5B-BEA9-947FC7BEC321}" name="MemberOfAssemblyAssemblyDistrict109General" displayName="MemberOfAssemblyAssemblyDistrict109General" ref="A2:D11" totalsRowCount="1" headerRowDxfId="689" dataDxfId="687" totalsRowDxfId="685" headerRowBorderDxfId="688" tableBorderDxfId="686" totalsRowBorderDxfId="684">
  <autoFilter ref="A2:D10" xr:uid="{B6103988-1753-4CD3-AC96-0B68F1B36E03}">
    <filterColumn colId="0" hiddenButton="1"/>
    <filterColumn colId="1" hiddenButton="1"/>
    <filterColumn colId="2" hiddenButton="1"/>
    <filterColumn colId="3" hiddenButton="1"/>
  </autoFilter>
  <tableColumns count="4">
    <tableColumn id="1" xr3:uid="{2F684656-4B3C-4572-BED5-70D295C824D9}" name="Candidate Name (Party)" totalsRowLabel="Total Votes by County" dataDxfId="683" totalsRowDxfId="682"/>
    <tableColumn id="4" xr3:uid="{E3C59803-FF48-4B4D-9346-E42B3914C6DF}" name="Part of Albany County Vote Results" totalsRowFunction="custom" dataDxfId="681" totalsRowDxfId="680">
      <totalsRowFormula>SUM(MemberOfAssemblyAssemblyDistrict109General[Part of Albany County Vote Results])</totalsRowFormula>
    </tableColumn>
    <tableColumn id="3" xr3:uid="{6737EB50-3E14-447F-B32C-3C7ED35CA76C}" name="Total Votes by Party" totalsRowFunction="custom" dataDxfId="679" totalsRowDxfId="678">
      <calculatedColumnFormula>MemberOfAssemblyAssemblyDistrict109General[[#This Row],[Part of Albany County Vote Results]]</calculatedColumnFormula>
      <totalsRowFormula>SUM(MemberOfAssemblyAssemblyDistrict109General[Total Votes by Party])</totalsRowFormula>
    </tableColumn>
    <tableColumn id="2" xr3:uid="{081D0342-4AE4-4C04-80A3-3F125B589D51}" name="Total Votes by Candidate" dataDxfId="677" totalsRowDxfId="676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B9D7DEE7-F119-4DDD-A2E6-D29226465AE4}" name="MemberOfAssemblyAssemblyDistrict11General" displayName="MemberOfAssemblyAssemblyDistrict11General" ref="A2:D10" totalsRowCount="1" headerRowDxfId="2092" dataDxfId="2090" totalsRowDxfId="2088" headerRowBorderDxfId="2091" tableBorderDxfId="2089" totalsRowBorderDxfId="2087">
  <autoFilter ref="A2:D9" xr:uid="{212023E2-08E4-4969-BB5F-778E517EF91F}">
    <filterColumn colId="0" hiddenButton="1"/>
    <filterColumn colId="1" hiddenButton="1"/>
    <filterColumn colId="2" hiddenButton="1"/>
    <filterColumn colId="3" hiddenButton="1"/>
  </autoFilter>
  <tableColumns count="4">
    <tableColumn id="1" xr3:uid="{DC4AB324-9562-4121-A6D6-FF33A60850C1}" name="Candidate Name (Party)" totalsRowLabel="Total Votes by County" dataDxfId="2086" totalsRowDxfId="2085"/>
    <tableColumn id="4" xr3:uid="{DEB66EBD-9D9C-4285-A2D6-BEB9BEB999EB}" name="Part of Suffolk County Vote Results" totalsRowFunction="custom" dataDxfId="2084" totalsRowDxfId="2083">
      <totalsRowFormula>SUM(MemberOfAssemblyAssemblyDistrict11General[Part of Suffolk County Vote Results])</totalsRowFormula>
    </tableColumn>
    <tableColumn id="3" xr3:uid="{CF853413-BDFB-4A91-8513-D2B81713A74F}" name="Total Votes by Party" totalsRowFunction="custom" dataDxfId="2082" totalsRowDxfId="2081">
      <calculatedColumnFormula>MemberOfAssemblyAssemblyDistrict11General[[#This Row],[Part of Suffolk County Vote Results]]</calculatedColumnFormula>
      <totalsRowFormula>SUM(MemberOfAssemblyAssemblyDistrict11General[Total Votes by Party])</totalsRowFormula>
    </tableColumn>
    <tableColumn id="2" xr3:uid="{B3FA0DBF-9E46-4BF4-B81A-D26617E4D441}" name="Total Votes by Candidate" dataDxfId="2080" totalsRowDxfId="2079"/>
  </tableColumns>
  <tableStyleInfo name="TableStyleMedium2" showFirstColumn="0" showLastColumn="0" showRowStripes="0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747D0478-2F19-48CD-ABC4-95155C520A33}" name="MemberOfAssemblyAssemblyDistrict110General" displayName="MemberOfAssemblyAssemblyDistrict110General" ref="A2:E11" totalsRowCount="1" headerRowDxfId="675" dataDxfId="673" totalsRowDxfId="671" headerRowBorderDxfId="674" tableBorderDxfId="672" totalsRowBorderDxfId="670">
  <autoFilter ref="A2:E10" xr:uid="{4EFBE242-DA60-4DBB-AA86-D55441AC4C7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D6B51C8-68A7-481F-A56A-25A15B98A31F}" name="Candidate Name (Party)" totalsRowLabel="Total Votes by County" dataDxfId="669" totalsRowDxfId="668"/>
    <tableColumn id="2" xr3:uid="{4379AA97-7638-43C9-902D-AB2B33F0BD3E}" name="Part of Albany County Vote Results" totalsRowFunction="custom" dataDxfId="667" totalsRowDxfId="666">
      <totalsRowFormula>SUM(MemberOfAssemblyAssemblyDistrict110General[Part of Albany County Vote Results])</totalsRowFormula>
    </tableColumn>
    <tableColumn id="4" xr3:uid="{EDB186EC-2C6A-4CB2-AD9A-1E5EE07C8EF9}" name="Part of Schenectady County Vote Results" totalsRowFunction="custom" dataDxfId="665" totalsRowDxfId="664">
      <totalsRowFormula>SUM(MemberOfAssemblyAssemblyDistrict110General[Part of Schenectady County Vote Results])</totalsRowFormula>
    </tableColumn>
    <tableColumn id="3" xr3:uid="{6FD34B67-98CB-4539-9AC1-D0AB1E1AD4AD}" name="Total Votes by Party" totalsRowFunction="custom" dataDxfId="663" totalsRowDxfId="662">
      <calculatedColumnFormula>SUM(MemberOfAssemblyAssemblyDistrict110General[[#This Row],[Part of Albany County Vote Results]:[Part of Schenectady County Vote Results]])</calculatedColumnFormula>
      <totalsRowFormula>SUM(MemberOfAssemblyAssemblyDistrict110General[Total Votes by Party])</totalsRowFormula>
    </tableColumn>
    <tableColumn id="5" xr3:uid="{35DA5D5E-4E74-4CB0-9032-990577DBD8D8}" name="Total Votes by Candidate" dataDxfId="661" totalsRowDxfId="660"/>
  </tableColumns>
  <tableStyleInfo name="TableStyleMedium2" showFirstColumn="0" showLastColumn="0" showRowStripes="0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C6A986E0-C341-4C10-9D56-F0E18E0049E9}" name="MemberOfAssemblyAssemblyDistrict111General" displayName="MemberOfAssemblyAssemblyDistrict111General" ref="A2:F10" totalsRowCount="1" headerRowDxfId="659" dataDxfId="657" totalsRowDxfId="655" headerRowBorderDxfId="658" tableBorderDxfId="656" totalsRowBorderDxfId="654">
  <autoFilter ref="A2:F9" xr:uid="{425B5A88-5999-4E2A-809A-6980609376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D425FF5-21B6-4B01-A85D-6D38DF77BA86}" name="Candidate Name (Party)" totalsRowLabel="Total Votes by County" dataDxfId="653" totalsRowDxfId="652"/>
    <tableColumn id="2" xr3:uid="{01727A82-686A-465A-8C65-50DB28F7706C}" name="Montgomery County Vote Results" totalsRowFunction="custom" dataDxfId="651" totalsRowDxfId="650">
      <totalsRowFormula>SUM(MemberOfAssemblyAssemblyDistrict111General[Montgomery County Vote Results])</totalsRowFormula>
    </tableColumn>
    <tableColumn id="3" xr3:uid="{2A1AF7C2-8B2C-4C66-98A7-39EDF9B8B687}" name="Part of Albany County Vote Results" totalsRowFunction="custom" dataDxfId="649" totalsRowDxfId="648">
      <totalsRowFormula>SUM(MemberOfAssemblyAssemblyDistrict111General[Part of Albany County Vote Results])</totalsRowFormula>
    </tableColumn>
    <tableColumn id="4" xr3:uid="{F68E92A0-5205-4018-8BCB-0B043B4B1728}" name="Part of Schenectady County Vote Results" totalsRowFunction="custom" dataDxfId="647" totalsRowDxfId="646">
      <totalsRowFormula>SUM(MemberOfAssemblyAssemblyDistrict111General[Part of Schenectady County Vote Results])</totalsRowFormula>
    </tableColumn>
    <tableColumn id="6" xr3:uid="{53811F4C-DA8E-457B-A652-EEC530E9CC27}" name="Total Votes by Party" totalsRowFunction="custom" dataDxfId="645" totalsRowDxfId="644">
      <calculatedColumnFormula>SUM(MemberOfAssemblyAssemblyDistrict111General[[#This Row],[Montgomery County Vote Results]:[Part of Schenectady County Vote Results]])</calculatedColumnFormula>
      <totalsRowFormula>SUM(MemberOfAssemblyAssemblyDistrict111General[Total Votes by Party])</totalsRowFormula>
    </tableColumn>
    <tableColumn id="5" xr3:uid="{FDA94E2D-E4C2-4748-BBF3-41D1EB050E01}" name="Total Votes by Candidate" dataDxfId="643" totalsRowDxfId="642"/>
  </tableColumns>
  <tableStyleInfo name="TableStyleMedium2" showFirstColumn="0" showLastColumn="0" showRowStripes="0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8AACFDE4-0250-4544-80AD-FE14507796CE}" name="MemberOfAssemblyAssemblyDistrict112General" displayName="MemberOfAssemblyAssemblyDistrict112General" ref="A2:E11" totalsRowCount="1" headerRowDxfId="641" dataDxfId="639" totalsRowDxfId="637" headerRowBorderDxfId="640" tableBorderDxfId="638" totalsRowBorderDxfId="636">
  <autoFilter ref="A2:E10" xr:uid="{AEB6AD8F-41D9-4F52-AA49-A973EC22DA2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6DE3C1-F852-4743-A193-D51E46F1164F}" name="Candidate Name (Party)" totalsRowLabel="Total Votes by County" dataDxfId="635" totalsRowDxfId="634"/>
    <tableColumn id="2" xr3:uid="{F9B5B554-E874-4D55-B102-409F9A9E6C1F}" name="Part of Saratoga County Vote Results" totalsRowFunction="custom" dataDxfId="633" totalsRowDxfId="632">
      <totalsRowFormula>SUM(MemberOfAssemblyAssemblyDistrict112General[Part of Saratoga County Vote Results])</totalsRowFormula>
    </tableColumn>
    <tableColumn id="4" xr3:uid="{A30CB2AE-9A38-413A-B300-89750C093241}" name="Part of Schenectady County Vote Results" totalsRowFunction="custom" dataDxfId="631" totalsRowDxfId="630">
      <totalsRowFormula>SUM(MemberOfAssemblyAssemblyDistrict112General[Part of Schenectady County Vote Results])</totalsRowFormula>
    </tableColumn>
    <tableColumn id="3" xr3:uid="{6A397844-A9B4-46EF-93AF-0DCA912C0895}" name="Total Votes by Party" totalsRowFunction="custom" dataDxfId="629" totalsRowDxfId="628">
      <calculatedColumnFormula>SUM(MemberOfAssemblyAssemblyDistrict112General[[#This Row],[Part of Saratoga County Vote Results]:[Part of Schenectady County Vote Results]])</calculatedColumnFormula>
      <totalsRowFormula>SUM(MemberOfAssemblyAssemblyDistrict112General[Total Votes by Party])</totalsRowFormula>
    </tableColumn>
    <tableColumn id="5" xr3:uid="{FD216890-BC66-4BFA-A314-5459F874CE15}" name="Total Votes by Candidate" dataDxfId="627" totalsRowDxfId="626"/>
  </tableColumns>
  <tableStyleInfo name="TableStyleMedium2" showFirstColumn="0" showLastColumn="0" showRowStripes="0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58D6E5B6-E7C5-4C09-AB3A-2125852302E4}" name="MemberOfAssemblyAssemblyDistrict113General" displayName="MemberOfAssemblyAssemblyDistrict113General" ref="A2:E11" totalsRowCount="1" headerRowDxfId="625" dataDxfId="623" totalsRowDxfId="621" headerRowBorderDxfId="624" tableBorderDxfId="622" totalsRowBorderDxfId="620">
  <autoFilter ref="A2:E10" xr:uid="{C5231807-5E2F-48D0-B1ED-A433625DFDA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FDFFA9B-DED5-47AE-83D9-D870C7B66ECD}" name="Candidate Name (Party)" totalsRowLabel="Total Votes by County" dataDxfId="619" totalsRowDxfId="618"/>
    <tableColumn id="2" xr3:uid="{3E9AABFB-6BD2-405C-8EFF-72F560FDF1B7}" name="Part of Saratoga County Vote Results" totalsRowFunction="custom" dataDxfId="617" totalsRowDxfId="616">
      <totalsRowFormula>SUM(MemberOfAssemblyAssemblyDistrict113General[Part of Saratoga County Vote Results])</totalsRowFormula>
    </tableColumn>
    <tableColumn id="4" xr3:uid="{E568FC90-E076-4619-8F82-84DE8B7D01A8}" name="Part of Washington County Vote Results" totalsRowFunction="custom" dataDxfId="615" totalsRowDxfId="614">
      <totalsRowFormula>SUM(MemberOfAssemblyAssemblyDistrict113General[Part of Washington County Vote Results])</totalsRowFormula>
    </tableColumn>
    <tableColumn id="3" xr3:uid="{883CDBEF-D424-4B4C-A135-BE005D954568}" name="Total Votes by Party" totalsRowFunction="custom" dataDxfId="613" totalsRowDxfId="612">
      <calculatedColumnFormula>SUM(MemberOfAssemblyAssemblyDistrict113General[[#This Row],[Part of Saratoga County Vote Results]:[Part of Washington County Vote Results]])</calculatedColumnFormula>
      <totalsRowFormula>SUM(MemberOfAssemblyAssemblyDistrict113General[Total Votes by Party])</totalsRowFormula>
    </tableColumn>
    <tableColumn id="5" xr3:uid="{51D313AA-FBBA-436E-983C-76A5FA30100F}" name="Total Votes by Candidate" dataDxfId="611" totalsRowDxfId="610"/>
  </tableColumns>
  <tableStyleInfo name="TableStyleMedium2" showFirstColumn="0" showLastColumn="0" showRowStripes="0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460BB752-BB67-4593-8438-84B69BE57A39}" name="MemberOfAssemblyAssemblyDistrict114General" displayName="MemberOfAssemblyAssemblyDistrict114General" ref="A2:G12" totalsRowCount="1" headerRowDxfId="609" dataDxfId="607" totalsRowDxfId="605" headerRowBorderDxfId="608" tableBorderDxfId="606" totalsRowBorderDxfId="604">
  <autoFilter ref="A2:G11" xr:uid="{67BE3BD8-1F19-41B6-BFDD-A0A626FA3DB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7F24110-D4AE-4141-B47A-EA39F2D89343}" name="Candidate Name (Party)" totalsRowLabel="Total Votes by County" dataDxfId="603" totalsRowDxfId="602"/>
    <tableColumn id="2" xr3:uid="{51528B0C-1945-484A-A250-CAF1D233D6D5}" name="Essex County Vote Results" totalsRowFunction="custom" dataDxfId="601" totalsRowDxfId="600">
      <totalsRowFormula>SUM(MemberOfAssemblyAssemblyDistrict114General[Essex County Vote Results])</totalsRowFormula>
    </tableColumn>
    <tableColumn id="6" xr3:uid="{D0A357DE-DC32-4814-B6B7-04E951CB8F80}" name="Warren County Vote Results" totalsRowFunction="custom" dataDxfId="599" totalsRowDxfId="598">
      <totalsRowFormula>SUM(MemberOfAssemblyAssemblyDistrict114General[Warren County Vote Results])</totalsRowFormula>
    </tableColumn>
    <tableColumn id="3" xr3:uid="{2A28929D-4EE4-496C-A90D-9FCD621E13E1}" name="Part of Saratoga County Vote Results" totalsRowFunction="custom" dataDxfId="597" totalsRowDxfId="596">
      <totalsRowFormula>SUM(MemberOfAssemblyAssemblyDistrict114General[Part of Saratoga County Vote Results])</totalsRowFormula>
    </tableColumn>
    <tableColumn id="4" xr3:uid="{11A8FAD5-FA0F-4237-B028-929E58143293}" name="Part of Washington County Vote Results" totalsRowFunction="custom" dataDxfId="595" totalsRowDxfId="594">
      <totalsRowFormula>SUM(MemberOfAssemblyAssemblyDistrict114General[Part of Washington County Vote Results])</totalsRowFormula>
    </tableColumn>
    <tableColumn id="7" xr3:uid="{2869CB67-AD56-496F-B1A9-6D40621C372B}" name="Total Votes by Party" totalsRowFunction="custom" dataDxfId="593" totalsRowDxfId="592">
      <calculatedColumnFormula>SUM(MemberOfAssemblyAssemblyDistrict114General[[#This Row],[Essex County Vote Results]:[Part of Washington County Vote Results]])</calculatedColumnFormula>
      <totalsRowFormula>SUM(MemberOfAssemblyAssemblyDistrict114General[Total Votes by Party])</totalsRowFormula>
    </tableColumn>
    <tableColumn id="5" xr3:uid="{4577EBA5-9BF1-4F4B-A127-AFFAAEA29E6F}" name="Total Votes by Candidate" dataDxfId="591" totalsRowDxfId="590"/>
  </tableColumns>
  <tableStyleInfo name="TableStyleMedium2" showFirstColumn="0" showLastColumn="0" showRowStripes="0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CD63CC46-7B9B-4E2D-8649-5319AC22EE3E}" name="MemberOfAssemblyAssemblyDistrict115General" displayName="MemberOfAssemblyAssemblyDistrict115General" ref="A2:F9" totalsRowCount="1" headerRowDxfId="589" dataDxfId="587" totalsRowDxfId="585" headerRowBorderDxfId="588" tableBorderDxfId="586" totalsRowBorderDxfId="584">
  <autoFilter ref="A2:F8" xr:uid="{61FCEA4D-EEC4-47EF-903F-4533D1C4F7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FAB3A7F-8A4C-4C14-B992-35708CC20E78}" name="Candidate Name (Party)" totalsRowLabel="Total Votes by County" dataDxfId="583" totalsRowDxfId="582"/>
    <tableColumn id="2" xr3:uid="{D86D4924-455F-451D-B329-BB6B3CEB7BB6}" name="Clinton County Vote Results" totalsRowFunction="custom" dataDxfId="581" totalsRowDxfId="580">
      <totalsRowFormula>SUM(MemberOfAssemblyAssemblyDistrict115General[Clinton County Vote Results])</totalsRowFormula>
    </tableColumn>
    <tableColumn id="3" xr3:uid="{E7EA774E-07AA-4888-B28D-FB934F24E29C}" name="Franklin County Vote Results" totalsRowFunction="custom" dataDxfId="579" totalsRowDxfId="578">
      <totalsRowFormula>SUM(MemberOfAssemblyAssemblyDistrict115General[Franklin County Vote Results])</totalsRowFormula>
    </tableColumn>
    <tableColumn id="4" xr3:uid="{C6388060-51F3-4E92-863F-A0D147E355FA}" name="Part of St. Lawrence County Vote Results" totalsRowFunction="custom" dataDxfId="577" totalsRowDxfId="576">
      <totalsRowFormula>SUM(MemberOfAssemblyAssemblyDistrict115General[Part of St. Lawrence County Vote Results])</totalsRowFormula>
    </tableColumn>
    <tableColumn id="6" xr3:uid="{7B111529-5D1F-4ADC-BBEA-431DB3AEF64D}" name="Total Votes by Party" totalsRowFunction="custom" dataDxfId="575" totalsRowDxfId="574">
      <calculatedColumnFormula>SUM(MemberOfAssemblyAssemblyDistrict115General[[#This Row],[Clinton County Vote Results]:[Part of St. Lawrence County Vote Results]])</calculatedColumnFormula>
      <totalsRowFormula>SUM(MemberOfAssemblyAssemblyDistrict115General[Total Votes by Party])</totalsRowFormula>
    </tableColumn>
    <tableColumn id="5" xr3:uid="{2B44562F-27A7-46C5-B02F-4B4146D84262}" name="Total Votes by Candidate" dataDxfId="573" totalsRowDxfId="572">
      <calculatedColumnFormula>SUM(MemberOfAssemblyAssemblyDistrict115General[[#This Row],[Total Votes by Party]],E4,E5)</calculatedColumnFormula>
    </tableColumn>
  </tableColumns>
  <tableStyleInfo name="TableStyleMedium2" showFirstColumn="0" showLastColumn="0" showRowStripes="0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CC7BDF7B-DF6F-4A67-AC0B-2835383D0C50}" name="MemberOfAssemblyAssemblyDistrict116General" displayName="MemberOfAssemblyAssemblyDistrict116General" ref="A2:E10" totalsRowCount="1" headerRowDxfId="571" dataDxfId="569" totalsRowDxfId="567" headerRowBorderDxfId="570" tableBorderDxfId="568" totalsRowBorderDxfId="566">
  <autoFilter ref="A2:E9" xr:uid="{CE67F26A-F9F7-4951-95FC-3706B4729C0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49846E9-AFC2-44DC-A832-617F5470343A}" name="Candidate Name (Party)" totalsRowLabel="Total Votes by County" dataDxfId="565" totalsRowDxfId="564"/>
    <tableColumn id="2" xr3:uid="{7C2EACA3-905B-4E10-94F5-1233BBAFD44A}" name="Part of Jefferson County Vote Results" totalsRowFunction="custom" dataDxfId="563" totalsRowDxfId="562">
      <totalsRowFormula>SUM(MemberOfAssemblyAssemblyDistrict116General[Part of Jefferson County Vote Results])</totalsRowFormula>
    </tableColumn>
    <tableColumn id="4" xr3:uid="{BC78D15B-ED77-42DF-8FEF-02EF2132DEB4}" name="Part of St. Lawrence County Vote Results" totalsRowFunction="custom" dataDxfId="561" totalsRowDxfId="560">
      <totalsRowFormula>SUM(MemberOfAssemblyAssemblyDistrict116General[Part of St. Lawrence County Vote Results])</totalsRowFormula>
    </tableColumn>
    <tableColumn id="3" xr3:uid="{36231051-200E-4EE0-8935-F4FAA4BAE943}" name="Total Votes by Party" totalsRowFunction="custom" dataDxfId="559" totalsRowDxfId="558">
      <calculatedColumnFormula>SUM(MemberOfAssemblyAssemblyDistrict116General[[#This Row],[Part of Jefferson County Vote Results]:[Part of St. Lawrence County Vote Results]])</calculatedColumnFormula>
      <totalsRowFormula>SUM(MemberOfAssemblyAssemblyDistrict116General[Total Votes by Party])</totalsRowFormula>
    </tableColumn>
    <tableColumn id="5" xr3:uid="{A4B0F1AF-1492-466D-BEF0-C267DA62D005}" name="Total Votes by Candidate" dataDxfId="557" totalsRowDxfId="556"/>
  </tableColumns>
  <tableStyleInfo name="TableStyleMedium2" showFirstColumn="0" showLastColumn="0" showRowStripes="0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DF3C59F3-6F6C-48D7-B4A8-84F3D0E5D0D9}" name="MemberOfAssemblyAssemblyDistrict117General" displayName="MemberOfAssemblyAssemblyDistrict117General" ref="A2:G9" totalsRowCount="1" headerRowDxfId="555" dataDxfId="553" totalsRowDxfId="551" headerRowBorderDxfId="554" tableBorderDxfId="552" totalsRowBorderDxfId="550">
  <autoFilter ref="A2:G8" xr:uid="{6D8F459E-AB91-41BE-AAE8-695C944495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7275788-F5DD-438F-A30A-5B437E675015}" name="Candidate Name (Party)" totalsRowLabel="Total Votes by County" dataDxfId="549" totalsRowDxfId="548"/>
    <tableColumn id="2" xr3:uid="{C2B5DC48-B9D8-4D68-9761-B66F99AD3CD1}" name="Lewis County Vote Results" totalsRowFunction="custom" dataDxfId="547" totalsRowDxfId="546">
      <totalsRowFormula>SUM(MemberOfAssemblyAssemblyDistrict117General[Lewis County Vote Results])</totalsRowFormula>
    </tableColumn>
    <tableColumn id="6" xr3:uid="{9A0F6AAC-CA4F-4965-B978-19F4582D7084}" name="Part of Jefferson County Vote Results" totalsRowFunction="custom" dataDxfId="545" totalsRowDxfId="544">
      <totalsRowFormula>SUM(MemberOfAssemblyAssemblyDistrict117General[Part of Jefferson County Vote Results])</totalsRowFormula>
    </tableColumn>
    <tableColumn id="3" xr3:uid="{9A3F0E14-4B13-4A33-ABDD-AEDA59CC89CA}" name="Part of Oneida County Vote Results" totalsRowFunction="custom" dataDxfId="543" totalsRowDxfId="542">
      <totalsRowFormula>SUM(MemberOfAssemblyAssemblyDistrict117General[Part of Oneida County Vote Results])</totalsRowFormula>
    </tableColumn>
    <tableColumn id="4" xr3:uid="{66E70F54-32EC-4D6C-AC3B-789E4DFA4B68}" name="Part of St. Lawrence County Vote Results" totalsRowFunction="custom" dataDxfId="541" totalsRowDxfId="540">
      <totalsRowFormula>SUM(MemberOfAssemblyAssemblyDistrict117General[Part of St. Lawrence County Vote Results])</totalsRowFormula>
    </tableColumn>
    <tableColumn id="7" xr3:uid="{69851B00-65E8-4F23-8A84-596EF8FF46CD}" name="Total Votes by Party" totalsRowFunction="custom" dataDxfId="539" totalsRowDxfId="538">
      <calculatedColumnFormula>SUM(MemberOfAssemblyAssemblyDistrict117General[[#This Row],[Lewis County Vote Results]:[Part of St. Lawrence County Vote Results]])</calculatedColumnFormula>
      <totalsRowFormula>SUM(MemberOfAssemblyAssemblyDistrict117General[Total Votes by Party])</totalsRowFormula>
    </tableColumn>
    <tableColumn id="5" xr3:uid="{F1B842BC-080E-41E5-A94B-3D178138C26A}" name="Total Votes by Candidate" dataDxfId="537" totalsRowDxfId="536">
      <calculatedColumnFormula>SUM(MemberOfAssemblyAssemblyDistrict117General[[#This Row],[Total Votes by Party]],F4,F5)</calculatedColumnFormula>
    </tableColumn>
  </tableColumns>
  <tableStyleInfo name="TableStyleMedium2" showFirstColumn="0" showLastColumn="0" showRowStripes="0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9E144B34-B93E-4D3C-9609-0B7442859A76}" name="MemberOfAssemblyAssemblyDistrict118General" displayName="MemberOfAssemblyAssemblyDistrict118General" ref="A2:H10" totalsRowCount="1" headerRowDxfId="535" dataDxfId="533" totalsRowDxfId="531" headerRowBorderDxfId="534" tableBorderDxfId="532" totalsRowBorderDxfId="530">
  <autoFilter ref="A2:H9" xr:uid="{7EC11E91-C20D-4D12-94FD-D9D3AAB366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25EA453-E732-4BA1-BBD1-7D1EBF2B1F75}" name="Candidate Name (Party)" totalsRowLabel="Total Votes by County" dataDxfId="529" totalsRowDxfId="528"/>
    <tableColumn id="2" xr3:uid="{7BC98801-341D-4EFC-A12E-CA89E60A6FAD}" name="Fulton County Vote Results" totalsRowFunction="custom" dataDxfId="527" totalsRowDxfId="526">
      <totalsRowFormula>SUM(MemberOfAssemblyAssemblyDistrict118General[Fulton County Vote Results])</totalsRowFormula>
    </tableColumn>
    <tableColumn id="6" xr3:uid="{D29C0D20-5307-4870-AD1D-2685C2DEF3F5}" name="Hamilton County Vote Results" totalsRowFunction="custom" dataDxfId="525" totalsRowDxfId="524">
      <totalsRowFormula>SUM(MemberOfAssemblyAssemblyDistrict118General[Hamilton County Vote Results])</totalsRowFormula>
    </tableColumn>
    <tableColumn id="7" xr3:uid="{1EA44028-F5E2-4B7F-8023-7AE150C2298E}" name="Part of Herkimer County Vote Results" totalsRowFunction="custom" dataDxfId="523" totalsRowDxfId="522">
      <totalsRowFormula>SUBTOTAL(109,D3:D9)</totalsRowFormula>
    </tableColumn>
    <tableColumn id="3" xr3:uid="{AB880B8B-46E5-45A7-ADEA-53EA610000D4}" name="Part of Oneida County Vote Results" totalsRowFunction="custom" dataDxfId="521" totalsRowDxfId="520">
      <totalsRowFormula>SUM(MemberOfAssemblyAssemblyDistrict118General[Part of Oneida County Vote Results])</totalsRowFormula>
    </tableColumn>
    <tableColumn id="4" xr3:uid="{19E8A982-FC82-496E-9D5D-859636E3BB71}" name="Part of St. Lawrence County Vote Results" totalsRowFunction="custom" dataDxfId="519" totalsRowDxfId="518">
      <totalsRowFormula>SUM(MemberOfAssemblyAssemblyDistrict118General[Part of St. Lawrence County Vote Results])</totalsRowFormula>
    </tableColumn>
    <tableColumn id="8" xr3:uid="{DCFF6263-6C36-4A13-B3E3-D4CBF26A0CB2}" name="Total Votes by Party" totalsRowFunction="custom" dataDxfId="517" totalsRowDxfId="516">
      <calculatedColumnFormula>SUM(MemberOfAssemblyAssemblyDistrict118General[[#This Row],[Fulton County Vote Results]:[Part of St. Lawrence County Vote Results]])</calculatedColumnFormula>
      <totalsRowFormula>SUM(MemberOfAssemblyAssemblyDistrict118General[Total Votes by Party])</totalsRowFormula>
    </tableColumn>
    <tableColumn id="5" xr3:uid="{1E6390F0-9E22-43DC-8D23-C43764B419FC}" name="Total Votes by Candidate" dataDxfId="515" totalsRowDxfId="514">
      <calculatedColumnFormula>SUM(MemberOfAssemblyAssemblyDistrict118General[[#This Row],[Total Votes by Party]],G4,G5,G6)</calculatedColumnFormula>
    </tableColumn>
  </tableColumns>
  <tableStyleInfo name="TableStyleMedium2" showFirstColumn="0" showLastColumn="0" showRowStripes="0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D64AC4B7-B841-41E1-8083-4A2DF21F7303}" name="MemberOfAssemblyAssemblyDistrict119General" displayName="MemberOfAssemblyAssemblyDistrict119General" ref="A2:E10" totalsRowCount="1" headerRowDxfId="513" dataDxfId="511" totalsRowDxfId="509" headerRowBorderDxfId="512" tableBorderDxfId="510" totalsRowBorderDxfId="508">
  <autoFilter ref="A2:E9" xr:uid="{A85E9E46-A4EA-4B4C-9BA9-C51E7A5B06F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D3B95D8-5B28-4B14-8744-6D38A92A7684}" name="Candidate Name (Party)" totalsRowLabel="Total Votes by County" dataDxfId="507" totalsRowDxfId="506"/>
    <tableColumn id="2" xr3:uid="{981444CA-0AC1-4F9D-982B-267EC37A6542}" name="Part of Herkimer County Vote Results" totalsRowFunction="custom" dataDxfId="505" totalsRowDxfId="504">
      <totalsRowFormula>SUM(MemberOfAssemblyAssemblyDistrict119General[Part of Herkimer County Vote Results])</totalsRowFormula>
    </tableColumn>
    <tableColumn id="4" xr3:uid="{87C35B6A-2440-42AF-AC64-C412674AB176}" name="Part of Oneida County Vote Results" totalsRowFunction="custom" dataDxfId="503" totalsRowDxfId="502">
      <totalsRowFormula>SUM(MemberOfAssemblyAssemblyDistrict119General[Part of Oneida County Vote Results])</totalsRowFormula>
    </tableColumn>
    <tableColumn id="3" xr3:uid="{54BAEB62-FAA9-4597-A73A-7D6DC097857C}" name="Total Votes by Party" totalsRowFunction="custom" dataDxfId="501" totalsRowDxfId="500">
      <calculatedColumnFormula>SUM(MemberOfAssemblyAssemblyDistrict119General[[#This Row],[Part of Herkimer County Vote Results]:[Part of Oneida County Vote Results]])</calculatedColumnFormula>
      <totalsRowFormula>SUM(MemberOfAssemblyAssemblyDistrict119General[Total Votes by Party])</totalsRowFormula>
    </tableColumn>
    <tableColumn id="5" xr3:uid="{F1A1FF72-455F-4E24-8D05-C1B87A3A0A17}" name="Total Votes by Candidate" dataDxfId="499" totalsRowDxfId="49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C9FBBC93-F05F-40CC-8DCD-5097B448FCCE}" name="MemberOfAssemblyAssemblyDistrict12General" displayName="MemberOfAssemblyAssemblyDistrict12General" ref="A2:D11" totalsRowCount="1" headerRowDxfId="2078" dataDxfId="2076" totalsRowDxfId="2074" headerRowBorderDxfId="2077" tableBorderDxfId="2075" totalsRowBorderDxfId="2073">
  <autoFilter ref="A2:D10" xr:uid="{D2E59698-95B0-470C-BD4B-D67BCE8889EB}">
    <filterColumn colId="0" hiddenButton="1"/>
    <filterColumn colId="1" hiddenButton="1"/>
    <filterColumn colId="2" hiddenButton="1"/>
    <filterColumn colId="3" hiddenButton="1"/>
  </autoFilter>
  <tableColumns count="4">
    <tableColumn id="1" xr3:uid="{439FDB96-C776-494D-8EA7-D00C634A6E91}" name="Candidate Name (Party)" totalsRowLabel="Total Votes by County" dataDxfId="2072" totalsRowDxfId="2071"/>
    <tableColumn id="4" xr3:uid="{0EB62BBC-31F7-4220-B41A-22D89F408E3F}" name="Part of Suffolk County Vote Results" totalsRowFunction="custom" dataDxfId="2070" totalsRowDxfId="2069">
      <totalsRowFormula>SUM(MemberOfAssemblyAssemblyDistrict12General[Part of Suffolk County Vote Results])</totalsRowFormula>
    </tableColumn>
    <tableColumn id="3" xr3:uid="{3D8D3CC7-5DB6-4869-89D9-DBD5C498A5D1}" name="Total Votes by Party" totalsRowFunction="custom" dataDxfId="2068" totalsRowDxfId="2067">
      <calculatedColumnFormula>MemberOfAssemblyAssemblyDistrict12General[[#This Row],[Part of Suffolk County Vote Results]]</calculatedColumnFormula>
      <totalsRowFormula>SUM(MemberOfAssemblyAssemblyDistrict12General[Total Votes by Party])</totalsRowFormula>
    </tableColumn>
    <tableColumn id="2" xr3:uid="{E46612E5-EFAB-4F5F-A7D7-1FCA8884DF15}" name="Total Votes by Candidate" dataDxfId="2066" totalsRowDxfId="2065"/>
  </tableColumns>
  <tableStyleInfo name="TableStyleMedium2" showFirstColumn="0" showLastColumn="0" showRowStripes="0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20C5B61E-1E5E-4037-AD5D-14A6EC7F9AE5}" name="MemberOfAssemblyAssemblyDistrict120General" displayName="MemberOfAssemblyAssemblyDistrict120General" ref="A2:F10" totalsRowCount="1" headerRowDxfId="497" dataDxfId="495" totalsRowDxfId="493" headerRowBorderDxfId="496" tableBorderDxfId="494" totalsRowBorderDxfId="492">
  <autoFilter ref="A2:F9" xr:uid="{E7CC8E6A-635A-4976-9E9C-8AB012ADC4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046C378-04E2-4ABB-A6CB-BCB16CF58E4D}" name="Candidate Name (Party)" totalsRowLabel="Total Votes by County" dataDxfId="491" totalsRowDxfId="490"/>
    <tableColumn id="2" xr3:uid="{955BCBEF-4700-4072-A6C4-9484D5DF5FFB}" name="Part of Jefferson County Vote Results" totalsRowFunction="custom" dataDxfId="489" totalsRowDxfId="488">
      <totalsRowFormula>SUM(MemberOfAssemblyAssemblyDistrict120General[Part of Jefferson County Vote Results])</totalsRowFormula>
    </tableColumn>
    <tableColumn id="3" xr3:uid="{C8A4C29A-9FF8-4332-B5B1-982F50923117}" name="Part of Onondaga County Vote Results" totalsRowFunction="custom" dataDxfId="487" totalsRowDxfId="486">
      <totalsRowFormula>SUM(MemberOfAssemblyAssemblyDistrict120General[Part of Onondaga County Vote Results])</totalsRowFormula>
    </tableColumn>
    <tableColumn id="4" xr3:uid="{0F8B54EC-6373-466E-93B8-8EEE9C36830C}" name="Part of Oswego County Vote Results" totalsRowFunction="custom" dataDxfId="485" totalsRowDxfId="484">
      <totalsRowFormula>SUM(MemberOfAssemblyAssemblyDistrict120General[Part of Oswego County Vote Results])</totalsRowFormula>
    </tableColumn>
    <tableColumn id="6" xr3:uid="{AE32D814-41F0-4462-9F66-E2C86A0EA1BB}" name="Total Votes by Party" totalsRowFunction="custom" dataDxfId="483" totalsRowDxfId="482">
      <calculatedColumnFormula>SUM(MemberOfAssemblyAssemblyDistrict120General[[#This Row],[Part of Jefferson County Vote Results]:[Part of Oswego County Vote Results]])</calculatedColumnFormula>
      <totalsRowFormula>SUM(MemberOfAssemblyAssemblyDistrict120General[Total Votes by Party])</totalsRowFormula>
    </tableColumn>
    <tableColumn id="5" xr3:uid="{B201F95B-0F08-4CC8-8302-2511E2C033A2}" name="Total Votes by Candidate" dataDxfId="481" totalsRowDxfId="480"/>
  </tableColumns>
  <tableStyleInfo name="TableStyleMedium2" showFirstColumn="0" showLastColumn="0" showRowStripes="0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33430A32-9E4B-44BE-AADC-78E9ADA6E225}" name="MemberOfAssemblyAssemblyDistrict121General" displayName="MemberOfAssemblyAssemblyDistrict121General" ref="A2:F12" totalsRowCount="1" headerRowDxfId="479" dataDxfId="477" totalsRowDxfId="475" headerRowBorderDxfId="478" tableBorderDxfId="476" totalsRowBorderDxfId="474">
  <autoFilter ref="A2:F11" xr:uid="{15BA0A46-CE16-4752-926C-21524EFC47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A6044B5-FE65-447A-B38D-8513AE12C575}" name="Candidate Name (Party)" totalsRowLabel="Total Votes by County" dataDxfId="473" totalsRowDxfId="472"/>
    <tableColumn id="2" xr3:uid="{DA0E9C3E-3CB4-42BE-B9D1-4C871F93D750}" name="Madison County Vote Results" totalsRowFunction="custom" dataDxfId="471" totalsRowDxfId="470">
      <totalsRowFormula>SUM(MemberOfAssemblyAssemblyDistrict121General[Madison County Vote Results])</totalsRowFormula>
    </tableColumn>
    <tableColumn id="3" xr3:uid="{ACC5CEDC-771E-4A5E-B6C8-C317528BC0A4}" name="Part of Oneida County Vote Results" totalsRowFunction="custom" dataDxfId="469" totalsRowDxfId="468">
      <totalsRowFormula>SUM(MemberOfAssemblyAssemblyDistrict121General[Part of Oneida County Vote Results])</totalsRowFormula>
    </tableColumn>
    <tableColumn id="4" xr3:uid="{231DF287-6EBC-47CC-8234-2DBF46664ABB}" name="Part of Otsego County Vote Results" totalsRowFunction="custom" dataDxfId="467" totalsRowDxfId="466">
      <totalsRowFormula>SUM(MemberOfAssemblyAssemblyDistrict121General[Part of Otsego County Vote Results])</totalsRowFormula>
    </tableColumn>
    <tableColumn id="6" xr3:uid="{B5D672D4-DAFC-4690-804A-B3EBB39B708C}" name="Total Votes by Party" totalsRowFunction="custom" dataDxfId="465" totalsRowDxfId="464">
      <calculatedColumnFormula>SUM(MemberOfAssemblyAssemblyDistrict121General[[#This Row],[Madison County Vote Results]:[Part of Otsego County Vote Results]])</calculatedColumnFormula>
      <totalsRowFormula>SUM(MemberOfAssemblyAssemblyDistrict121General[Total Votes by Party])</totalsRowFormula>
    </tableColumn>
    <tableColumn id="5" xr3:uid="{3E128B23-6B22-42DF-9D0D-EAEA3AEA749D}" name="Total Votes by Candidate" dataDxfId="463" totalsRowDxfId="462"/>
  </tableColumns>
  <tableStyleInfo name="TableStyleMedium2" showFirstColumn="0" showLastColumn="0" showRowStripes="0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3D89DE3E-32AD-4563-937A-C90A40AC6C5D}" name="MemberOfAssemblyAssemblyDistrict122General" displayName="MemberOfAssemblyAssemblyDistrict122General" ref="A2:G10" totalsRowCount="1" headerRowDxfId="461" dataDxfId="459" totalsRowDxfId="457" headerRowBorderDxfId="460" tableBorderDxfId="458" totalsRowBorderDxfId="456">
  <autoFilter ref="A2:G9" xr:uid="{4A68D355-5EC9-416A-B4E4-2CFC6D6E7E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239DFFF-3D67-4085-B327-31B54E9BAFF2}" name="Candidate Name (Party)" totalsRowLabel="Total Votes by County" dataDxfId="455" totalsRowDxfId="454"/>
    <tableColumn id="2" xr3:uid="{65C322F2-0F9A-4EE3-A571-F31E2D00A199}" name="Part of Broome County Vote Results" totalsRowFunction="custom" dataDxfId="453" totalsRowDxfId="452">
      <totalsRowFormula>SUM(MemberOfAssemblyAssemblyDistrict122General[Part of Broome County Vote Results])</totalsRowFormula>
    </tableColumn>
    <tableColumn id="6" xr3:uid="{8F3A3E5B-A50C-4EB8-B16E-97E9B7B46EE2}" name="Part of Chenango County Vote Results" totalsRowFunction="custom" dataDxfId="451" totalsRowDxfId="450">
      <totalsRowFormula>SUM(MemberOfAssemblyAssemblyDistrict122General[Part of Chenango County Vote Results])</totalsRowFormula>
    </tableColumn>
    <tableColumn id="3" xr3:uid="{FC9051CB-BCC0-4DD0-8B6B-A1C68939D790}" name="Part of Delaware County Vote Results" totalsRowFunction="custom" dataDxfId="449" totalsRowDxfId="448">
      <totalsRowFormula>SUM(MemberOfAssemblyAssemblyDistrict122General[Part of Delaware County Vote Results])</totalsRowFormula>
    </tableColumn>
    <tableColumn id="4" xr3:uid="{0B3E5541-B907-4E7B-BF50-5BEDD41776D2}" name="Part of Otsego County Vote Results" totalsRowFunction="custom" dataDxfId="447" totalsRowDxfId="446">
      <totalsRowFormula>SUM(MemberOfAssemblyAssemblyDistrict122General[Part of Otsego County Vote Results])</totalsRowFormula>
    </tableColumn>
    <tableColumn id="7" xr3:uid="{2BE94674-2869-48B6-9C6D-D95C5836B477}" name="Total Votes by Party" totalsRowFunction="custom" dataDxfId="445" totalsRowDxfId="444">
      <calculatedColumnFormula>SUM(MemberOfAssemblyAssemblyDistrict122General[[#This Row],[Part of Broome County Vote Results]:[Part of Otsego County Vote Results]])</calculatedColumnFormula>
      <totalsRowFormula>SUM(MemberOfAssemblyAssemblyDistrict122General[Total Votes by Party])</totalsRowFormula>
    </tableColumn>
    <tableColumn id="5" xr3:uid="{CBD38E64-28D5-4101-8CAC-2D3134A2AF36}" name="Total Votes by Candidate" dataDxfId="443" totalsRowDxfId="442"/>
  </tableColumns>
  <tableStyleInfo name="TableStyleMedium2" showFirstColumn="0" showLastColumn="0" showRowStripes="0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7AA66B32-DF59-4877-BD9B-F3CEC27BDAF1}" name="MemberOfAssemblyAssemblyDistrict123General" displayName="MemberOfAssemblyAssemblyDistrict123General" ref="A2:D8" totalsRowCount="1" headerRowDxfId="441" dataDxfId="439" totalsRowDxfId="437" headerRowBorderDxfId="440" tableBorderDxfId="438" totalsRowBorderDxfId="436">
  <autoFilter ref="A2:D7" xr:uid="{EB4A7198-1C28-40BC-B31B-03D2757DA304}">
    <filterColumn colId="0" hiddenButton="1"/>
    <filterColumn colId="1" hiddenButton="1"/>
    <filterColumn colId="2" hiddenButton="1"/>
    <filterColumn colId="3" hiddenButton="1"/>
  </autoFilter>
  <tableColumns count="4">
    <tableColumn id="1" xr3:uid="{240334CB-709C-473F-A6E7-3D934B4CBD59}" name="Candidate Name (Party)" totalsRowLabel="Total Votes by County" dataDxfId="435" totalsRowDxfId="434"/>
    <tableColumn id="4" xr3:uid="{AF1A73B4-3D8F-42F4-B41B-CB114DD1B43C}" name="Part of Broome County Vote Results" totalsRowFunction="custom" dataDxfId="433" totalsRowDxfId="432">
      <totalsRowFormula>SUM(MemberOfAssemblyAssemblyDistrict123General[Part of Broome County Vote Results])</totalsRowFormula>
    </tableColumn>
    <tableColumn id="3" xr3:uid="{4F461E1E-403C-488C-9B56-8AD562964AAF}" name="Total Votes by Party" totalsRowFunction="custom" dataDxfId="431" totalsRowDxfId="430">
      <calculatedColumnFormula>MemberOfAssemblyAssemblyDistrict123General[[#This Row],[Part of Broome County Vote Results]]</calculatedColumnFormula>
      <totalsRowFormula>SUM(MemberOfAssemblyAssemblyDistrict123General[Total Votes by Party])</totalsRowFormula>
    </tableColumn>
    <tableColumn id="2" xr3:uid="{C084D141-EFE4-4792-AB00-470A4327CADE}" name="Total Votes by Candidate" dataDxfId="429" totalsRowDxfId="428"/>
  </tableColumns>
  <tableStyleInfo name="TableStyleMedium2" showFirstColumn="0" showLastColumn="0" showRowStripes="0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2CF7422D-2C7F-4FDF-A174-069E2A665EAA}" name="MemberOfAssemblyAssemblyDistrict124General" displayName="MemberOfAssemblyAssemblyDistrict124General" ref="A2:F10" totalsRowCount="1" headerRowDxfId="427" dataDxfId="425" totalsRowDxfId="423" headerRowBorderDxfId="426" tableBorderDxfId="424" totalsRowBorderDxfId="422">
  <autoFilter ref="A2:F9" xr:uid="{8C54C1E6-AB85-47E6-8139-FF5FE29474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551CA16-5E6A-4F06-981A-21424D42FD85}" name="Candidate Name (Party)" totalsRowLabel="Total Votes by County" dataDxfId="421" totalsRowDxfId="420"/>
    <tableColumn id="2" xr3:uid="{AF371C7C-2E3F-490E-97B2-2FA7C2452739}" name="Tioga County Vote Results" totalsRowFunction="custom" dataDxfId="419" totalsRowDxfId="418">
      <totalsRowFormula>SUM(MemberOfAssemblyAssemblyDistrict124General[Tioga County Vote Results])</totalsRowFormula>
    </tableColumn>
    <tableColumn id="3" xr3:uid="{D7D1A846-CB02-40F2-B00D-3A1CF78EECA5}" name="Part of Broome County Vote Results" totalsRowFunction="custom" dataDxfId="417" totalsRowDxfId="416">
      <totalsRowFormula>SUM(MemberOfAssemblyAssemblyDistrict124General[Part of Broome County Vote Results])</totalsRowFormula>
    </tableColumn>
    <tableColumn id="4" xr3:uid="{60320E3D-BD8B-407E-8D1A-4F0076F3C227}" name="Part of Chemung County Vote Results" totalsRowFunction="custom" dataDxfId="415" totalsRowDxfId="414">
      <totalsRowFormula>SUM(MemberOfAssemblyAssemblyDistrict124General[Part of Chemung County Vote Results])</totalsRowFormula>
    </tableColumn>
    <tableColumn id="6" xr3:uid="{047D42A4-8DE8-4A75-844C-79609AFB3F7E}" name="Total Votes by Party" totalsRowFunction="custom" dataDxfId="413" totalsRowDxfId="412">
      <calculatedColumnFormula>SUM(MemberOfAssemblyAssemblyDistrict124General[[#This Row],[Tioga County Vote Results]:[Part of Chemung County Vote Results]])</calculatedColumnFormula>
      <totalsRowFormula>SUM(MemberOfAssemblyAssemblyDistrict124General[Total Votes by Party])</totalsRowFormula>
    </tableColumn>
    <tableColumn id="5" xr3:uid="{328BB90E-87E9-4D1E-A454-D08A1543F20C}" name="Total Votes by Candidate" dataDxfId="411" totalsRowDxfId="410"/>
  </tableColumns>
  <tableStyleInfo name="TableStyleMedium2" showFirstColumn="0" showLastColumn="0" showRowStripes="0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4E5B20E9-551F-4037-8C83-38C01CAF9A69}" name="MemberOfAssemblyAssemblyDistrict125General" displayName="MemberOfAssemblyAssemblyDistrict125General" ref="A2:E10" totalsRowCount="1" headerRowDxfId="409" dataDxfId="407" totalsRowDxfId="405" headerRowBorderDxfId="408" tableBorderDxfId="406" totalsRowBorderDxfId="404">
  <autoFilter ref="A2:E9" xr:uid="{BBC3EFDF-DCF5-468E-9562-0DC7F15A62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A142544-5882-4CD9-891D-7B6B9413E98D}" name="Candidate Name (Party)" totalsRowLabel="Total Votes by County" dataDxfId="403" totalsRowDxfId="402"/>
    <tableColumn id="2" xr3:uid="{98B28081-3A80-4EE4-B4BB-0A9411A6928E}" name="Tompkins County Vote Results" totalsRowFunction="custom" dataDxfId="401" totalsRowDxfId="400">
      <totalsRowFormula>SUM(MemberOfAssemblyAssemblyDistrict125General[Tompkins County Vote Results])</totalsRowFormula>
    </tableColumn>
    <tableColumn id="4" xr3:uid="{EE965856-7FD4-46AF-A7F3-96758A4AE93C}" name="Part of Cortland County Vote Results" totalsRowFunction="custom" dataDxfId="399" totalsRowDxfId="398">
      <totalsRowFormula>SUM(MemberOfAssemblyAssemblyDistrict125General[Part of Cortland County Vote Results])</totalsRowFormula>
    </tableColumn>
    <tableColumn id="3" xr3:uid="{770CED5F-2A90-4E64-A51A-849116FD4C96}" name="Total Votes by Party" totalsRowFunction="custom" dataDxfId="397" totalsRowDxfId="396">
      <calculatedColumnFormula>SUM(MemberOfAssemblyAssemblyDistrict125General[[#This Row],[Tompkins County Vote Results]:[Part of Cortland County Vote Results]])</calculatedColumnFormula>
      <totalsRowFormula>SUM(MemberOfAssemblyAssemblyDistrict125General[Total Votes by Party])</totalsRowFormula>
    </tableColumn>
    <tableColumn id="5" xr3:uid="{790CD6C6-1459-4CF8-9CE9-7FF0561EF8FA}" name="Total Votes by Candidate" dataDxfId="395" totalsRowDxfId="394"/>
  </tableColumns>
  <tableStyleInfo name="TableStyleMedium2" showFirstColumn="0" showLastColumn="0" showRowStripes="0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8AF90BCD-E69F-4851-ADE6-767E61791C37}" name="MemberOfAssemblyAssemblyDistrict126General" displayName="MemberOfAssemblyAssemblyDistrict126General" ref="A2:G11" totalsRowCount="1" headerRowDxfId="393" dataDxfId="391" totalsRowDxfId="389" headerRowBorderDxfId="392" tableBorderDxfId="390" totalsRowBorderDxfId="388">
  <autoFilter ref="A2:G10" xr:uid="{26FD3B1E-1D69-48E0-AA59-44E37FEF64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0275B8B-C92C-4E2A-BD1A-C4E172CD6C79}" name="Candidate Name (Party)" totalsRowLabel="Total Votes by County" dataDxfId="387" totalsRowDxfId="386"/>
    <tableColumn id="2" xr3:uid="{AD941592-68A2-4985-866C-E398178C892E}" name="Part of Cayuga County Vote Results" totalsRowFunction="custom" dataDxfId="385" totalsRowDxfId="384">
      <totalsRowFormula>SUM(MemberOfAssemblyAssemblyDistrict126General[Part of Cayuga County Vote Results])</totalsRowFormula>
    </tableColumn>
    <tableColumn id="6" xr3:uid="{483E640C-3D0E-44ED-8ECC-30D71301D8ED}" name="Part of Chenango County Vote Results" totalsRowFunction="custom" dataDxfId="383" totalsRowDxfId="382">
      <totalsRowFormula>SUM(MemberOfAssemblyAssemblyDistrict126General[Part of Chenango County Vote Results])</totalsRowFormula>
    </tableColumn>
    <tableColumn id="3" xr3:uid="{C3521B0E-E897-4FD4-A32B-9573D5F955B3}" name="Part of Cortland County Vote Results" totalsRowFunction="custom" dataDxfId="381" totalsRowDxfId="380">
      <totalsRowFormula>SUM(MemberOfAssemblyAssemblyDistrict126General[Part of Cortland County Vote Results])</totalsRowFormula>
    </tableColumn>
    <tableColumn id="4" xr3:uid="{12A3B7F4-E529-47E7-90AB-2A70EA94400E}" name="Part of Onondaga County Vote Results" totalsRowFunction="custom" dataDxfId="379" totalsRowDxfId="378">
      <totalsRowFormula>SUM(MemberOfAssemblyAssemblyDistrict126General[Part of Onondaga County Vote Results])</totalsRowFormula>
    </tableColumn>
    <tableColumn id="7" xr3:uid="{CD105524-64F1-425C-93C4-24402A398FB8}" name="Total Votes by Party" totalsRowFunction="custom" dataDxfId="377" totalsRowDxfId="376">
      <calculatedColumnFormula>SUM(MemberOfAssemblyAssemblyDistrict126General[[#This Row],[Part of Cayuga County Vote Results]:[Part of Onondaga County Vote Results]])</calculatedColumnFormula>
      <totalsRowFormula>SUM(MemberOfAssemblyAssemblyDistrict126General[Total Votes by Party])</totalsRowFormula>
    </tableColumn>
    <tableColumn id="5" xr3:uid="{DAE4F82B-699F-4D74-B734-27327B1DC430}" name="Total Votes by Candidate" dataDxfId="375" totalsRowDxfId="374"/>
  </tableColumns>
  <tableStyleInfo name="TableStyleMedium2" showFirstColumn="0" showLastColumn="0" showRowStripes="0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C46BD334-79E2-4F5D-8C3E-F103504FE9CE}" name="MemberOfAssemblyAssemblyDistrict127General" displayName="MemberOfAssemblyAssemblyDistrict127General" ref="A2:D11" totalsRowCount="1" headerRowDxfId="373" dataDxfId="371" totalsRowDxfId="369" headerRowBorderDxfId="372" tableBorderDxfId="370" totalsRowBorderDxfId="368">
  <autoFilter ref="A2:D10" xr:uid="{C0962221-65DA-4ACE-BE29-C1598EB7E66B}">
    <filterColumn colId="0" hiddenButton="1"/>
    <filterColumn colId="1" hiddenButton="1"/>
    <filterColumn colId="2" hiddenButton="1"/>
    <filterColumn colId="3" hiddenButton="1"/>
  </autoFilter>
  <tableColumns count="4">
    <tableColumn id="1" xr3:uid="{9A9DB9A4-26E9-499D-B75A-151961A90EE5}" name="Candidate Name (Party)" totalsRowLabel="Total Votes by County" dataDxfId="367" totalsRowDxfId="366"/>
    <tableColumn id="4" xr3:uid="{DF35D43B-B9EB-4EBF-B18F-72E353E98B95}" name="Part of Onondaga County Vote Results" totalsRowFunction="custom" dataDxfId="365" totalsRowDxfId="364">
      <totalsRowFormula>SUM(MemberOfAssemblyAssemblyDistrict127General[Part of Onondaga County Vote Results])</totalsRowFormula>
    </tableColumn>
    <tableColumn id="3" xr3:uid="{7248F472-E5B9-4D34-8D35-100CDB02890F}" name="Total Votes by Party" totalsRowFunction="custom" dataDxfId="363" totalsRowDxfId="362">
      <calculatedColumnFormula>MemberOfAssemblyAssemblyDistrict127General[[#This Row],[Part of Onondaga County Vote Results]]</calculatedColumnFormula>
      <totalsRowFormula>SUM(MemberOfAssemblyAssemblyDistrict127General[Total Votes by Party])</totalsRowFormula>
    </tableColumn>
    <tableColumn id="2" xr3:uid="{78B11C4D-DFDF-4223-94A8-1DD1A3AE3FEB}" name="Total Votes by Candidate" dataDxfId="361" totalsRowDxfId="360"/>
  </tableColumns>
  <tableStyleInfo name="TableStyleMedium2" showFirstColumn="0" showLastColumn="0" showRowStripes="0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28C33531-B6A2-4C53-80B7-07C61AFAB77D}" name="MemberOfAssemblyAssemblyDistrict128General" displayName="MemberOfAssemblyAssemblyDistrict128General" ref="A2:D12" totalsRowCount="1" headerRowDxfId="359" dataDxfId="357" totalsRowDxfId="355" headerRowBorderDxfId="358" tableBorderDxfId="356" totalsRowBorderDxfId="354">
  <autoFilter ref="A2:D11" xr:uid="{EAD0463A-6BC6-4ECB-A340-F9546BA92F00}">
    <filterColumn colId="0" hiddenButton="1"/>
    <filterColumn colId="1" hiddenButton="1"/>
    <filterColumn colId="2" hiddenButton="1"/>
    <filterColumn colId="3" hiddenButton="1"/>
  </autoFilter>
  <tableColumns count="4">
    <tableColumn id="1" xr3:uid="{527F38A3-96DB-4B0A-86B4-1DDD02A567FC}" name="Candidate Name (Party)" totalsRowLabel="Total Votes by County" dataDxfId="353" totalsRowDxfId="352"/>
    <tableColumn id="4" xr3:uid="{8EA84E8F-A381-4BA3-B271-B7635927EFFA}" name="Part of Onondaga County Vote Results" totalsRowFunction="custom" dataDxfId="351" totalsRowDxfId="350">
      <totalsRowFormula>SUM(MemberOfAssemblyAssemblyDistrict128General[Part of Onondaga County Vote Results])</totalsRowFormula>
    </tableColumn>
    <tableColumn id="3" xr3:uid="{ABBDCC3F-B171-4048-B8AE-91F388150233}" name="Total Votes by Party" totalsRowFunction="custom" dataDxfId="349" totalsRowDxfId="348">
      <calculatedColumnFormula>MemberOfAssemblyAssemblyDistrict128General[[#This Row],[Part of Onondaga County Vote Results]]</calculatedColumnFormula>
      <totalsRowFormula>SUM(MemberOfAssemblyAssemblyDistrict128General[Total Votes by Party])</totalsRowFormula>
    </tableColumn>
    <tableColumn id="2" xr3:uid="{F4629083-CDF2-4312-8B01-2169C32104C2}" name="Total Votes by Candidate" dataDxfId="347" totalsRowDxfId="346"/>
  </tableColumns>
  <tableStyleInfo name="TableStyleMedium2" showFirstColumn="0" showLastColumn="0" showRowStripes="0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FF42F748-2A4E-4964-819A-2DCC145DF5AB}" name="MemberOfAssemblyAssemblyDistrict129General" displayName="MemberOfAssemblyAssemblyDistrict129General" ref="A2:D10" totalsRowCount="1" headerRowDxfId="345" dataDxfId="343" totalsRowDxfId="341" headerRowBorderDxfId="344" tableBorderDxfId="342" totalsRowBorderDxfId="340">
  <autoFilter ref="A2:D9" xr:uid="{F17DF096-FB6A-4785-B4E0-C29538779450}">
    <filterColumn colId="0" hiddenButton="1"/>
    <filterColumn colId="1" hiddenButton="1"/>
    <filterColumn colId="2" hiddenButton="1"/>
    <filterColumn colId="3" hiddenButton="1"/>
  </autoFilter>
  <tableColumns count="4">
    <tableColumn id="1" xr3:uid="{50101A2D-38B9-4F7E-87C1-D0B26A6D7047}" name="Candidate Name (Party)" totalsRowLabel="Total Votes by County" dataDxfId="339" totalsRowDxfId="338"/>
    <tableColumn id="4" xr3:uid="{6EA91A13-BDB4-4BFC-969F-A3B9C3349E55}" name="Part of Onondaga County Vote Results" totalsRowFunction="custom" dataDxfId="337" totalsRowDxfId="336">
      <totalsRowFormula>SUM(MemberOfAssemblyAssemblyDistrict129General[Part of Onondaga County Vote Results])</totalsRowFormula>
    </tableColumn>
    <tableColumn id="3" xr3:uid="{3D6AAD17-5BFC-4A34-BBE9-55C7D58AAC8D}" name="Total Votes by Party" totalsRowFunction="custom" dataDxfId="335" totalsRowDxfId="334">
      <calculatedColumnFormula>MemberOfAssemblyAssemblyDistrict129General[[#This Row],[Part of Onondaga County Vote Results]]</calculatedColumnFormula>
      <totalsRowFormula>SUM(MemberOfAssemblyAssemblyDistrict129General[Total Votes by Party])</totalsRowFormula>
    </tableColumn>
    <tableColumn id="2" xr3:uid="{83A4EB47-8AE0-4B0E-B734-F58EEEF76961}" name="Total Votes by Candidate" dataDxfId="333" totalsRowDxfId="332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5F11B78F-4E0B-4722-9859-81F2F5ED7E16}" name="MemberOfAssemblyAssemblyDistrict13General" displayName="MemberOfAssemblyAssemblyDistrict13General" ref="A2:D11" totalsRowCount="1" headerRowDxfId="2064" dataDxfId="2062" totalsRowDxfId="2060" headerRowBorderDxfId="2063" tableBorderDxfId="2061" totalsRowBorderDxfId="2059">
  <autoFilter ref="A2:D10" xr:uid="{5EE8D162-0DA7-4872-A70E-4B2B44EC26B9}">
    <filterColumn colId="0" hiddenButton="1"/>
    <filterColumn colId="1" hiddenButton="1"/>
    <filterColumn colId="2" hiddenButton="1"/>
    <filterColumn colId="3" hiddenButton="1"/>
  </autoFilter>
  <tableColumns count="4">
    <tableColumn id="1" xr3:uid="{9A191D1E-F76F-4C85-87D8-9ED0E254030A}" name="Candidate Name (Party)" totalsRowLabel="Total Votes by County" dataDxfId="2058" totalsRowDxfId="2057"/>
    <tableColumn id="4" xr3:uid="{C4139793-E789-40B9-B509-C342AEB159D1}" name="Part of Nassau County Vote Results" totalsRowFunction="custom" dataDxfId="2056" totalsRowDxfId="2055">
      <totalsRowFormula>SUM(MemberOfAssemblyAssemblyDistrict13General[Part of Nassau County Vote Results])</totalsRowFormula>
    </tableColumn>
    <tableColumn id="3" xr3:uid="{EC81001B-1B2D-4F88-A33B-3D86151AC439}" name="Total Votes by Party" totalsRowFunction="custom" dataDxfId="2054" totalsRowDxfId="2053">
      <calculatedColumnFormula>MemberOfAssemblyAssemblyDistrict13General[[#This Row],[Part of Nassau County Vote Results]]</calculatedColumnFormula>
      <totalsRowFormula>SUM(MemberOfAssemblyAssemblyDistrict13General[Total Votes by Party])</totalsRowFormula>
    </tableColumn>
    <tableColumn id="2" xr3:uid="{6864C8FD-2F16-49DA-87E2-9660D8298E23}" name="Total Votes by Candidate" dataDxfId="2052" totalsRowDxfId="2051"/>
  </tableColumns>
  <tableStyleInfo name="TableStyleMedium2" showFirstColumn="0" showLastColumn="0" showRowStripes="0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41F844DF-2961-46EC-9603-1E9819C8101B}" name="MemberOfAssemblyAssemblyDistrict130General" displayName="MemberOfAssemblyAssemblyDistrict130General" ref="A2:F11" totalsRowCount="1" headerRowDxfId="331" dataDxfId="329" totalsRowDxfId="327" headerRowBorderDxfId="330" tableBorderDxfId="328" totalsRowBorderDxfId="326">
  <autoFilter ref="A2:F10" xr:uid="{366EF961-28AF-40FC-86B2-952659696D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2E882C9-791A-4F6E-BA11-F2D27D1EE38E}" name="Candidate Name (Party)" totalsRowLabel="Total Votes by County" dataDxfId="325" totalsRowDxfId="324"/>
    <tableColumn id="2" xr3:uid="{2264887A-0FAC-49BD-9E9B-9724E2F62A1F}" name="Wayne County Vote Results" totalsRowFunction="custom" dataDxfId="323" totalsRowDxfId="322">
      <totalsRowFormula>SUM(MemberOfAssemblyAssemblyDistrict130General[Wayne County Vote Results])</totalsRowFormula>
    </tableColumn>
    <tableColumn id="3" xr3:uid="{B287D7BB-57A9-4860-B1D7-F533F6C5CDE1}" name="Part of Cayuga County Vote Results" totalsRowFunction="custom" dataDxfId="321" totalsRowDxfId="320">
      <totalsRowFormula>SUM(MemberOfAssemblyAssemblyDistrict130General[Part of Cayuga County Vote Results])</totalsRowFormula>
    </tableColumn>
    <tableColumn id="4" xr3:uid="{F892406C-D2E0-4D30-8322-42DAE54C532D}" name="Part of Oswego County Vote Results" totalsRowFunction="custom" dataDxfId="319" totalsRowDxfId="318">
      <totalsRowFormula>SUM(MemberOfAssemblyAssemblyDistrict130General[Part of Oswego County Vote Results])</totalsRowFormula>
    </tableColumn>
    <tableColumn id="6" xr3:uid="{ABB8170E-C074-43CF-925B-795B2BC1673A}" name="Total Votes by Party" totalsRowFunction="custom" dataDxfId="317" totalsRowDxfId="316">
      <calculatedColumnFormula>SUM(MemberOfAssemblyAssemblyDistrict130General[[#This Row],[Wayne County Vote Results]:[Part of Oswego County Vote Results]])</calculatedColumnFormula>
      <totalsRowFormula>SUM(MemberOfAssemblyAssemblyDistrict130General[Total Votes by Party])</totalsRowFormula>
    </tableColumn>
    <tableColumn id="5" xr3:uid="{52B1F5AA-B799-49DC-ABF2-DEAF215F5069}" name="Total Votes by Candidate" dataDxfId="315" totalsRowDxfId="314"/>
  </tableColumns>
  <tableStyleInfo name="TableStyleMedium2" showFirstColumn="0" showLastColumn="0" showRowStripes="0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1" xr:uid="{E25161E1-6DBA-4512-9FED-AA2C59CAD85D}" name="MemberOfAssemblyAssemblyDistrict131General" displayName="MemberOfAssemblyAssemblyDistrict131General" ref="A2:E10" totalsRowCount="1" headerRowDxfId="313" dataDxfId="311" totalsRowDxfId="309" headerRowBorderDxfId="312" tableBorderDxfId="310" totalsRowBorderDxfId="308">
  <autoFilter ref="A2:E9" xr:uid="{9B998EDB-6C22-4338-A352-4F99B6C518A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3CF9E47-9BD7-4D40-865E-11DCED669DC9}" name="Candidate Name (Party)" totalsRowLabel="Total Votes by County" dataDxfId="307" totalsRowDxfId="306"/>
    <tableColumn id="2" xr3:uid="{DB063E37-DFC0-432F-A8C7-32C4D3C2DF59}" name="Ontario County Vote Results" totalsRowFunction="custom" dataDxfId="305" totalsRowDxfId="304">
      <totalsRowFormula>SUM(MemberOfAssemblyAssemblyDistrict131General[Ontario County Vote Results])</totalsRowFormula>
    </tableColumn>
    <tableColumn id="4" xr3:uid="{A444B650-1E34-4A0C-B5CB-F83DECE239D7}" name="Part of Seneca County Vote Results" totalsRowFunction="custom" dataDxfId="303" totalsRowDxfId="302">
      <totalsRowFormula>SUM(MemberOfAssemblyAssemblyDistrict131General[Part of Seneca County Vote Results])</totalsRowFormula>
    </tableColumn>
    <tableColumn id="3" xr3:uid="{EFA83790-7E79-4949-9744-4BCCCB39EAAD}" name="Total Votes by Party" totalsRowFunction="custom" dataDxfId="301" totalsRowDxfId="300">
      <calculatedColumnFormula>SUM(MemberOfAssemblyAssemblyDistrict131General[[#This Row],[Ontario County Vote Results]:[Part of Seneca County Vote Results]])</calculatedColumnFormula>
      <totalsRowFormula>SUBTOTAL(109,D3:D9)</totalsRowFormula>
    </tableColumn>
    <tableColumn id="5" xr3:uid="{ED05D685-2383-4711-997F-5CAD3E3055A1}" name="Total Votes by Candidate" dataDxfId="299" totalsRowDxfId="298"/>
  </tableColumns>
  <tableStyleInfo name="TableStyleMedium2" showFirstColumn="0" showLastColumn="0" showRowStripes="0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2" xr:uid="{FBB833C8-D32A-438B-8E1F-9ABADA452B18}" name="MemberOfAssemblyAssemblyDistrict132General" displayName="MemberOfAssemblyAssemblyDistrict132General" ref="A2:H9" totalsRowCount="1" headerRowDxfId="297" dataDxfId="295" totalsRowDxfId="293" headerRowBorderDxfId="296" tableBorderDxfId="294" totalsRowBorderDxfId="292">
  <autoFilter ref="A2:H8" xr:uid="{D9E396D6-E3F2-4009-AD56-98ED1C79FD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A3DE9D-CF62-4CA8-9FAD-7A2C2F953CD2}" name="Candidate Name (Party)" totalsRowLabel="Total Votes by County" dataDxfId="291" totalsRowDxfId="290"/>
    <tableColumn id="2" xr3:uid="{F41FFC52-1F23-4740-BA11-0B31A842BAEC}" name="Schuyler County Vote Results" totalsRowFunction="custom" dataDxfId="289" totalsRowDxfId="288">
      <totalsRowFormula>SUM(MemberOfAssemblyAssemblyDistrict132General[Schuyler County Vote Results])</totalsRowFormula>
    </tableColumn>
    <tableColumn id="6" xr3:uid="{97D7C51B-0A29-40A3-8BC4-E1B84BAEFC6E}" name="Yates County Vote Results" totalsRowFunction="custom" dataDxfId="287" totalsRowDxfId="286">
      <totalsRowFormula>SUM(MemberOfAssemblyAssemblyDistrict132General[Yates County Vote Results])</totalsRowFormula>
    </tableColumn>
    <tableColumn id="7" xr3:uid="{99186820-00F7-4368-962B-A91105F6D61D}" name="Part of Chemung County Vote Results" totalsRowFunction="custom" dataDxfId="285" totalsRowDxfId="284">
      <totalsRowFormula>SUM(MemberOfAssemblyAssemblyDistrict132General[Part of Chemung County Vote Results])</totalsRowFormula>
    </tableColumn>
    <tableColumn id="3" xr3:uid="{A74D8E68-AD0B-4224-B968-CF28D66E5115}" name="Part of Seneca County Vote Results" totalsRowFunction="custom" dataDxfId="283" totalsRowDxfId="282">
      <totalsRowFormula>SUM(MemberOfAssemblyAssemblyDistrict132General[Part of Seneca County Vote Results])</totalsRowFormula>
    </tableColumn>
    <tableColumn id="4" xr3:uid="{20150DCB-9974-42FB-B152-28553FAF5826}" name="Part of Steuben County Vote Results" totalsRowFunction="custom" dataDxfId="281" totalsRowDxfId="280">
      <totalsRowFormula>SUM(MemberOfAssemblyAssemblyDistrict132General[Part of Steuben County Vote Results])</totalsRowFormula>
    </tableColumn>
    <tableColumn id="8" xr3:uid="{E6E5E7D3-5B6A-4F6E-9781-422AED1306A0}" name="Total Votes by Party" totalsRowFunction="custom" dataDxfId="279" totalsRowDxfId="278">
      <calculatedColumnFormula>SUM(MemberOfAssemblyAssemblyDistrict132General[[#This Row],[Schuyler County Vote Results]:[Part of Steuben County Vote Results]])</calculatedColumnFormula>
      <totalsRowFormula>SUM(MemberOfAssemblyAssemblyDistrict132General[Total Votes by Party])</totalsRowFormula>
    </tableColumn>
    <tableColumn id="5" xr3:uid="{FEDCD0BE-7CAA-43AE-BBBC-D64A54E09A26}" name="Total Votes by Candidate" dataDxfId="277" totalsRowDxfId="276">
      <calculatedColumnFormula>SUM(MemberOfAssemblyAssemblyDistrict132General[[#This Row],[Total Votes by Party]],G4,G5)</calculatedColumnFormula>
    </tableColumn>
  </tableColumns>
  <tableStyleInfo name="TableStyleMedium2" showFirstColumn="0" showLastColumn="0" showRowStripes="0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3" xr:uid="{088E48B7-C8F1-4764-B89E-4FD7A7683C9F}" name="MemberOfAssemblyAssemblyDistrict133General" displayName="MemberOfAssemblyAssemblyDistrict133General" ref="A2:F11" totalsRowCount="1" headerRowDxfId="275" dataDxfId="273" totalsRowDxfId="271" headerRowBorderDxfId="274" tableBorderDxfId="272" totalsRowBorderDxfId="270">
  <autoFilter ref="A2:F10" xr:uid="{860B7522-4AC4-40E4-882A-07CFC38C76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60BCC18-10D3-47CC-8152-7B6C60C1F068}" name="Candidate Name (Party)" totalsRowLabel="Total Votes by County" dataDxfId="269" totalsRowDxfId="268"/>
    <tableColumn id="2" xr3:uid="{DEE599DA-4629-42AA-9867-E5850076D831}" name="Livingston County Vote Results" totalsRowFunction="custom" dataDxfId="267" totalsRowDxfId="266">
      <totalsRowFormula>SUM(MemberOfAssemblyAssemblyDistrict133General[Livingston County Vote Results])</totalsRowFormula>
    </tableColumn>
    <tableColumn id="3" xr3:uid="{EDCA31C7-78F9-4942-BC40-D78EE09FF206}" name="Part of Monroe County Vote Results" totalsRowFunction="custom" dataDxfId="265" totalsRowDxfId="264">
      <totalsRowFormula>SUM(MemberOfAssemblyAssemblyDistrict133General[Part of Monroe County Vote Results])</totalsRowFormula>
    </tableColumn>
    <tableColumn id="4" xr3:uid="{9FEC04FB-6D1B-4EA8-BEDA-5A71D145D192}" name="Part of Steuben County Vote Results" totalsRowFunction="custom" dataDxfId="263" totalsRowDxfId="262">
      <totalsRowFormula>SUM(MemberOfAssemblyAssemblyDistrict133General[Part of Steuben County Vote Results])</totalsRowFormula>
    </tableColumn>
    <tableColumn id="6" xr3:uid="{01AC9308-CB39-48C3-B8D9-6AFFD46ECAF9}" name="Total Votes by Party" totalsRowFunction="custom" dataDxfId="261" totalsRowDxfId="260">
      <calculatedColumnFormula>SUM(MemberOfAssemblyAssemblyDistrict133General[[#This Row],[Livingston County Vote Results]:[Part of Steuben County Vote Results]])</calculatedColumnFormula>
      <totalsRowFormula>SUM(MemberOfAssemblyAssemblyDistrict133General[Total Votes by Party])</totalsRowFormula>
    </tableColumn>
    <tableColumn id="5" xr3:uid="{28B22CBA-6940-4F2E-AF76-11C05E3F53D1}" name="Total Votes by Candidate" dataDxfId="259" totalsRowDxfId="258"/>
  </tableColumns>
  <tableStyleInfo name="TableStyleMedium2" showFirstColumn="0" showLastColumn="0" showRowStripes="0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4" xr:uid="{7ECD91AE-4CD2-4A6C-8BD2-ABF18C1885ED}" name="MemberOfAssemblyAssemblyDistrict134General" displayName="MemberOfAssemblyAssemblyDistrict134General" ref="A2:D12" totalsRowCount="1" headerRowDxfId="257" dataDxfId="255" totalsRowDxfId="253" headerRowBorderDxfId="256" tableBorderDxfId="254" totalsRowBorderDxfId="252">
  <autoFilter ref="A2:D11" xr:uid="{52EEF178-30B9-49E7-AC64-7CB8626191A7}">
    <filterColumn colId="0" hiddenButton="1"/>
    <filterColumn colId="1" hiddenButton="1"/>
    <filterColumn colId="2" hiddenButton="1"/>
    <filterColumn colId="3" hiddenButton="1"/>
  </autoFilter>
  <tableColumns count="4">
    <tableColumn id="1" xr3:uid="{47B18943-2875-4409-9AC8-1DF8250042DE}" name="Candidate Name (Party)" totalsRowLabel="Total Votes by County" dataDxfId="251" totalsRowDxfId="250"/>
    <tableColumn id="4" xr3:uid="{5ECFA244-FC4C-4FAF-B007-BD11C8B8F3C2}" name="Part of Monroe County Vote Results" totalsRowFunction="custom" dataDxfId="249" totalsRowDxfId="248">
      <totalsRowFormula>SUM(MemberOfAssemblyAssemblyDistrict134General[Part of Monroe County Vote Results])</totalsRowFormula>
    </tableColumn>
    <tableColumn id="3" xr3:uid="{D06871F2-B76B-4640-84A0-958D01B75EAD}" name="Total Votes by Party" totalsRowFunction="custom" dataDxfId="247" totalsRowDxfId="246">
      <calculatedColumnFormula>MemberOfAssemblyAssemblyDistrict134General[[#This Row],[Part of Monroe County Vote Results]]</calculatedColumnFormula>
      <totalsRowFormula>SUM(MemberOfAssemblyAssemblyDistrict134General[Total Votes by Party])</totalsRowFormula>
    </tableColumn>
    <tableColumn id="2" xr3:uid="{BA666B66-F77C-4929-B7A5-F21473195E81}" name="Total Votes by Candidate" dataDxfId="245" totalsRowDxfId="244"/>
  </tableColumns>
  <tableStyleInfo name="TableStyleMedium2" showFirstColumn="0" showLastColumn="0" showRowStripes="0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5" xr:uid="{5BA5EFA3-D297-4C89-9329-5B48C1B72ACC}" name="MemberOfAssemblyAssemblyDistrict135General" displayName="MemberOfAssemblyAssemblyDistrict135General" ref="A2:D11" totalsRowCount="1" headerRowDxfId="243" dataDxfId="241" totalsRowDxfId="239" headerRowBorderDxfId="242" tableBorderDxfId="240" totalsRowBorderDxfId="238">
  <autoFilter ref="A2:D10" xr:uid="{D08F31AE-6FD4-4301-9647-C827304B8EB0}">
    <filterColumn colId="0" hiddenButton="1"/>
    <filterColumn colId="1" hiddenButton="1"/>
    <filterColumn colId="2" hiddenButton="1"/>
    <filterColumn colId="3" hiddenButton="1"/>
  </autoFilter>
  <tableColumns count="4">
    <tableColumn id="1" xr3:uid="{ACF1219C-D0D0-4BB9-A6BF-EF04BCC305ED}" name="Candidate Name (Party)" totalsRowLabel="Total Votes by County" dataDxfId="237" totalsRowDxfId="236"/>
    <tableColumn id="4" xr3:uid="{2D8E81D6-7366-4DBF-8B3F-A43E054701CF}" name="Part of Monroe County Vote Results" totalsRowFunction="custom" dataDxfId="235" totalsRowDxfId="234">
      <totalsRowFormula>SUM(MemberOfAssemblyAssemblyDistrict135General[Part of Monroe County Vote Results])</totalsRowFormula>
    </tableColumn>
    <tableColumn id="3" xr3:uid="{69089848-0425-434A-BAB0-A6131641FE79}" name="Total Votes by Party" totalsRowFunction="custom" dataDxfId="233" totalsRowDxfId="232">
      <calculatedColumnFormula>MemberOfAssemblyAssemblyDistrict135General[[#This Row],[Part of Monroe County Vote Results]]</calculatedColumnFormula>
      <totalsRowFormula>SUM(MemberOfAssemblyAssemblyDistrict135General[Total Votes by Party])</totalsRowFormula>
    </tableColumn>
    <tableColumn id="2" xr3:uid="{AC85BA6D-291E-48A4-85A7-42FF128D4A4C}" name="Total Votes by Candidate" dataDxfId="231" totalsRowDxfId="230"/>
  </tableColumns>
  <tableStyleInfo name="TableStyleMedium2" showFirstColumn="0" showLastColumn="0" showRowStripes="0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6" xr:uid="{D9CD70E7-543C-4D48-8F68-0DC26B53C256}" name="MemberOfAssemblyAssemblyDistrict136General" displayName="MemberOfAssemblyAssemblyDistrict136General" ref="A2:D10" totalsRowCount="1" headerRowDxfId="229" dataDxfId="227" totalsRowDxfId="225" headerRowBorderDxfId="228" tableBorderDxfId="226" totalsRowBorderDxfId="224">
  <autoFilter ref="A2:D9" xr:uid="{A8AF5231-8278-49CA-9700-D9204A02A849}">
    <filterColumn colId="0" hiddenButton="1"/>
    <filterColumn colId="1" hiddenButton="1"/>
    <filterColumn colId="2" hiddenButton="1"/>
    <filterColumn colId="3" hiddenButton="1"/>
  </autoFilter>
  <tableColumns count="4">
    <tableColumn id="1" xr3:uid="{693CEDFB-4210-445D-864B-F1FFCC00267F}" name="Candidate Name (Party)" totalsRowLabel="Total Votes by County" dataDxfId="223" totalsRowDxfId="222"/>
    <tableColumn id="4" xr3:uid="{EEC3850B-1EF9-4558-B3DF-75F20C3D1182}" name="Part of Monroe County Vote Results" totalsRowFunction="custom" dataDxfId="221" totalsRowDxfId="220">
      <totalsRowFormula>SUM(MemberOfAssemblyAssemblyDistrict136General[Part of Monroe County Vote Results])</totalsRowFormula>
    </tableColumn>
    <tableColumn id="3" xr3:uid="{A8395BA2-D757-447C-8365-5835C94BCB0D}" name="Total Votes by Party" totalsRowFunction="custom" dataDxfId="219" totalsRowDxfId="218">
      <calculatedColumnFormula>MemberOfAssemblyAssemblyDistrict136General[[#This Row],[Part of Monroe County Vote Results]]</calculatedColumnFormula>
      <totalsRowFormula>SUM(MemberOfAssemblyAssemblyDistrict136General[Total Votes by Party])</totalsRowFormula>
    </tableColumn>
    <tableColumn id="2" xr3:uid="{A090BD7F-3A1A-4CB0-BD88-536E37607250}" name="Total Votes by Candidate" dataDxfId="217" totalsRowDxfId="216">
      <calculatedColumnFormula>SUM(MemberOfAssemblyAssemblyDistrict136General[[#This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7" xr:uid="{6C67C079-70D5-4258-A78B-9E78934371CA}" name="MemberOfAssemblyAssemblyDistrict137General" displayName="MemberOfAssemblyAssemblyDistrict137General" ref="A2:D8" totalsRowCount="1" headerRowDxfId="215" dataDxfId="213" totalsRowDxfId="211" headerRowBorderDxfId="214" tableBorderDxfId="212" totalsRowBorderDxfId="210">
  <autoFilter ref="A2:D7" xr:uid="{131EAACA-BE16-410F-9DCB-436E3BF36992}">
    <filterColumn colId="0" hiddenButton="1"/>
    <filterColumn colId="1" hiddenButton="1"/>
    <filterColumn colId="2" hiddenButton="1"/>
    <filterColumn colId="3" hiddenButton="1"/>
  </autoFilter>
  <tableColumns count="4">
    <tableColumn id="1" xr3:uid="{A60D22AF-A819-4BF9-970C-216D0C7F654E}" name="Candidate Name (Party)" totalsRowLabel="Total Votes by County" dataDxfId="209" totalsRowDxfId="208"/>
    <tableColumn id="4" xr3:uid="{A12A9395-46D1-4C31-9402-804F491B3CDF}" name="Part of Monroe County Vote Results" totalsRowFunction="custom" dataDxfId="207" totalsRowDxfId="206">
      <totalsRowFormula>SUM(MemberOfAssemblyAssemblyDistrict137General[Part of Monroe County Vote Results])</totalsRowFormula>
    </tableColumn>
    <tableColumn id="3" xr3:uid="{78680DDB-D9BE-4294-87EB-BC377444D461}" name="Total Votes by Party" totalsRowFunction="custom" dataDxfId="205" totalsRowDxfId="204">
      <calculatedColumnFormula>MemberOfAssemblyAssemblyDistrict137General[[#This Row],[Part of Monroe County Vote Results]]</calculatedColumnFormula>
      <totalsRowFormula>SUM(MemberOfAssemblyAssemblyDistrict137General[Total Votes by Party])</totalsRowFormula>
    </tableColumn>
    <tableColumn id="2" xr3:uid="{9F6788E0-CB1A-47E1-9909-E4CD76BEFD7B}" name="Total Votes by Candidate" dataDxfId="203" totalsRowDxfId="202">
      <calculatedColumnFormula>SUM(MemberOfAssemblyAssemblyDistrict137General[[#This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8" xr:uid="{F3EB93AC-809D-47D8-A252-781E362F8B07}" name="MemberOfAssemblyAssemblyDistrict138General" displayName="MemberOfAssemblyAssemblyDistrict138General" ref="A2:D12" totalsRowCount="1" headerRowDxfId="201" dataDxfId="199" totalsRowDxfId="197" headerRowBorderDxfId="200" tableBorderDxfId="198" totalsRowBorderDxfId="196">
  <autoFilter ref="A2:D11" xr:uid="{454EBD1B-7770-41A5-B8A8-0820457DFCD8}">
    <filterColumn colId="0" hiddenButton="1"/>
    <filterColumn colId="1" hiddenButton="1"/>
    <filterColumn colId="2" hiddenButton="1"/>
    <filterColumn colId="3" hiddenButton="1"/>
  </autoFilter>
  <tableColumns count="4">
    <tableColumn id="1" xr3:uid="{7A502E75-EAD4-498A-A99B-8E42A2806FD1}" name="Candidate Name (Party)" totalsRowLabel="Total Votes by County" dataDxfId="195" totalsRowDxfId="194"/>
    <tableColumn id="4" xr3:uid="{E14C7478-BC4D-4581-835A-55D737C3BA3A}" name="Part of Monroe County Vote Results" totalsRowFunction="custom" dataDxfId="193" totalsRowDxfId="192">
      <totalsRowFormula>SUM(MemberOfAssemblyAssemblyDistrict138General[Part of Monroe County Vote Results])</totalsRowFormula>
    </tableColumn>
    <tableColumn id="3" xr3:uid="{20EB2B7C-367C-4596-86AD-BC1C6029A0CD}" name="Total Votes by Party" totalsRowFunction="custom" dataDxfId="191" totalsRowDxfId="190">
      <calculatedColumnFormula>MemberOfAssemblyAssemblyDistrict138General[[#This Row],[Part of Monroe County Vote Results]]</calculatedColumnFormula>
      <totalsRowFormula>SUM(MemberOfAssemblyAssemblyDistrict138General[Total Votes by Party])</totalsRowFormula>
    </tableColumn>
    <tableColumn id="2" xr3:uid="{3A308507-68DA-40B7-9AE8-432C9BABCFF6}" name="Total Votes by Candidate" dataDxfId="189" totalsRowDxfId="188"/>
  </tableColumns>
  <tableStyleInfo name="TableStyleMedium2" showFirstColumn="0" showLastColumn="0" showRowStripes="0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9" xr:uid="{F758D4D2-D544-4A9B-8256-03564F3713C2}" name="MemberOfAssemblyAssemblyDistrict139General" displayName="MemberOfAssemblyAssemblyDistrict139General" ref="A2:F10" totalsRowCount="1" headerRowDxfId="187" dataDxfId="185" totalsRowDxfId="183" headerRowBorderDxfId="186" tableBorderDxfId="184" totalsRowBorderDxfId="182">
  <autoFilter ref="A2:F9" xr:uid="{CB957A37-C1A3-4F36-A4B3-278A92870F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966E5F7-6AA9-4D66-A886-1A380DF5C90E}" name="Candidate Name (Party)" totalsRowLabel="Total Votes by County" dataDxfId="181" totalsRowDxfId="180"/>
    <tableColumn id="2" xr3:uid="{E0FD7D90-5DC1-40E0-A849-37175A3692DF}" name="Genesee County Vote Results" totalsRowFunction="custom" dataDxfId="179" totalsRowDxfId="178">
      <totalsRowFormula>SUM(MemberOfAssemblyAssemblyDistrict139General[Genesee County Vote Results])</totalsRowFormula>
    </tableColumn>
    <tableColumn id="3" xr3:uid="{CE7819F3-A78E-48CE-B206-7C0CD3F5AF9E}" name="Part of Monroe County Vote Results" totalsRowFunction="custom" dataDxfId="177" totalsRowDxfId="176">
      <totalsRowFormula>SUM(MemberOfAssemblyAssemblyDistrict139General[Part of Monroe County Vote Results])</totalsRowFormula>
    </tableColumn>
    <tableColumn id="4" xr3:uid="{B7212608-2110-4C6C-9B5E-03A40AA8C233}" name="Part of Orleans County Vote Results" totalsRowFunction="custom" dataDxfId="175" totalsRowDxfId="174">
      <totalsRowFormula>SUM(MemberOfAssemblyAssemblyDistrict139General[Part of Orleans County Vote Results])</totalsRowFormula>
    </tableColumn>
    <tableColumn id="6" xr3:uid="{65229B2B-F4C5-4E20-8CB7-597D050F4332}" name="Total Votes by Party" totalsRowFunction="custom" dataDxfId="173" totalsRowDxfId="172">
      <calculatedColumnFormula>SUM(MemberOfAssemblyAssemblyDistrict139General[[#This Row],[Genesee County Vote Results]:[Part of Orleans County Vote Results]])</calculatedColumnFormula>
      <totalsRowFormula>SUM(MemberOfAssemblyAssemblyDistrict139General[Total Votes by Party])</totalsRowFormula>
    </tableColumn>
    <tableColumn id="5" xr3:uid="{CC10EC08-471C-4EDA-BF04-EAE7D9E4D536}" name="Total Votes by Candidate" dataDxfId="171" totalsRowDxfId="17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3A07B82A-D667-4BAA-9348-CF836E1C9B22}" name="MemberOfAssemblyAssemblyDistrict14General" displayName="MemberOfAssemblyAssemblyDistrict14General" ref="A2:D11" totalsRowCount="1" headerRowDxfId="2050" dataDxfId="2048" totalsRowDxfId="2046" headerRowBorderDxfId="2049" tableBorderDxfId="2047" totalsRowBorderDxfId="2045">
  <autoFilter ref="A2:D10" xr:uid="{F438094B-05A3-4A80-B6D4-572EB6EA794B}">
    <filterColumn colId="0" hiddenButton="1"/>
    <filterColumn colId="1" hiddenButton="1"/>
    <filterColumn colId="2" hiddenButton="1"/>
    <filterColumn colId="3" hiddenButton="1"/>
  </autoFilter>
  <tableColumns count="4">
    <tableColumn id="1" xr3:uid="{ED52E400-E270-4948-A2E1-62467E3B5E47}" name="Candidate Name (Party)" totalsRowLabel="Total Votes by County" dataDxfId="2044" totalsRowDxfId="2043"/>
    <tableColumn id="4" xr3:uid="{0DD436AB-FFD5-486A-A447-58F73381EC84}" name="Part of Nassau County Vote Results" totalsRowFunction="custom" dataDxfId="2042" totalsRowDxfId="2041">
      <totalsRowFormula>SUM(MemberOfAssemblyAssemblyDistrict14General[Part of Nassau County Vote Results])</totalsRowFormula>
    </tableColumn>
    <tableColumn id="3" xr3:uid="{577BE9EB-A1EE-43BC-9E03-D779EF7C97C3}" name="Total Votes by Party" totalsRowFunction="custom" dataDxfId="2040" totalsRowDxfId="2039">
      <calculatedColumnFormula>MemberOfAssemblyAssemblyDistrict14General[[#This Row],[Part of Nassau County Vote Results]]</calculatedColumnFormula>
      <totalsRowFormula>SUM(MemberOfAssemblyAssemblyDistrict14General[Total Votes by Party])</totalsRowFormula>
    </tableColumn>
    <tableColumn id="2" xr3:uid="{61CA9B74-9925-4CD3-9996-EBDCBA0673D6}" name="Total Votes by Candidate" dataDxfId="2038" totalsRowDxfId="2037"/>
  </tableColumns>
  <tableStyleInfo name="TableStyleMedium2" showFirstColumn="0" showLastColumn="0" showRowStripes="0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0" xr:uid="{E211E936-B08D-4CF7-B8D9-D6E504FE4C50}" name="MemberOfAssemblyAssemblyDistrict140General" displayName="MemberOfAssemblyAssemblyDistrict140General" ref="A2:E12" totalsRowCount="1" headerRowDxfId="169" dataDxfId="167" totalsRowDxfId="165" headerRowBorderDxfId="168" tableBorderDxfId="166" totalsRowBorderDxfId="164">
  <autoFilter ref="A2:E11" xr:uid="{9105780F-69CF-40D1-B2C6-3E7BA5C3B0F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13EB6B3-009D-4123-A951-3848C39933FA}" name="Candidate Name (Party)" totalsRowLabel="Total Votes by County" dataDxfId="163" totalsRowDxfId="162"/>
    <tableColumn id="2" xr3:uid="{A3DD0444-C349-41C3-9016-71E94D371E6B}" name="Part of Erie County Vote Results" totalsRowFunction="custom" dataDxfId="161" totalsRowDxfId="160">
      <totalsRowFormula>SUM(MemberOfAssemblyAssemblyDistrict140General[Part of Erie County Vote Results])</totalsRowFormula>
    </tableColumn>
    <tableColumn id="4" xr3:uid="{882EDD74-190C-474E-B96A-3403AD20FA6E}" name="Part of Niagara County Vote Results" totalsRowFunction="custom" dataDxfId="159" totalsRowDxfId="158">
      <totalsRowFormula>SUM(MemberOfAssemblyAssemblyDistrict140General[Part of Niagara County Vote Results])</totalsRowFormula>
    </tableColumn>
    <tableColumn id="3" xr3:uid="{53AC8BAC-F0CC-4CB2-8E29-CEEDA24FB3CC}" name="Total Votes by Party" totalsRowFunction="custom" dataDxfId="157" totalsRowDxfId="156">
      <calculatedColumnFormula>SUM(MemberOfAssemblyAssemblyDistrict140General[[#This Row],[Part of Erie County Vote Results]:[Part of Niagara County Vote Results]])</calculatedColumnFormula>
      <totalsRowFormula>SUM(MemberOfAssemblyAssemblyDistrict140General[Total Votes by Party])</totalsRowFormula>
    </tableColumn>
    <tableColumn id="5" xr3:uid="{EB409B90-4E19-4EC9-8296-7C49179A85CF}" name="Total Votes by Candidate" dataDxfId="155" totalsRowDxfId="154"/>
  </tableColumns>
  <tableStyleInfo name="TableStyleMedium2" showFirstColumn="0" showLastColumn="0" showRowStripes="0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1" xr:uid="{13F8FF4A-7E8B-45B7-8293-744C443FE21F}" name="MemberOfAssemblyAssemblyDistrict141General" displayName="MemberOfAssemblyAssemblyDistrict141General" ref="A2:D8" totalsRowCount="1" headerRowDxfId="153" dataDxfId="151" totalsRowDxfId="149" headerRowBorderDxfId="152" tableBorderDxfId="150" totalsRowBorderDxfId="148">
  <autoFilter ref="A2:D7" xr:uid="{02EAEC1C-02FF-491A-B364-A84E58635711}">
    <filterColumn colId="0" hiddenButton="1"/>
    <filterColumn colId="1" hiddenButton="1"/>
    <filterColumn colId="2" hiddenButton="1"/>
    <filterColumn colId="3" hiddenButton="1"/>
  </autoFilter>
  <tableColumns count="4">
    <tableColumn id="1" xr3:uid="{72743A65-B029-4EF2-92F1-DBF9F30AE4F4}" name="Candidate Name (Party)" totalsRowLabel="Total Votes by County" dataDxfId="147" totalsRowDxfId="146"/>
    <tableColumn id="4" xr3:uid="{4BD8B046-6A23-44F5-A98B-94496FF62AFC}" name="Part of Erie County Vote Results" totalsRowFunction="custom" dataDxfId="145" totalsRowDxfId="144">
      <totalsRowFormula>SUM(MemberOfAssemblyAssemblyDistrict141General[Part of Erie County Vote Results])</totalsRowFormula>
    </tableColumn>
    <tableColumn id="3" xr3:uid="{2E41E330-02E5-4934-BF30-48C7B4DD367F}" name="Total Votes by Party" totalsRowFunction="custom" dataDxfId="143" totalsRowDxfId="142">
      <calculatedColumnFormula>MemberOfAssemblyAssemblyDistrict141General[[#This Row],[Part of Erie County Vote Results]]</calculatedColumnFormula>
      <totalsRowFormula>SUM(MemberOfAssemblyAssemblyDistrict141General[Total Votes by Party])</totalsRowFormula>
    </tableColumn>
    <tableColumn id="2" xr3:uid="{9A77FCDA-69CF-48FE-8812-B23BD82D5695}" name="Total Votes by Candidate" dataDxfId="141" totalsRowDxfId="140"/>
  </tableColumns>
  <tableStyleInfo name="TableStyleMedium2" showFirstColumn="0" showLastColumn="0" showRowStripes="0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2" xr:uid="{B76BBDA6-E84C-4884-8949-1DB764B0E2FE}" name="MemberOfAssemblyAssemblyDistrict142General" displayName="MemberOfAssemblyAssemblyDistrict142General" ref="A2:D11" totalsRowCount="1" headerRowDxfId="139" dataDxfId="137" totalsRowDxfId="135" headerRowBorderDxfId="138" tableBorderDxfId="136" totalsRowBorderDxfId="134">
  <autoFilter ref="A2:D10" xr:uid="{3FB75B32-0FF2-4A7A-9C5A-8149A0434CE3}">
    <filterColumn colId="0" hiddenButton="1"/>
    <filterColumn colId="1" hiddenButton="1"/>
    <filterColumn colId="2" hiddenButton="1"/>
    <filterColumn colId="3" hiddenButton="1"/>
  </autoFilter>
  <tableColumns count="4">
    <tableColumn id="1" xr3:uid="{9BBC2E3A-FE2A-427A-8540-11E225B3E411}" name="Candidate Name (Party)" totalsRowLabel="Total Votes by County" dataDxfId="133" totalsRowDxfId="132"/>
    <tableColumn id="4" xr3:uid="{6A8259C3-364C-4F74-A7A8-FF67BD4DD802}" name="Part of Erie County Vote Results" totalsRowFunction="custom" dataDxfId="131" totalsRowDxfId="130">
      <totalsRowFormula>SUM(MemberOfAssemblyAssemblyDistrict142General[Part of Erie County Vote Results])</totalsRowFormula>
    </tableColumn>
    <tableColumn id="3" xr3:uid="{48A20FE2-973C-41A0-8A56-065BCA6E5D4E}" name="Total Votes by Party" totalsRowFunction="custom" dataDxfId="129" totalsRowDxfId="128">
      <calculatedColumnFormula>MemberOfAssemblyAssemblyDistrict142General[[#This Row],[Part of Erie County Vote Results]]</calculatedColumnFormula>
      <totalsRowFormula>SUM(MemberOfAssemblyAssemblyDistrict142General[Total Votes by Party])</totalsRowFormula>
    </tableColumn>
    <tableColumn id="2" xr3:uid="{E4D1E383-597F-4B2F-9439-1E90E7F8ED09}" name="Total Votes by Candidate" dataDxfId="127" totalsRowDxfId="126"/>
  </tableColumns>
  <tableStyleInfo name="TableStyleMedium2" showFirstColumn="0" showLastColumn="0" showRowStripes="0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3" xr:uid="{03CD445D-C244-4CBF-9853-E3A0EB788332}" name="MemberOfAssemblyAssemblyDistrict143General" displayName="MemberOfAssemblyAssemblyDistrict143General" ref="A2:D11" totalsRowCount="1" headerRowDxfId="125" dataDxfId="123" totalsRowDxfId="121" headerRowBorderDxfId="124" tableBorderDxfId="122" totalsRowBorderDxfId="120">
  <autoFilter ref="A2:D10" xr:uid="{C03B26A6-95F3-4A96-8313-C562B18655CB}">
    <filterColumn colId="0" hiddenButton="1"/>
    <filterColumn colId="1" hiddenButton="1"/>
    <filterColumn colId="2" hiddenButton="1"/>
    <filterColumn colId="3" hiddenButton="1"/>
  </autoFilter>
  <tableColumns count="4">
    <tableColumn id="1" xr3:uid="{A898BC0C-95F7-4F50-9496-5452CA1A79A3}" name="Candidate Name (Party)" totalsRowLabel="Total Votes by County" dataDxfId="119" totalsRowDxfId="118"/>
    <tableColumn id="4" xr3:uid="{9FBA2DAF-9298-485D-8AB3-23D566984E22}" name="Part of Erie County Vote Results" totalsRowFunction="custom" dataDxfId="117" totalsRowDxfId="116">
      <totalsRowFormula>SUM(MemberOfAssemblyAssemblyDistrict143General[Part of Erie County Vote Results])</totalsRowFormula>
    </tableColumn>
    <tableColumn id="3" xr3:uid="{15039F51-6E68-4886-A13D-2564DDDE63A7}" name="Total Votes by Party" totalsRowFunction="custom" dataDxfId="115" totalsRowDxfId="114">
      <calculatedColumnFormula>MemberOfAssemblyAssemblyDistrict143General[[#This Row],[Part of Erie County Vote Results]]</calculatedColumnFormula>
      <totalsRowFormula>SUM(MemberOfAssemblyAssemblyDistrict143General[Total Votes by Party])</totalsRowFormula>
    </tableColumn>
    <tableColumn id="2" xr3:uid="{46167E82-E8FA-4899-A553-334AD792B1A2}" name="Total Votes by Candidate" dataDxfId="113" totalsRowDxfId="112"/>
  </tableColumns>
  <tableStyleInfo name="TableStyleMedium2" showFirstColumn="0" showLastColumn="0" showRowStripes="0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4" xr:uid="{B257A6BA-6C0C-4947-817E-3621D378AA92}" name="MemberOfAssemblyAssemblyDistrict144General" displayName="MemberOfAssemblyAssemblyDistrict144General" ref="A2:F10" totalsRowCount="1" headerRowDxfId="111" dataDxfId="109" totalsRowDxfId="107" headerRowBorderDxfId="110" tableBorderDxfId="108" totalsRowBorderDxfId="106">
  <autoFilter ref="A2:F9" xr:uid="{BCD8B821-45C5-46DC-96B8-D39A5BBBA9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5CBA59B-AD4D-414A-B898-D715D39CC19D}" name="Candidate Name (Party)" totalsRowLabel="Total Votes by County" dataDxfId="105" totalsRowDxfId="104"/>
    <tableColumn id="2" xr3:uid="{D42BC2EA-FBE5-4DD6-9A8E-39D9061549E9}" name="Part of Erie County Vote Results" totalsRowFunction="custom" dataDxfId="103" totalsRowDxfId="102">
      <totalsRowFormula>SUM(MemberOfAssemblyAssemblyDistrict144General[Part of Erie County Vote Results])</totalsRowFormula>
    </tableColumn>
    <tableColumn id="3" xr3:uid="{767C506F-66A0-4E8C-B364-0A684F0DFD3E}" name="Part of Niagara County Vote Results" totalsRowFunction="custom" dataDxfId="101" totalsRowDxfId="100">
      <totalsRowFormula>SUM(MemberOfAssemblyAssemblyDistrict144General[Part of Niagara County Vote Results])</totalsRowFormula>
    </tableColumn>
    <tableColumn id="4" xr3:uid="{55E32D71-CED0-465F-9F22-27353FF8DD9A}" name="Part of Orleans County Vote Results" totalsRowFunction="custom" dataDxfId="99" totalsRowDxfId="98">
      <totalsRowFormula>SUM(MemberOfAssemblyAssemblyDistrict144General[Part of Orleans County Vote Results])</totalsRowFormula>
    </tableColumn>
    <tableColumn id="6" xr3:uid="{29944C8A-FFDD-44C4-8812-F334EA8C338D}" name="Total Votes by Party" totalsRowFunction="custom" dataDxfId="97" totalsRowDxfId="96">
      <calculatedColumnFormula>SUM(MemberOfAssemblyAssemblyDistrict144General[[#This Row],[Part of Erie County Vote Results]:[Part of Orleans County Vote Results]])</calculatedColumnFormula>
      <totalsRowFormula>SUM(MemberOfAssemblyAssemblyDistrict144General[Total Votes by Party])</totalsRowFormula>
    </tableColumn>
    <tableColumn id="5" xr3:uid="{8E5BF253-B4A8-4661-BBDE-93C04FA5C340}" name="Total Votes by Candidate" dataDxfId="95" totalsRowDxfId="94">
      <calculatedColumnFormula>SUM(MemberOfAssemblyAssemblyDistrict144General[[#This Row],[Total Votes by Party]],E4,E5,E6)</calculatedColumnFormula>
    </tableColumn>
  </tableColumns>
  <tableStyleInfo name="TableStyleMedium2" showFirstColumn="0" showLastColumn="0" showRowStripes="0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5" xr:uid="{89DA9A93-1BE4-4045-B6E3-DBA062EA2EB9}" name="MemberOfAssemblyAssemblyDistrict145General" displayName="MemberOfAssemblyAssemblyDistrict145General" ref="A2:E10" totalsRowCount="1" headerRowDxfId="93" dataDxfId="91" totalsRowDxfId="89" headerRowBorderDxfId="92" tableBorderDxfId="90" totalsRowBorderDxfId="88">
  <autoFilter ref="A2:E9" xr:uid="{A66EE74F-5E54-46A9-8547-18F86CDD6A1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172C093-EFCA-4F60-BEBD-379F4D00FF51}" name="Candidate Name (Party)" totalsRowLabel="Total Votes by County" dataDxfId="87" totalsRowDxfId="86"/>
    <tableColumn id="2" xr3:uid="{F53F7B8D-2D2E-4111-876E-F7A50361B5FD}" name="Part of Erie County Vote Results" totalsRowFunction="custom" dataDxfId="85" totalsRowDxfId="84">
      <totalsRowFormula>SUM(MemberOfAssemblyAssemblyDistrict145General[Part of Erie County Vote Results])</totalsRowFormula>
    </tableColumn>
    <tableColumn id="4" xr3:uid="{9D93154A-DC0E-4595-960F-94AEDC4B200B}" name="Part of Niagara County Vote Results" totalsRowFunction="custom" dataDxfId="83" totalsRowDxfId="82">
      <totalsRowFormula>SUM(MemberOfAssemblyAssemblyDistrict145General[Part of Niagara County Vote Results])</totalsRowFormula>
    </tableColumn>
    <tableColumn id="3" xr3:uid="{24FD737A-FF0D-4855-BF62-4B5EFBC0B791}" name="Total Votes by Party" totalsRowFunction="custom" dataDxfId="81" totalsRowDxfId="80">
      <calculatedColumnFormula>SUM(MemberOfAssemblyAssemblyDistrict145General[[#This Row],[Part of Erie County Vote Results]:[Part of Niagara County Vote Results]])</calculatedColumnFormula>
      <totalsRowFormula>SUM(MemberOfAssemblyAssemblyDistrict145General[Total Votes by Party])</totalsRowFormula>
    </tableColumn>
    <tableColumn id="5" xr3:uid="{682C7539-F18C-42FD-8EAB-FE497F9F2EA1}" name="Total Votes by Candidate" dataDxfId="79" totalsRowDxfId="78">
      <calculatedColumnFormula>SUM(MemberOfAssemblyAssemblyDistrict145General[[#This Row],[Total Votes by Party]],D4,D5,D6)</calculatedColumnFormula>
    </tableColumn>
  </tableColumns>
  <tableStyleInfo name="TableStyleMedium2" showFirstColumn="0" showLastColumn="0" showRowStripes="0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6" xr:uid="{44196D81-18EA-4DFF-9DDF-7A40EC1C5F69}" name="MemberOfAssemblyAssemblyDistrict146General" displayName="MemberOfAssemblyAssemblyDistrict146General" ref="A2:E12" totalsRowCount="1" headerRowDxfId="77" dataDxfId="75" totalsRowDxfId="73" headerRowBorderDxfId="76" tableBorderDxfId="74" totalsRowBorderDxfId="72">
  <autoFilter ref="A2:E11" xr:uid="{C8D61D84-BFA2-4A24-BC49-F3AE593B2A7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B1801AB-DA44-4968-B2BC-4E224CD37176}" name="Candidate Name (Party)" totalsRowLabel="Total Votes by County" dataDxfId="71" totalsRowDxfId="70"/>
    <tableColumn id="2" xr3:uid="{7EA06E1F-851B-4FBC-8D58-381F4B47D283}" name="Part of Erie County Vote Results" totalsRowFunction="custom" dataDxfId="69" totalsRowDxfId="68">
      <totalsRowFormula>SUM(MemberOfAssemblyAssemblyDistrict146General[Part of Erie County Vote Results])</totalsRowFormula>
    </tableColumn>
    <tableColumn id="4" xr3:uid="{76FFC977-A68B-4B5F-94CC-F840A25D97FB}" name="Part of Niagara County Vote Results" totalsRowFunction="custom" dataDxfId="67" totalsRowDxfId="66">
      <totalsRowFormula>SUM(MemberOfAssemblyAssemblyDistrict146General[Part of Niagara County Vote Results])</totalsRowFormula>
    </tableColumn>
    <tableColumn id="3" xr3:uid="{9BDE3EF8-1087-418F-B3EC-B6834A162B55}" name="Total Votes by Party" totalsRowFunction="custom" dataDxfId="65" totalsRowDxfId="64">
      <calculatedColumnFormula>SUM(MemberOfAssemblyAssemblyDistrict146General[[#This Row],[Part of Erie County Vote Results]:[Part of Niagara County Vote Results]])</calculatedColumnFormula>
      <totalsRowFormula>SUM(MemberOfAssemblyAssemblyDistrict146General[Total Votes by Party])</totalsRowFormula>
    </tableColumn>
    <tableColumn id="5" xr3:uid="{5D766AEB-54DF-4F02-9275-A7FE0B6D7C2E}" name="Total Votes by Candidate" dataDxfId="63" totalsRowDxfId="62"/>
  </tableColumns>
  <tableStyleInfo name="TableStyleMedium2" showFirstColumn="0" showLastColumn="0" showRowStripes="0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7" xr:uid="{02FD1C17-3D19-4646-8318-D8A3B61DF479}" name="MemberOfAssemblyAssemblyDistrict147General" displayName="MemberOfAssemblyAssemblyDistrict147General" ref="A2:E9" totalsRowCount="1" headerRowDxfId="61" dataDxfId="59" totalsRowDxfId="57" headerRowBorderDxfId="60" tableBorderDxfId="58" totalsRowBorderDxfId="56">
  <autoFilter ref="A2:E8" xr:uid="{700F459E-B1F3-4D93-87B6-499BD5366D3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1D96CBF-3A9B-4A23-A9D4-236C20869EEA}" name="Candidate Name (Party)" totalsRowLabel="Total Votes by County" dataDxfId="55" totalsRowDxfId="54"/>
    <tableColumn id="2" xr3:uid="{E57BB172-5CB8-4A52-8595-BBC824577A64}" name="Wyoming County Vote Results" totalsRowFunction="custom" dataDxfId="53" totalsRowDxfId="52">
      <totalsRowFormula>SUM(MemberOfAssemblyAssemblyDistrict147General[Wyoming County Vote Results])</totalsRowFormula>
    </tableColumn>
    <tableColumn id="4" xr3:uid="{7023B196-A3CB-42CE-91E4-74F24C2DDCCD}" name="Part of Erie County Vote Results" totalsRowFunction="custom" dataDxfId="51" totalsRowDxfId="50">
      <totalsRowFormula>SUM(MemberOfAssemblyAssemblyDistrict147General[Part of Erie County Vote Results])</totalsRowFormula>
    </tableColumn>
    <tableColumn id="3" xr3:uid="{F224C32D-BD3C-4884-A54D-58DCCB79D4D9}" name="Total Votes by Party" totalsRowFunction="custom" dataDxfId="49" totalsRowDxfId="48">
      <calculatedColumnFormula>SUM(MemberOfAssemblyAssemblyDistrict147General[[#This Row],[Wyoming County Vote Results]:[Part of Erie County Vote Results]])</calculatedColumnFormula>
      <totalsRowFormula>SUM(MemberOfAssemblyAssemblyDistrict147General[Total Votes by Party])</totalsRowFormula>
    </tableColumn>
    <tableColumn id="5" xr3:uid="{F772F64C-F4B0-41A3-95A5-F06D4915463D}" name="Total Votes by Candidate" dataDxfId="47" totalsRowDxfId="46">
      <calculatedColumnFormula>SUM(MemberOfAssemblyAssemblyDistrict147General[[#This Row],[Total Votes by Party]],D4,D5)</calculatedColumnFormula>
    </tableColumn>
  </tableColumns>
  <tableStyleInfo name="TableStyleMedium2" showFirstColumn="0" showLastColumn="0" showRowStripes="0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8" xr:uid="{637CB1D3-55F7-4129-BBBE-51FA58F49D04}" name="MemberOfAssemblyAssemblyDistrict148General" displayName="MemberOfAssemblyAssemblyDistrict148General" ref="A2:F10" totalsRowCount="1" headerRowDxfId="45" dataDxfId="43" totalsRowDxfId="41" headerRowBorderDxfId="44" tableBorderDxfId="42" totalsRowBorderDxfId="40">
  <autoFilter ref="A2:F9" xr:uid="{109EE673-C7E3-4410-8873-249BAC310E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59E463E-3EB0-4B5A-895E-EA5932174343}" name="Candidate Name (Party)" totalsRowLabel="Total Votes by County" dataDxfId="39" totalsRowDxfId="38"/>
    <tableColumn id="2" xr3:uid="{1F462CB7-5EFD-41A8-8286-E818D792F4C1}" name="Allegany County Vote Results" totalsRowFunction="custom" dataDxfId="37" totalsRowDxfId="36">
      <totalsRowFormula>SUM(MemberOfAssemblyAssemblyDistrict148General[Allegany County Vote Results])</totalsRowFormula>
    </tableColumn>
    <tableColumn id="3" xr3:uid="{CFEAF08C-3CB6-4498-952F-B06A0448A2C0}" name="Cattaraugus County Vote Results" totalsRowFunction="custom" dataDxfId="35" totalsRowDxfId="34">
      <totalsRowFormula>SUM(MemberOfAssemblyAssemblyDistrict148General[Cattaraugus County Vote Results])</totalsRowFormula>
    </tableColumn>
    <tableColumn id="4" xr3:uid="{766BF0B2-2781-46DC-89C5-B4EF7605DDD6}" name="Part of Steuben County Vote Results" totalsRowFunction="custom" dataDxfId="33" totalsRowDxfId="32">
      <totalsRowFormula>SUM(MemberOfAssemblyAssemblyDistrict148General[Part of Steuben County Vote Results])</totalsRowFormula>
    </tableColumn>
    <tableColumn id="6" xr3:uid="{FA4525E6-A8CB-4E80-BA3B-9FCEB4C89775}" name="Total Votes by Party" totalsRowFunction="custom" dataDxfId="31" totalsRowDxfId="30">
      <calculatedColumnFormula>SUM(MemberOfAssemblyAssemblyDistrict148General[[#This Row],[Allegany County Vote Results]:[Part of Steuben County Vote Results]])</calculatedColumnFormula>
      <totalsRowFormula>SUM(MemberOfAssemblyAssemblyDistrict148General[Total Votes by Party])</totalsRowFormula>
    </tableColumn>
    <tableColumn id="5" xr3:uid="{E9754E11-27BA-4D16-AD1E-3BD8F034103A}" name="Total Votes by Candidate" dataDxfId="29" totalsRowDxfId="28"/>
  </tableColumns>
  <tableStyleInfo name="TableStyleMedium2" showFirstColumn="0" showLastColumn="0" showRowStripes="0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9" xr:uid="{62569146-24D4-4757-B4F0-6F0E1C96E06D}" name="MemberOfAssemblyAssemblyDistrict149General" displayName="MemberOfAssemblyAssemblyDistrict149General" ref="A2:D10" totalsRowCount="1" headerRowDxfId="27" dataDxfId="25" totalsRowDxfId="23" headerRowBorderDxfId="26" tableBorderDxfId="24" totalsRowBorderDxfId="22">
  <autoFilter ref="A2:D9" xr:uid="{71A37BCA-A655-47C9-A6F3-9AB9E1E6762B}">
    <filterColumn colId="0" hiddenButton="1"/>
    <filterColumn colId="1" hiddenButton="1"/>
    <filterColumn colId="2" hiddenButton="1"/>
    <filterColumn colId="3" hiddenButton="1"/>
  </autoFilter>
  <tableColumns count="4">
    <tableColumn id="1" xr3:uid="{D7F852BF-BF00-4833-8921-A46EA3815500}" name="Candidate Name (Party)" totalsRowLabel="Total Votes by County" dataDxfId="21" totalsRowDxfId="20"/>
    <tableColumn id="4" xr3:uid="{8B7E9334-70A9-4DEC-A1EA-8D57394744B9}" name="Part of Erie County Vote Results" totalsRowFunction="custom" dataDxfId="19" totalsRowDxfId="18">
      <totalsRowFormula>SUM(MemberOfAssemblyAssemblyDistrict149General[Part of Erie County Vote Results])</totalsRowFormula>
    </tableColumn>
    <tableColumn id="3" xr3:uid="{D9E67530-6BAE-4766-9E70-F912C4D6B44D}" name="Total Votes by Party" totalsRowFunction="custom" dataDxfId="17" totalsRowDxfId="16">
      <calculatedColumnFormula>MemberOfAssemblyAssemblyDistrict149General[[#This Row],[Part of Erie County Vote Results]]</calculatedColumnFormula>
      <totalsRowFormula>SUM(MemberOfAssemblyAssemblyDistrict149General[Total Votes by Party])</totalsRowFormula>
    </tableColumn>
    <tableColumn id="2" xr3:uid="{CB6880F9-8994-4850-A8C9-3C1F1DE3E1DC}" name="Total Votes by Candidate" dataDxfId="15" totalsRowDxfId="1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8C70EA73-A290-4B03-87D8-F1C0B391D033}" name="MemberOfAssemblyAssemblyDistrict15General" displayName="MemberOfAssemblyAssemblyDistrict15General" ref="A2:D12" totalsRowCount="1" headerRowDxfId="2036" dataDxfId="2034" totalsRowDxfId="2032" headerRowBorderDxfId="2035" tableBorderDxfId="2033" totalsRowBorderDxfId="2031">
  <autoFilter ref="A2:D11" xr:uid="{A06901D1-7C83-4F71-944B-794F9C28D23B}">
    <filterColumn colId="0" hiddenButton="1"/>
    <filterColumn colId="1" hiddenButton="1"/>
    <filterColumn colId="2" hiddenButton="1"/>
    <filterColumn colId="3" hiddenButton="1"/>
  </autoFilter>
  <tableColumns count="4">
    <tableColumn id="1" xr3:uid="{E31EE61C-69DF-4165-A6EE-014F425F0454}" name="Candidate Name (Party)" totalsRowLabel="Total Votes by County" dataDxfId="2030" totalsRowDxfId="2029"/>
    <tableColumn id="4" xr3:uid="{A354BF5A-7E29-4CD3-A5C5-227B5461CD5C}" name="Part of Nassau County Vote Results" totalsRowFunction="custom" dataDxfId="2028" totalsRowDxfId="2027">
      <totalsRowFormula>SUM(MemberOfAssemblyAssemblyDistrict15General[Part of Nassau County Vote Results])</totalsRowFormula>
    </tableColumn>
    <tableColumn id="3" xr3:uid="{94BBD389-CA3B-4958-91A0-AEE8870740FB}" name="Total Votes by Party" totalsRowFunction="custom" dataDxfId="2026" totalsRowDxfId="2025">
      <calculatedColumnFormula>MemberOfAssemblyAssemblyDistrict15General[[#This Row],[Part of Nassau County Vote Results]]</calculatedColumnFormula>
      <totalsRowFormula>SUM(MemberOfAssemblyAssemblyDistrict15General[Total Votes by Party])</totalsRowFormula>
    </tableColumn>
    <tableColumn id="2" xr3:uid="{5B794F3E-467C-47CE-9E22-49EBE17FCE1C}" name="Total Votes by Candidate" dataDxfId="2024" totalsRowDxfId="2023"/>
  </tableColumns>
  <tableStyleInfo name="TableStyleMedium2" showFirstColumn="0" showLastColumn="0" showRowStripes="0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0" xr:uid="{9AD81EAA-0852-4C9D-A213-A3337C7C8639}" name="MemberOfAssemblyAssemblyDistrict150General" displayName="MemberOfAssemblyAssemblyDistrict150General" ref="A2:D10" totalsRowCount="1" headerRowDxfId="13" dataDxfId="11" totalsRowDxfId="9" headerRowBorderDxfId="12" tableBorderDxfId="10" totalsRowBorderDxfId="8">
  <autoFilter ref="A2:D9" xr:uid="{698FF0D6-BCBF-46BF-9E31-61A5248EE9A7}">
    <filterColumn colId="0" hiddenButton="1"/>
    <filterColumn colId="1" hiddenButton="1"/>
    <filterColumn colId="2" hiddenButton="1"/>
    <filterColumn colId="3" hiddenButton="1"/>
  </autoFilter>
  <tableColumns count="4">
    <tableColumn id="1" xr3:uid="{05EF7908-D968-4C96-B8CF-577D75B99435}" name="Candidate Name (Party)" totalsRowLabel="Total Votes by County" dataDxfId="7" totalsRowDxfId="6"/>
    <tableColumn id="4" xr3:uid="{38A7B479-020B-485C-95FB-1AADB8F27DBF}" name="Chautauqua County Vote Results" totalsRowFunction="custom" dataDxfId="5" totalsRowDxfId="4">
      <totalsRowFormula>SUM(MemberOfAssemblyAssemblyDistrict150General[Chautauqua County Vote Results])</totalsRowFormula>
    </tableColumn>
    <tableColumn id="3" xr3:uid="{F7BD2259-198E-4395-B1AC-6248FB7E751E}" name="Total Votes by Party" totalsRowFunction="custom" dataDxfId="3" totalsRowDxfId="2">
      <calculatedColumnFormula>MemberOfAssemblyAssemblyDistrict150General[[#This Row],[Chautauqua County Vote Results]]</calculatedColumnFormula>
      <totalsRowFormula>SUM(MemberOfAssemblyAssemblyDistrict150General[Total Votes by Party])</totalsRowFormula>
    </tableColumn>
    <tableColumn id="2" xr3:uid="{80C89B38-F767-46F1-8EDC-3943DB10EACF}" name="Total Votes by Candidate" dataDxfId="1" totalsRowDxfId="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5E015C0A-5771-4B66-8D35-9E2EFAA8BA88}" name="MemberOfAssemblyAssemblyDistrict16General" displayName="MemberOfAssemblyAssemblyDistrict16General" ref="A2:D12" totalsRowCount="1" headerRowDxfId="2022" dataDxfId="2020" totalsRowDxfId="2018" headerRowBorderDxfId="2021" tableBorderDxfId="2019" totalsRowBorderDxfId="2017">
  <autoFilter ref="A2:D11" xr:uid="{A1BDE8E9-32DC-4AB6-897F-9046979414CB}">
    <filterColumn colId="0" hiddenButton="1"/>
    <filterColumn colId="1" hiddenButton="1"/>
    <filterColumn colId="2" hiddenButton="1"/>
    <filterColumn colId="3" hiddenButton="1"/>
  </autoFilter>
  <tableColumns count="4">
    <tableColumn id="1" xr3:uid="{0B878DE8-5962-4117-84E9-20891B3C057B}" name="Candidate Name (Party)" totalsRowLabel="Total Votes by County" dataDxfId="2016" totalsRowDxfId="2015"/>
    <tableColumn id="4" xr3:uid="{E33DAEE7-3D86-41F0-AD3E-55A997C31C5B}" name="Part of Nassau County Vote Results" totalsRowFunction="custom" dataDxfId="2014" totalsRowDxfId="2013">
      <totalsRowFormula>SUM(MemberOfAssemblyAssemblyDistrict16General[Part of Nassau County Vote Results])</totalsRowFormula>
    </tableColumn>
    <tableColumn id="3" xr3:uid="{2F1F41D6-924C-4A2A-AA46-83F6D7DAA6D8}" name="Total Votes by Party" totalsRowFunction="custom" dataDxfId="2012" totalsRowDxfId="2011">
      <calculatedColumnFormula>MemberOfAssemblyAssemblyDistrict16General[[#This Row],[Part of Nassau County Vote Results]]</calculatedColumnFormula>
      <totalsRowFormula>SUM(MemberOfAssemblyAssemblyDistrict16General[Total Votes by Party])</totalsRowFormula>
    </tableColumn>
    <tableColumn id="2" xr3:uid="{066A5C5D-41E1-4081-A2CE-0974393CC033}" name="Total Votes by Candidate" dataDxfId="2010" totalsRowDxfId="2009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B06714B7-04BD-4F46-A3FA-194BE9DE93EE}" name="MemberOfAssemblyAssemblyDistrict17General" displayName="MemberOfAssemblyAssemblyDistrict17General" ref="A2:D10" totalsRowCount="1" headerRowDxfId="2008" dataDxfId="2006" totalsRowDxfId="2004" headerRowBorderDxfId="2007" tableBorderDxfId="2005" totalsRowBorderDxfId="2003">
  <autoFilter ref="A2:D9" xr:uid="{B9463230-8AA1-4C9F-90C7-CC677E7A2CDF}">
    <filterColumn colId="0" hiddenButton="1"/>
    <filterColumn colId="1" hiddenButton="1"/>
    <filterColumn colId="2" hiddenButton="1"/>
    <filterColumn colId="3" hiddenButton="1"/>
  </autoFilter>
  <tableColumns count="4">
    <tableColumn id="1" xr3:uid="{62DE36C4-7C69-4D9B-8E52-9F31B96D5476}" name="Candidate Name (Party)" totalsRowLabel="Total Votes by County" dataDxfId="2002" totalsRowDxfId="2001"/>
    <tableColumn id="4" xr3:uid="{64F519D5-9EFA-4B46-8C51-F409D2D9DE44}" name="Part of Nassau County Vote Results" totalsRowFunction="custom" dataDxfId="2000" totalsRowDxfId="1999">
      <totalsRowFormula>SUM(MemberOfAssemblyAssemblyDistrict17General[Part of Nassau County Vote Results])</totalsRowFormula>
    </tableColumn>
    <tableColumn id="3" xr3:uid="{7FFB356F-F807-4126-88F0-B02CB2015714}" name="Total Votes by Party" totalsRowFunction="custom" dataDxfId="1998" totalsRowDxfId="1997">
      <calculatedColumnFormula>MemberOfAssemblyAssemblyDistrict17General[[#This Row],[Part of Nassau County Vote Results]]</calculatedColumnFormula>
      <totalsRowFormula>SUM(MemberOfAssemblyAssemblyDistrict17General[Total Votes by Party])</totalsRowFormula>
    </tableColumn>
    <tableColumn id="2" xr3:uid="{65C67CC2-7448-46F2-A855-FF78ABD31A3A}" name="Total Votes by Candidate" dataDxfId="1996" totalsRowDxfId="1995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6A7F11FB-A973-426B-AE7B-2316A13B753E}" name="MemberOfAssemblyAssemblyDistrict18General" displayName="MemberOfAssemblyAssemblyDistrict18General" ref="A2:D9" totalsRowCount="1" headerRowDxfId="1994" dataDxfId="1992" totalsRowDxfId="1990" headerRowBorderDxfId="1993" tableBorderDxfId="1991" totalsRowBorderDxfId="1989">
  <autoFilter ref="A2:D8" xr:uid="{18BCF7A2-404D-4805-B098-E81F30740016}">
    <filterColumn colId="0" hiddenButton="1"/>
    <filterColumn colId="1" hiddenButton="1"/>
    <filterColumn colId="2" hiddenButton="1"/>
    <filterColumn colId="3" hiddenButton="1"/>
  </autoFilter>
  <tableColumns count="4">
    <tableColumn id="1" xr3:uid="{1E9C6518-2249-497C-A21D-315723C9C750}" name="Candidate Name (Party)" totalsRowLabel="Total Votes by County" dataDxfId="1988" totalsRowDxfId="1987"/>
    <tableColumn id="4" xr3:uid="{38B9239F-84F0-4DB8-9715-BD8071904A0A}" name="Part of Nassau County Vote Results" totalsRowFunction="custom" dataDxfId="1986" totalsRowDxfId="1985">
      <totalsRowFormula>SUM(MemberOfAssemblyAssemblyDistrict18General[Part of Nassau County Vote Results])</totalsRowFormula>
    </tableColumn>
    <tableColumn id="3" xr3:uid="{97470B95-03DE-4156-B3BE-99657509A898}" name="Total Votes by Party" totalsRowFunction="custom" dataDxfId="1984" totalsRowDxfId="1983">
      <calculatedColumnFormula>MemberOfAssemblyAssemblyDistrict18General[[#This Row],[Part of Nassau County Vote Results]]</calculatedColumnFormula>
      <totalsRowFormula>SUM(MemberOfAssemblyAssemblyDistrict18General[Total Votes by Party])</totalsRowFormula>
    </tableColumn>
    <tableColumn id="2" xr3:uid="{13B35B59-04F7-42A4-A449-DAFEE7F00436}" name="Total Votes by Candidate" dataDxfId="1982" totalsRowDxfId="198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9B38BAED-43B2-4EF3-BCF0-F68BF0B743D3}" name="MemberOfAssemblyAssemblyDistrict19General" displayName="MemberOfAssemblyAssemblyDistrict19General" ref="A2:D11" totalsRowCount="1" headerRowDxfId="1980" dataDxfId="1978" totalsRowDxfId="1976" headerRowBorderDxfId="1979" tableBorderDxfId="1977" totalsRowBorderDxfId="1975">
  <autoFilter ref="A2:D10" xr:uid="{BF048453-C74C-4C32-858A-EAAFB448E338}">
    <filterColumn colId="0" hiddenButton="1"/>
    <filterColumn colId="1" hiddenButton="1"/>
    <filterColumn colId="2" hiddenButton="1"/>
    <filterColumn colId="3" hiddenButton="1"/>
  </autoFilter>
  <tableColumns count="4">
    <tableColumn id="1" xr3:uid="{C7BC4D14-B847-43BA-9DE0-22033CA28EA0}" name="Candidate Name (Party)" totalsRowLabel="Total Votes by County" dataDxfId="1974" totalsRowDxfId="1973"/>
    <tableColumn id="4" xr3:uid="{829C3D21-2D8C-484B-94A7-9115049164E6}" name="Part of Nassau County Vote Results" totalsRowFunction="custom" dataDxfId="1972" totalsRowDxfId="1971">
      <totalsRowFormula>SUM(MemberOfAssemblyAssemblyDistrict19General[Part of Nassau County Vote Results])</totalsRowFormula>
    </tableColumn>
    <tableColumn id="3" xr3:uid="{0E3F3C14-30DD-406C-831E-E1F9972FEA4B}" name="Total Votes by Party" totalsRowFunction="custom" dataDxfId="1970" totalsRowDxfId="1969">
      <calculatedColumnFormula>MemberOfAssemblyAssemblyDistrict19General[[#This Row],[Part of Nassau County Vote Results]]</calculatedColumnFormula>
      <totalsRowFormula>SUM(MemberOfAssemblyAssemblyDistrict19General[Total Votes by Party])</totalsRowFormula>
    </tableColumn>
    <tableColumn id="2" xr3:uid="{A0B59844-06B0-41B4-90D3-2614429A4613}" name="Total Votes by Candidate" dataDxfId="1968" totalsRowDxfId="196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0210D5A-5853-490E-AF2B-5427E7888389}" name="MemberOfAssemblyAssemblyDistrict2General" displayName="MemberOfAssemblyAssemblyDistrict2General" ref="A2:D12" totalsRowCount="1" headerRowDxfId="2220" dataDxfId="2218" totalsRowDxfId="2216" headerRowBorderDxfId="2219" tableBorderDxfId="2217" totalsRowBorderDxfId="2215">
  <autoFilter ref="A2:D11" xr:uid="{696B2B78-2511-4454-AD1C-99DC5E7F3A65}">
    <filterColumn colId="0" hiddenButton="1"/>
    <filterColumn colId="1" hiddenButton="1"/>
    <filterColumn colId="2" hiddenButton="1"/>
    <filterColumn colId="3" hiddenButton="1"/>
  </autoFilter>
  <tableColumns count="4">
    <tableColumn id="1" xr3:uid="{334E0B5C-9230-4192-AB5A-9FAED6A48991}" name="Candidate Name (Party)" totalsRowLabel="Total Votes by County" dataDxfId="2214" totalsRowDxfId="2213"/>
    <tableColumn id="4" xr3:uid="{82417E4F-02D0-470D-BA66-CBAF79C09AFA}" name="Part of Suffolk County Vote Results" totalsRowFunction="custom" dataDxfId="2212" totalsRowDxfId="2211">
      <totalsRowFormula>SUM(MemberOfAssemblyAssemblyDistrict2General[Part of Suffolk County Vote Results])</totalsRowFormula>
    </tableColumn>
    <tableColumn id="3" xr3:uid="{160F3609-1B83-4E6E-9F25-72EB1B752B80}" name="Total Votes by Party" totalsRowFunction="custom" dataDxfId="2210" totalsRowDxfId="2209">
      <calculatedColumnFormula>MemberOfAssemblyAssemblyDistrict2General[[#This Row],[Part of Suffolk County Vote Results]]</calculatedColumnFormula>
      <totalsRowFormula>SUM(MemberOfAssemblyAssemblyDistrict2General[Total Votes by Party])</totalsRowFormula>
    </tableColumn>
    <tableColumn id="2" xr3:uid="{529010D8-6447-4B52-9AA6-108F49B48584}" name="Total Votes by Candidate" dataDxfId="2208" totalsRowDxfId="2207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3570CC4D-10EA-42FB-AAD9-398667275014}" name="MemberOfAssemblyAssemblyDistrict20General" displayName="MemberOfAssemblyAssemblyDistrict20General" ref="A2:D11" totalsRowCount="1" headerRowDxfId="1966" dataDxfId="1964" totalsRowDxfId="1962" headerRowBorderDxfId="1965" tableBorderDxfId="1963" totalsRowBorderDxfId="1961">
  <autoFilter ref="A2:D10" xr:uid="{25DDD440-A88F-479B-BD3F-C74273BAF0E3}">
    <filterColumn colId="0" hiddenButton="1"/>
    <filterColumn colId="1" hiddenButton="1"/>
    <filterColumn colId="2" hiddenButton="1"/>
    <filterColumn colId="3" hiddenButton="1"/>
  </autoFilter>
  <tableColumns count="4">
    <tableColumn id="1" xr3:uid="{888F2E3E-7B6B-433B-A828-FBFCA379F373}" name="Candidate Name (Party)" totalsRowLabel="Total Votes by County" dataDxfId="1960" totalsRowDxfId="1959"/>
    <tableColumn id="4" xr3:uid="{54CB3553-FBC6-4D2C-87A3-2F643FAC5099}" name="Part of Nassau County Vote Results" totalsRowFunction="custom" dataDxfId="1958" totalsRowDxfId="1957">
      <totalsRowFormula>SUM(MemberOfAssemblyAssemblyDistrict20General[Part of Nassau County Vote Results])</totalsRowFormula>
    </tableColumn>
    <tableColumn id="3" xr3:uid="{BC9FFF4E-B75E-4F61-A70D-7DE829D6271F}" name="Total Votes by Party" totalsRowFunction="custom" dataDxfId="1956" totalsRowDxfId="1955">
      <calculatedColumnFormula>MemberOfAssemblyAssemblyDistrict20General[[#This Row],[Part of Nassau County Vote Results]]</calculatedColumnFormula>
      <totalsRowFormula>SUM(MemberOfAssemblyAssemblyDistrict20General[Total Votes by Party])</totalsRowFormula>
    </tableColumn>
    <tableColumn id="2" xr3:uid="{5129E1C4-F0B0-4C00-AB1C-0DBFF91AAF56}" name="Total Votes by Candidate" dataDxfId="1954" totalsRowDxfId="1953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36232378-F62E-415E-81B5-A6D8EFB726A5}" name="MemberOfAssemblyAssemblyDistrict21General" displayName="MemberOfAssemblyAssemblyDistrict21General" ref="A2:D10" totalsRowCount="1" headerRowDxfId="1952" dataDxfId="1950" totalsRowDxfId="1948" headerRowBorderDxfId="1951" tableBorderDxfId="1949" totalsRowBorderDxfId="1947">
  <autoFilter ref="A2:D9" xr:uid="{3A7AD638-8A51-404C-84D4-F61B36DA1329}">
    <filterColumn colId="0" hiddenButton="1"/>
    <filterColumn colId="1" hiddenButton="1"/>
    <filterColumn colId="2" hiddenButton="1"/>
    <filterColumn colId="3" hiddenButton="1"/>
  </autoFilter>
  <tableColumns count="4">
    <tableColumn id="1" xr3:uid="{7E02023B-94DD-4E5A-9123-FFD064167D67}" name="Candidate Name (Party)" totalsRowLabel="Total Votes by County" dataDxfId="1946" totalsRowDxfId="1945"/>
    <tableColumn id="4" xr3:uid="{5A0D87E6-2076-471D-89F0-A8930920489A}" name="Part of Nassau County Vote Results" totalsRowFunction="custom" dataDxfId="1944" totalsRowDxfId="1943">
      <totalsRowFormula>SUM(MemberOfAssemblyAssemblyDistrict21General[Part of Nassau County Vote Results])</totalsRowFormula>
    </tableColumn>
    <tableColumn id="3" xr3:uid="{23CCD1DD-A240-4A82-9E2E-3A89F9302E50}" name="Total Votes by Party" totalsRowFunction="custom" dataDxfId="1942" totalsRowDxfId="1941">
      <calculatedColumnFormula>MemberOfAssemblyAssemblyDistrict21General[[#This Row],[Part of Nassau County Vote Results]]</calculatedColumnFormula>
      <totalsRowFormula>SUM(MemberOfAssemblyAssemblyDistrict21General[Total Votes by Party])</totalsRowFormula>
    </tableColumn>
    <tableColumn id="2" xr3:uid="{441AD0C9-B92F-4BB4-877C-D5DCE4FCA438}" name="Total Votes by Candidate" dataDxfId="1940" totalsRowDxfId="1939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7E77924F-1740-4379-B46C-1D70C59108C3}" name="MemberOfAssemblyAssemblyDistrict22General" displayName="MemberOfAssemblyAssemblyDistrict22General" ref="A2:D11" totalsRowCount="1" headerRowDxfId="1938" dataDxfId="1936" totalsRowDxfId="1934" headerRowBorderDxfId="1937" tableBorderDxfId="1935" totalsRowBorderDxfId="1933">
  <autoFilter ref="A2:D10" xr:uid="{7C034EBD-E807-4663-97C7-8205AE4A509B}">
    <filterColumn colId="0" hiddenButton="1"/>
    <filterColumn colId="1" hiddenButton="1"/>
    <filterColumn colId="2" hiddenButton="1"/>
    <filterColumn colId="3" hiddenButton="1"/>
  </autoFilter>
  <tableColumns count="4">
    <tableColumn id="1" xr3:uid="{B4F31333-A6ED-4476-A695-088C5EC00B56}" name="Candidate Name (Party)" totalsRowLabel="Total Votes by County" dataDxfId="1932" totalsRowDxfId="1931"/>
    <tableColumn id="4" xr3:uid="{BE52F4D6-CD57-458F-8430-C7D04B218C2A}" name="Part of Nassau County Vote Results" totalsRowFunction="custom" dataDxfId="1930" totalsRowDxfId="1929">
      <totalsRowFormula>SUM(MemberOfAssemblyAssemblyDistrict22General[Part of Nassau County Vote Results])</totalsRowFormula>
    </tableColumn>
    <tableColumn id="3" xr3:uid="{B154457C-03F8-4266-AEDD-E6DBD52235F4}" name="Total Votes by Party" totalsRowFunction="custom" dataDxfId="1928" totalsRowDxfId="1927">
      <calculatedColumnFormula>MemberOfAssemblyAssemblyDistrict22General[[#This Row],[Part of Nassau County Vote Results]]</calculatedColumnFormula>
      <totalsRowFormula>SUM(MemberOfAssemblyAssemblyDistrict22General[Total Votes by Party])</totalsRowFormula>
    </tableColumn>
    <tableColumn id="2" xr3:uid="{17BB118F-31A5-4783-B274-5376A570F3CD}" name="Total Votes by Candidate" dataDxfId="1926" totalsRowDxfId="192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47189042-B921-4B9A-B8AF-78E6109419BF}" name="MemberOfAssemblyAssemblyDistrict23General" displayName="MemberOfAssemblyAssemblyDistrict23General" ref="A2:D10" totalsRowCount="1" headerRowDxfId="1924" dataDxfId="1922" totalsRowDxfId="1920" headerRowBorderDxfId="1923" tableBorderDxfId="1921" totalsRowBorderDxfId="1919">
  <autoFilter ref="A2:D9" xr:uid="{679E52F4-40D4-4BED-AB89-6BDD478E0150}">
    <filterColumn colId="0" hiddenButton="1"/>
    <filterColumn colId="1" hiddenButton="1"/>
    <filterColumn colId="2" hiddenButton="1"/>
    <filterColumn colId="3" hiddenButton="1"/>
  </autoFilter>
  <tableColumns count="4">
    <tableColumn id="1" xr3:uid="{EEA52CA8-5569-4BA9-B4AB-A41BD76EE9EF}" name="Candidate Name (Party)" totalsRowLabel="Total Votes by County" dataDxfId="1918" totalsRowDxfId="1917"/>
    <tableColumn id="4" xr3:uid="{C202AFF2-410D-4071-8101-4AF6F82826E3}" name="Part of Queens County Vote Results" totalsRowFunction="custom" dataDxfId="1916" totalsRowDxfId="1915">
      <totalsRowFormula>SUM(MemberOfAssemblyAssemblyDistrict23General[Part of Queens County Vote Results])</totalsRowFormula>
    </tableColumn>
    <tableColumn id="3" xr3:uid="{8289E39E-719D-4904-AC40-7453F429D929}" name="Total Votes by Party" totalsRowFunction="custom" dataDxfId="1914" totalsRowDxfId="1913">
      <calculatedColumnFormula>MemberOfAssemblyAssemblyDistrict23General[[#This Row],[Part of Queens County Vote Results]]</calculatedColumnFormula>
      <totalsRowFormula>SUM(MemberOfAssemblyAssemblyDistrict23General[Total Votes by Party])</totalsRowFormula>
    </tableColumn>
    <tableColumn id="2" xr3:uid="{6B853B60-F6CD-4811-AC60-2AF3D961D1FD}" name="Total Votes by Candidate" dataDxfId="1912" totalsRowDxfId="191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57D469AB-D378-43C1-A2A8-EFA85B18FF4D}" name="MemberOfAssemblyAssemblyDistrict24General" displayName="MemberOfAssemblyAssemblyDistrict24General" ref="A2:D7" totalsRowCount="1" headerRowDxfId="1910" dataDxfId="1908" totalsRowDxfId="1906" headerRowBorderDxfId="1909" tableBorderDxfId="1907" totalsRowBorderDxfId="1905">
  <autoFilter ref="A2:D6" xr:uid="{E5428B72-0FEF-4A9C-B5B3-DCA320CD638B}">
    <filterColumn colId="0" hiddenButton="1"/>
    <filterColumn colId="1" hiddenButton="1"/>
    <filterColumn colId="2" hiddenButton="1"/>
    <filterColumn colId="3" hiddenButton="1"/>
  </autoFilter>
  <tableColumns count="4">
    <tableColumn id="1" xr3:uid="{7559C222-E260-4A57-A4D5-EA51981F0201}" name="Candidate Name (Party)" totalsRowLabel="Total Votes by County" dataDxfId="1904" totalsRowDxfId="1903"/>
    <tableColumn id="4" xr3:uid="{41B87276-B046-482F-BE72-EEBACEDA7470}" name="Part of Queens County Vote Results" totalsRowFunction="custom" dataDxfId="1902" totalsRowDxfId="1901">
      <totalsRowFormula>SUM(MemberOfAssemblyAssemblyDistrict24General[Part of Queens County Vote Results])</totalsRowFormula>
    </tableColumn>
    <tableColumn id="3" xr3:uid="{40A48B83-D637-4D87-A39D-B0929B23E9FD}" name="Total Votes by Party" totalsRowFunction="custom" dataDxfId="1900" totalsRowDxfId="1899">
      <calculatedColumnFormula>MemberOfAssemblyAssemblyDistrict24General[[#This Row],[Part of Queens County Vote Results]]</calculatedColumnFormula>
      <totalsRowFormula>SUM(MemberOfAssemblyAssemblyDistrict24General[Total Votes by Party])</totalsRowFormula>
    </tableColumn>
    <tableColumn id="2" xr3:uid="{450B9C50-8F7B-4AC1-9344-C875DF4AEEFA}" name="Total Votes by Candidate" dataDxfId="1898" totalsRowDxfId="1897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A7589472-F8DB-4C88-9A6D-97AB21CD06C4}" name="MemberOfAssemblyAssemblyDistrict25General" displayName="MemberOfAssemblyAssemblyDistrict25General" ref="A2:D8" totalsRowCount="1" headerRowDxfId="1896" dataDxfId="1894" totalsRowDxfId="1892" headerRowBorderDxfId="1895" tableBorderDxfId="1893" totalsRowBorderDxfId="1891">
  <autoFilter ref="A2:D7" xr:uid="{85D3B8C6-1152-498E-B5B7-A6648B0AEC07}">
    <filterColumn colId="0" hiddenButton="1"/>
    <filterColumn colId="1" hiddenButton="1"/>
    <filterColumn colId="2" hiddenButton="1"/>
    <filterColumn colId="3" hiddenButton="1"/>
  </autoFilter>
  <tableColumns count="4">
    <tableColumn id="1" xr3:uid="{B16D1ADB-903A-4E03-A743-4C198CB1AFBC}" name="Candidate Name (Party)" totalsRowLabel="Total Votes by County" dataDxfId="1890" totalsRowDxfId="1889"/>
    <tableColumn id="4" xr3:uid="{20C31316-088A-456F-9739-6AEA97886ED6}" name="Part of Queens County Vote Results" totalsRowFunction="custom" dataDxfId="1888" totalsRowDxfId="1887">
      <totalsRowFormula>SUM(MemberOfAssemblyAssemblyDistrict25General[Part of Queens County Vote Results])</totalsRowFormula>
    </tableColumn>
    <tableColumn id="3" xr3:uid="{C0A748FC-7D95-4DFC-AF7B-EBDAE5252127}" name="Total Votes by Party" totalsRowFunction="custom" dataDxfId="1886" totalsRowDxfId="1885">
      <calculatedColumnFormula>MemberOfAssemblyAssemblyDistrict25General[[#This Row],[Part of Queens County Vote Results]]</calculatedColumnFormula>
      <totalsRowFormula>SUM(MemberOfAssemblyAssemblyDistrict25General[Total Votes by Party])</totalsRowFormula>
    </tableColumn>
    <tableColumn id="2" xr3:uid="{7B389132-4197-444D-9B07-7D112F4D78D2}" name="Total Votes by Candidate" dataDxfId="1884" totalsRowDxfId="1883">
      <calculatedColumnFormula>SUM(MemberOfAssemblyAssemblyDistrict25General[[#This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A30ED3CA-9B00-4581-B9A8-FA7D4373A94B}" name="MemberOfAssemblyAssemblyDistrict26General" displayName="MemberOfAssemblyAssemblyDistrict26General" ref="A2:D10" totalsRowCount="1" headerRowDxfId="1882" dataDxfId="1880" totalsRowDxfId="1878" headerRowBorderDxfId="1881" tableBorderDxfId="1879" totalsRowBorderDxfId="1877">
  <autoFilter ref="A2:D9" xr:uid="{8114F151-BBFC-49B5-85E4-D0EA6C816C75}">
    <filterColumn colId="0" hiddenButton="1"/>
    <filterColumn colId="1" hiddenButton="1"/>
    <filterColumn colId="2" hiddenButton="1"/>
    <filterColumn colId="3" hiddenButton="1"/>
  </autoFilter>
  <tableColumns count="4">
    <tableColumn id="1" xr3:uid="{2F6D82B0-B91D-4B60-B320-35FA8E8A1D83}" name="Candidate Name (Party)" totalsRowLabel="Total Votes by County" dataDxfId="1876" totalsRowDxfId="1875"/>
    <tableColumn id="4" xr3:uid="{F678D9C8-0DE5-44F4-B365-3D8611B7A94A}" name="Part of Queens County Vote Results" totalsRowFunction="custom" dataDxfId="1874" totalsRowDxfId="1873">
      <totalsRowFormula>SUM(MemberOfAssemblyAssemblyDistrict26General[Part of Queens County Vote Results])</totalsRowFormula>
    </tableColumn>
    <tableColumn id="3" xr3:uid="{23BF9C2C-856E-4FAE-B08A-81E671A58464}" name="Total Votes by Party" totalsRowFunction="custom" dataDxfId="1872" totalsRowDxfId="1871">
      <calculatedColumnFormula>MemberOfAssemblyAssemblyDistrict26General[[#This Row],[Part of Queens County Vote Results]]</calculatedColumnFormula>
      <totalsRowFormula>SUM(MemberOfAssemblyAssemblyDistrict26General[Total Votes by Party])</totalsRowFormula>
    </tableColumn>
    <tableColumn id="2" xr3:uid="{9451F2D4-492C-46E8-BF85-078E78359310}" name="Total Votes by Candidate" dataDxfId="1870" totalsRowDxfId="1869"/>
  </tableColumns>
  <tableStyleInfo name="TableStyleMedium2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DB38729D-1196-4F2B-AF6E-20839A6D5EB4}" name="MemberOfAssemblyAssemblyDistrict27General" displayName="MemberOfAssemblyAssemblyDistrict27General" ref="A2:D7" totalsRowCount="1" headerRowDxfId="1868" dataDxfId="1866" totalsRowDxfId="1864" headerRowBorderDxfId="1867" tableBorderDxfId="1865" totalsRowBorderDxfId="1863">
  <autoFilter ref="A2:D6" xr:uid="{315C5E36-9C8F-4DAF-86E8-385D78480754}">
    <filterColumn colId="0" hiddenButton="1"/>
    <filterColumn colId="1" hiddenButton="1"/>
    <filterColumn colId="2" hiddenButton="1"/>
    <filterColumn colId="3" hiddenButton="1"/>
  </autoFilter>
  <tableColumns count="4">
    <tableColumn id="1" xr3:uid="{E095A2E0-A53F-4056-80F2-7E6030284AD7}" name="Candidate Name (Party)" totalsRowLabel="Total Votes by County" dataDxfId="1862" totalsRowDxfId="1861"/>
    <tableColumn id="4" xr3:uid="{607CC697-0DB9-4702-A527-A8F3CB73C7EE}" name="Part of Queens County Vote Results" totalsRowFunction="custom" dataDxfId="1860" totalsRowDxfId="1859">
      <totalsRowFormula>SUM(MemberOfAssemblyAssemblyDistrict27General[Part of Queens County Vote Results])</totalsRowFormula>
    </tableColumn>
    <tableColumn id="3" xr3:uid="{7794F110-6816-4F08-AF69-8B268CA3D667}" name="Total Votes by Party" totalsRowFunction="custom" dataDxfId="1858" totalsRowDxfId="1857">
      <calculatedColumnFormula>MemberOfAssemblyAssemblyDistrict27General[[#This Row],[Part of Queens County Vote Results]]</calculatedColumnFormula>
      <totalsRowFormula>SUM(MemberOfAssemblyAssemblyDistrict27General[Total Votes by Party])</totalsRowFormula>
    </tableColumn>
    <tableColumn id="2" xr3:uid="{6CD8B2BB-9206-4240-B7A1-54B3271C1EE2}" name="Total Votes by Candidate" dataDxfId="1856" totalsRowDxfId="1855">
      <calculatedColumnFormula>SUM(MemberOfAssemblyAssemblyDistrict27General[[#This Row],[Total Votes by Party]])</calculatedColumnFormula>
    </tableColumn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0D690AA2-3DC8-4DC9-9510-455585A9ED62}" name="MemberOfAssemblyAssemblyDistrict28General" displayName="MemberOfAssemblyAssemblyDistrict28General" ref="A2:D8" totalsRowCount="1" headerRowDxfId="1854" dataDxfId="1852" totalsRowDxfId="1850" headerRowBorderDxfId="1853" tableBorderDxfId="1851" totalsRowBorderDxfId="1849">
  <autoFilter ref="A2:D7" xr:uid="{76C1D6C9-9514-4308-9A84-A998AFEF83D5}">
    <filterColumn colId="0" hiddenButton="1"/>
    <filterColumn colId="1" hiddenButton="1"/>
    <filterColumn colId="2" hiddenButton="1"/>
    <filterColumn colId="3" hiddenButton="1"/>
  </autoFilter>
  <tableColumns count="4">
    <tableColumn id="1" xr3:uid="{658AC5C4-BC24-4C24-A4B3-772C4232A3B6}" name="Candidate Name (Party)" totalsRowLabel="Total Votes by County" dataDxfId="1848" totalsRowDxfId="1847"/>
    <tableColumn id="4" xr3:uid="{CC6CBBB8-E79F-491A-BA6D-70C08A615E41}" name="Part of Queens County Vote Results" totalsRowFunction="custom" dataDxfId="1846" totalsRowDxfId="1845">
      <totalsRowFormula>SUM(MemberOfAssemblyAssemblyDistrict28General[Part of Queens County Vote Results])</totalsRowFormula>
    </tableColumn>
    <tableColumn id="3" xr3:uid="{CCA88644-0C22-4647-9986-1AC7A6519FBD}" name="Total Votes by Party" totalsRowFunction="custom" dataDxfId="1844" totalsRowDxfId="1843">
      <calculatedColumnFormula>MemberOfAssemblyAssemblyDistrict28General[[#This Row],[Part of Queens County Vote Results]]</calculatedColumnFormula>
      <totalsRowFormula>SUM(MemberOfAssemblyAssemblyDistrict28General[Total Votes by Party])</totalsRowFormula>
    </tableColumn>
    <tableColumn id="2" xr3:uid="{1413631F-6E1D-45EE-8265-B86852DFA54C}" name="Total Votes by Candidate" dataDxfId="1842" totalsRowDxfId="1841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A7809C06-52F2-4F37-B259-3601D3117E8B}" name="MemberOfAssemblyAssemblyDistrict29General" displayName="MemberOfAssemblyAssemblyDistrict29General" ref="A2:D7" totalsRowCount="1" headerRowDxfId="1840" dataDxfId="1838" totalsRowDxfId="1836" headerRowBorderDxfId="1839" tableBorderDxfId="1837" totalsRowBorderDxfId="1835">
  <autoFilter ref="A2:D6" xr:uid="{D7F287CE-B697-428E-8699-CC6846F2CCE4}">
    <filterColumn colId="0" hiddenButton="1"/>
    <filterColumn colId="1" hiddenButton="1"/>
    <filterColumn colId="2" hiddenButton="1"/>
    <filterColumn colId="3" hiddenButton="1"/>
  </autoFilter>
  <tableColumns count="4">
    <tableColumn id="1" xr3:uid="{A0816062-4434-4D41-A7DB-24E2E7EEB044}" name="Candidate Name (Party)" totalsRowLabel="Total Votes by County" dataDxfId="1834" totalsRowDxfId="1833"/>
    <tableColumn id="4" xr3:uid="{B3C96D29-57E5-4AE2-9C86-AA8522810185}" name="Part of Queens County Vote Results" totalsRowFunction="custom" dataDxfId="1832" totalsRowDxfId="1831">
      <totalsRowFormula>SUM(MemberOfAssemblyAssemblyDistrict29General[Part of Queens County Vote Results])</totalsRowFormula>
    </tableColumn>
    <tableColumn id="3" xr3:uid="{0C5FB926-BCF4-4CA6-BD05-533B9992600D}" name="Total Votes by Party" totalsRowFunction="custom" dataDxfId="1830" totalsRowDxfId="1829">
      <calculatedColumnFormula>MemberOfAssemblyAssemblyDistrict29General[[#This Row],[Part of Queens County Vote Results]]</calculatedColumnFormula>
      <totalsRowFormula>SUM(MemberOfAssemblyAssemblyDistrict29General[Total Votes by Party])</totalsRowFormula>
    </tableColumn>
    <tableColumn id="2" xr3:uid="{2F64F4CC-6C07-4EBE-BAB5-28AF046D2FAE}" name="Total Votes by Candidate" dataDxfId="1828" totalsRowDxfId="1827">
      <calculatedColumnFormula>SUM(MemberOfAssemblyAssemblyDistrict29General[[#This Row],[Total Votes by Party]])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B2FD8047-0B28-4270-BA7F-78BDB8691F93}" name="MemberOfAssemblyAssemblyDistrict3General" displayName="MemberOfAssemblyAssemblyDistrict3General" ref="A2:D11" totalsRowCount="1" headerRowDxfId="2206" dataDxfId="2204" totalsRowDxfId="2202" headerRowBorderDxfId="2205" tableBorderDxfId="2203" totalsRowBorderDxfId="2201">
  <autoFilter ref="A2:D10" xr:uid="{17193FA3-73E2-4E8E-A735-DC6FDE74813C}">
    <filterColumn colId="0" hiddenButton="1"/>
    <filterColumn colId="1" hiddenButton="1"/>
    <filterColumn colId="2" hiddenButton="1"/>
    <filterColumn colId="3" hiddenButton="1"/>
  </autoFilter>
  <tableColumns count="4">
    <tableColumn id="1" xr3:uid="{B3381315-40BF-4E2B-B30B-F8E88C7792E5}" name="Candidate Name (Party)" totalsRowLabel="Total Votes by County" dataDxfId="2200" totalsRowDxfId="2199"/>
    <tableColumn id="4" xr3:uid="{6CF7A6FE-A331-4312-873F-3AAB2A1DD928}" name="Part of Suffolk County Vote Results" totalsRowFunction="custom" dataDxfId="2198" totalsRowDxfId="2197">
      <totalsRowFormula>SUM(MemberOfAssemblyAssemblyDistrict3General[Part of Suffolk County Vote Results])</totalsRowFormula>
    </tableColumn>
    <tableColumn id="3" xr3:uid="{5A1451B3-9BC8-41CA-A295-91FF3439F1D7}" name="Total Votes by Party" totalsRowFunction="custom" dataDxfId="2196" totalsRowDxfId="2195">
      <calculatedColumnFormula>MemberOfAssemblyAssemblyDistrict3General[[#This Row],[Part of Suffolk County Vote Results]]</calculatedColumnFormula>
      <totalsRowFormula>SUM(MemberOfAssemblyAssemblyDistrict3General[Total Votes by Party])</totalsRowFormula>
    </tableColumn>
    <tableColumn id="2" xr3:uid="{AC6E9BAF-A919-46BF-AD7F-2539193CD93A}" name="Total Votes by Candidate" dataDxfId="2194" totalsRowDxfId="219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AF0C957E-98B0-4327-A523-D644B6F630F9}" name="MemberOfAssemblyAssemblyDistrict30General" displayName="MemberOfAssemblyAssemblyDistrict30General" ref="A2:D7" totalsRowCount="1" headerRowDxfId="1826" dataDxfId="1824" totalsRowDxfId="1822" headerRowBorderDxfId="1825" tableBorderDxfId="1823" totalsRowBorderDxfId="1821">
  <autoFilter ref="A2:D6" xr:uid="{B5059E8C-6AED-43A3-88F6-785E94166D39}">
    <filterColumn colId="0" hiddenButton="1"/>
    <filterColumn colId="1" hiddenButton="1"/>
    <filterColumn colId="2" hiddenButton="1"/>
    <filterColumn colId="3" hiddenButton="1"/>
  </autoFilter>
  <tableColumns count="4">
    <tableColumn id="1" xr3:uid="{71A4A2C9-2633-49FE-9EC2-795102E6EB2C}" name="Candidate Name (Party)" totalsRowLabel="Total Votes by County" dataDxfId="1820" totalsRowDxfId="1819"/>
    <tableColumn id="4" xr3:uid="{838161AB-61FD-4A4F-8AE2-16F876798F63}" name="Part of Queens County Vote Results" totalsRowFunction="custom" dataDxfId="1818" totalsRowDxfId="1817">
      <totalsRowFormula>SUM(MemberOfAssemblyAssemblyDistrict30General[Part of Queens County Vote Results])</totalsRowFormula>
    </tableColumn>
    <tableColumn id="3" xr3:uid="{264A472F-A855-4261-A7BA-9635B3C501D0}" name="Total Votes by Party" totalsRowFunction="custom" dataDxfId="1816" totalsRowDxfId="1815">
      <calculatedColumnFormula>MemberOfAssemblyAssemblyDistrict30General[[#This Row],[Part of Queens County Vote Results]]</calculatedColumnFormula>
      <totalsRowFormula>SUM(MemberOfAssemblyAssemblyDistrict30General[Total Votes by Party])</totalsRowFormula>
    </tableColumn>
    <tableColumn id="2" xr3:uid="{38D9A3B3-A97B-4152-9654-83AFB0C1B788}" name="Total Votes by Candidate" dataDxfId="1814" totalsRowDxfId="1813">
      <calculatedColumnFormula>SUM(MemberOfAssemblyAssemblyDistrict30General[[#This Row],[Total Votes by Party]])</calculatedColumnFormula>
    </tableColumn>
  </tableColumns>
  <tableStyleInfo name="TableStyleMedium2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2CEE2B62-869B-4194-921F-31150F4B50AD}" name="MemberOfAssemblyAssemblyDistrict31General" displayName="MemberOfAssemblyAssemblyDistrict31General" ref="A2:D9" totalsRowCount="1" headerRowDxfId="1812" dataDxfId="1810" totalsRowDxfId="1808" headerRowBorderDxfId="1811" tableBorderDxfId="1809" totalsRowBorderDxfId="1807">
  <autoFilter ref="A2:D8" xr:uid="{ED204ABA-78AA-47E6-9362-4C0F24E39B3E}">
    <filterColumn colId="0" hiddenButton="1"/>
    <filterColumn colId="1" hiddenButton="1"/>
    <filterColumn colId="2" hiddenButton="1"/>
    <filterColumn colId="3" hiddenButton="1"/>
  </autoFilter>
  <tableColumns count="4">
    <tableColumn id="1" xr3:uid="{0FD9F51A-CC15-4163-9BE4-E89ACC351CA8}" name="Candidate Name (Party)" totalsRowLabel="Total Votes by County" dataDxfId="1806" totalsRowDxfId="1805"/>
    <tableColumn id="4" xr3:uid="{2E5C48FA-34CB-4464-974A-27EB641617F2}" name="Part of Queens County Vote Results" totalsRowFunction="custom" dataDxfId="1804" totalsRowDxfId="1803">
      <totalsRowFormula>SUM(MemberOfAssemblyAssemblyDistrict31General[Part of Queens County Vote Results])</totalsRowFormula>
    </tableColumn>
    <tableColumn id="3" xr3:uid="{44920F8D-25F9-41DB-B1B8-B32E9608597F}" name="Total Votes by Party" totalsRowFunction="custom" dataDxfId="1802" totalsRowDxfId="1801">
      <calculatedColumnFormula>MemberOfAssemblyAssemblyDistrict31General[[#This Row],[Part of Queens County Vote Results]]</calculatedColumnFormula>
      <totalsRowFormula>SUM(MemberOfAssemblyAssemblyDistrict31General[Total Votes by Party])</totalsRowFormula>
    </tableColumn>
    <tableColumn id="2" xr3:uid="{7C72BC9B-0AFD-4A5F-8995-CE60AA3BD214}" name="Total Votes by Candidate" dataDxfId="1800" totalsRowDxfId="1799">
      <calculatedColumnFormula>SUM(C3:C5)</calculatedColumnFormula>
    </tableColumn>
  </tableColumns>
  <tableStyleInfo name="TableStyleMedium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B2FA2A0F-0F13-413E-9D5C-521B5990CBD2}" name="MemberOfAssemblyAssemblyDistrict32General" displayName="MemberOfAssemblyAssemblyDistrict32General" ref="A2:D7" totalsRowCount="1" headerRowDxfId="1798" dataDxfId="1796" totalsRowDxfId="1794" headerRowBorderDxfId="1797" tableBorderDxfId="1795" totalsRowBorderDxfId="1793">
  <autoFilter ref="A2:D6" xr:uid="{4DAC385A-82AE-4B93-BECC-64FD7EEA86D9}">
    <filterColumn colId="0" hiddenButton="1"/>
    <filterColumn colId="1" hiddenButton="1"/>
    <filterColumn colId="2" hiddenButton="1"/>
    <filterColumn colId="3" hiddenButton="1"/>
  </autoFilter>
  <tableColumns count="4">
    <tableColumn id="1" xr3:uid="{8C6E8C38-F385-4CCB-9D40-BC47BA7C92CC}" name="Candidate Name (Party)" totalsRowLabel="Total Votes by County" dataDxfId="1792" totalsRowDxfId="1791"/>
    <tableColumn id="4" xr3:uid="{72841FDC-7707-4E48-A57A-C870AAD15F27}" name="Part of Queens County Vote Results" totalsRowFunction="custom" dataDxfId="1790" totalsRowDxfId="1789">
      <totalsRowFormula>SUM(MemberOfAssemblyAssemblyDistrict32General[Part of Queens County Vote Results])</totalsRowFormula>
    </tableColumn>
    <tableColumn id="3" xr3:uid="{CB622DA1-7B49-4305-810C-C4A0A7353873}" name="Total Votes by Party" totalsRowFunction="custom" dataDxfId="1788" totalsRowDxfId="1787">
      <calculatedColumnFormula>MemberOfAssemblyAssemblyDistrict32General[[#This Row],[Part of Queens County Vote Results]]</calculatedColumnFormula>
      <totalsRowFormula>SUM(MemberOfAssemblyAssemblyDistrict32General[Total Votes by Party])</totalsRowFormula>
    </tableColumn>
    <tableColumn id="2" xr3:uid="{9159DEF0-5CFA-40A6-A53C-50B3AA001E76}" name="Total Votes by Candidate" dataDxfId="1786" totalsRowDxfId="1785">
      <calculatedColumnFormula>SUM(MemberOfAssemblyAssemblyDistrict32General[[#This Row],[Total Votes by Party]])</calculatedColumnFormula>
    </tableColumn>
  </tableColumns>
  <tableStyleInfo name="TableStyleMedium2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464BE774-6BFD-46F8-8A4A-9BB805D851AB}" name="MemberOfAssemblyAssemblyDistrict33General" displayName="MemberOfAssemblyAssemblyDistrict33General" ref="A2:D7" totalsRowCount="1" headerRowDxfId="1784" dataDxfId="1782" totalsRowDxfId="1780" headerRowBorderDxfId="1783" tableBorderDxfId="1781" totalsRowBorderDxfId="1779">
  <autoFilter ref="A2:D6" xr:uid="{B4ECF71C-0BF6-4688-8134-CA1EDCBF44BC}">
    <filterColumn colId="0" hiddenButton="1"/>
    <filterColumn colId="1" hiddenButton="1"/>
    <filterColumn colId="2" hiddenButton="1"/>
    <filterColumn colId="3" hiddenButton="1"/>
  </autoFilter>
  <tableColumns count="4">
    <tableColumn id="1" xr3:uid="{500BB82F-EF69-4D19-8DB2-A4F7AF069143}" name="Candidate Name (Party)" totalsRowLabel="Total Votes by County" dataDxfId="1778" totalsRowDxfId="1777"/>
    <tableColumn id="4" xr3:uid="{ED73E812-1020-4AB1-B0C8-FB255E934578}" name="Part of Queens County Vote Results" totalsRowFunction="custom" dataDxfId="1776" totalsRowDxfId="1775">
      <totalsRowFormula>SUM(MemberOfAssemblyAssemblyDistrict33General[Part of Queens County Vote Results])</totalsRowFormula>
    </tableColumn>
    <tableColumn id="3" xr3:uid="{BCA4C7EA-A7C1-40E7-A7E0-1BFBCDC91D0E}" name="Total Votes by Party" totalsRowFunction="custom" dataDxfId="1774" totalsRowDxfId="1773">
      <calculatedColumnFormula>MemberOfAssemblyAssemblyDistrict33General[[#This Row],[Part of Queens County Vote Results]]</calculatedColumnFormula>
      <totalsRowFormula>SUM(MemberOfAssemblyAssemblyDistrict33General[Total Votes by Party])</totalsRowFormula>
    </tableColumn>
    <tableColumn id="2" xr3:uid="{8DCA75AD-AD7C-4540-8374-FC7A0B6F4930}" name="Total Votes by Candidate" dataDxfId="1772" totalsRowDxfId="1771">
      <calculatedColumnFormula>SUM(MemberOfAssemblyAssemblyDistrict33General[[#This Row],[Total Votes by Party]])</calculatedColumnFormula>
    </tableColumn>
  </tableColumns>
  <tableStyleInfo name="TableStyleMedium2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B3839819-E810-47BB-8335-5A5291EF20C5}" name="MemberOfAssemblyAssemblyDistrict34General" displayName="MemberOfAssemblyAssemblyDistrict34General" ref="A2:D10" totalsRowCount="1" headerRowDxfId="1770" dataDxfId="1768" totalsRowDxfId="1766" headerRowBorderDxfId="1769" tableBorderDxfId="1767" totalsRowBorderDxfId="1765">
  <autoFilter ref="A2:D9" xr:uid="{17A2092C-D04F-49FE-A19A-7D1A5B52CBAE}">
    <filterColumn colId="0" hiddenButton="1"/>
    <filterColumn colId="1" hiddenButton="1"/>
    <filterColumn colId="2" hiddenButton="1"/>
    <filterColumn colId="3" hiddenButton="1"/>
  </autoFilter>
  <tableColumns count="4">
    <tableColumn id="1" xr3:uid="{A17B8629-B6BF-4BF3-B5D6-3CD7906F09D6}" name="Candidate Name (Party)" totalsRowLabel="Total Votes by County" dataDxfId="1764" totalsRowDxfId="1763"/>
    <tableColumn id="4" xr3:uid="{A8796775-D3B5-4570-94BD-4C70D149B8F2}" name="Part of Queens County Vote Results" totalsRowFunction="custom" dataDxfId="1762" totalsRowDxfId="1761">
      <totalsRowFormula>SUM(MemberOfAssemblyAssemblyDistrict34General[Part of Queens County Vote Results])</totalsRowFormula>
    </tableColumn>
    <tableColumn id="3" xr3:uid="{AC248EBF-4754-4E59-9822-F234E74D71E9}" name="Total Votes by Party" totalsRowFunction="custom" dataDxfId="1760" totalsRowDxfId="1759">
      <calculatedColumnFormula>MemberOfAssemblyAssemblyDistrict34General[[#This Row],[Part of Queens County Vote Results]]</calculatedColumnFormula>
      <totalsRowFormula>SUM(MemberOfAssemblyAssemblyDistrict34General[Total Votes by Party])</totalsRowFormula>
    </tableColumn>
    <tableColumn id="2" xr3:uid="{8229AAAA-5A36-4CDF-B46A-1EEDF58B060F}" name="Total Votes by Candidate" dataDxfId="1758" totalsRowDxfId="1757">
      <calculatedColumnFormula>SUM(MemberOfAssemblyAssemblyDistrict34General[[#This Row],[Total Votes by Party]],C6)</calculatedColumnFormula>
    </tableColumn>
  </tableColumns>
  <tableStyleInfo name="TableStyleMedium2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0EBBF781-9A59-4DF2-AF9D-B2B0C85AA839}" name="MemberOfAssemblyAssemblyDistrict35General" displayName="MemberOfAssemblyAssemblyDistrict35General" ref="A2:D10" totalsRowCount="1" headerRowDxfId="1756" dataDxfId="1754" totalsRowDxfId="1752" headerRowBorderDxfId="1755" tableBorderDxfId="1753" totalsRowBorderDxfId="1751">
  <autoFilter ref="A2:D9" xr:uid="{1EB8363C-646C-4620-B421-B6C3565C17E2}">
    <filterColumn colId="0" hiddenButton="1"/>
    <filterColumn colId="1" hiddenButton="1"/>
    <filterColumn colId="2" hiddenButton="1"/>
    <filterColumn colId="3" hiddenButton="1"/>
  </autoFilter>
  <tableColumns count="4">
    <tableColumn id="1" xr3:uid="{BB334474-C4E4-4F3F-B262-62160B4FA30F}" name="Candidate Name (Party)" totalsRowLabel="Total Votes by County" dataDxfId="1750" totalsRowDxfId="1749"/>
    <tableColumn id="4" xr3:uid="{A8E1878D-3ABE-481E-B563-CECCC3967A27}" name="Part of Queens County Vote Results" totalsRowFunction="custom" dataDxfId="1748" totalsRowDxfId="1747">
      <totalsRowFormula>SUM(MemberOfAssemblyAssemblyDistrict35General[Part of Queens County Vote Results])</totalsRowFormula>
    </tableColumn>
    <tableColumn id="3" xr3:uid="{5CBACD6A-8883-4F1D-8DBE-FCE1D023C000}" name="Total Votes by Party" totalsRowFunction="custom" dataDxfId="1746" totalsRowDxfId="1745">
      <calculatedColumnFormula>MemberOfAssemblyAssemblyDistrict35General[[#This Row],[Part of Queens County Vote Results]]</calculatedColumnFormula>
      <totalsRowFormula>SUM(MemberOfAssemblyAssemblyDistrict35General[Total Votes by Party])</totalsRowFormula>
    </tableColumn>
    <tableColumn id="2" xr3:uid="{E1E520CD-F140-4BFA-A614-3ABE5A43E3F0}" name="Total Votes by Candidate" dataDxfId="1744" totalsRowDxfId="1743"/>
  </tableColumns>
  <tableStyleInfo name="TableStyleMedium2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8DCE34D2-9795-4B5A-AAF3-80C0BB1061CC}" name="MemberOfAssemblyAssemblyDistrict36General" displayName="MemberOfAssemblyAssemblyDistrict36General" ref="A2:D7" totalsRowCount="1" headerRowDxfId="1742" dataDxfId="1740" totalsRowDxfId="1738" headerRowBorderDxfId="1741" tableBorderDxfId="1739" totalsRowBorderDxfId="1737">
  <autoFilter ref="A2:D6" xr:uid="{31DCC498-482B-4F33-BE43-0400294C2D8A}">
    <filterColumn colId="0" hiddenButton="1"/>
    <filterColumn colId="1" hiddenButton="1"/>
    <filterColumn colId="2" hiddenButton="1"/>
    <filterColumn colId="3" hiddenButton="1"/>
  </autoFilter>
  <tableColumns count="4">
    <tableColumn id="1" xr3:uid="{8E994109-189D-47A5-A775-D32ECE9CB1C9}" name="Candidate Name (Party)" totalsRowLabel="Total Votes by County" dataDxfId="1736" totalsRowDxfId="1735"/>
    <tableColumn id="4" xr3:uid="{D4F5810C-F1AB-4509-8D20-235FF96CC18E}" name="Part of Queens County Vote Results" totalsRowFunction="custom" dataDxfId="1734" totalsRowDxfId="1733">
      <totalsRowFormula>SUM(MemberOfAssemblyAssemblyDistrict36General[Part of Queens County Vote Results])</totalsRowFormula>
    </tableColumn>
    <tableColumn id="3" xr3:uid="{D998F40A-6E71-488B-A077-CA3AADADC8B9}" name="Total Votes by Party" totalsRowFunction="custom" dataDxfId="1732" totalsRowDxfId="1731">
      <calculatedColumnFormula>MemberOfAssemblyAssemblyDistrict36General[[#This Row],[Part of Queens County Vote Results]]</calculatedColumnFormula>
      <totalsRowFormula>SUM(MemberOfAssemblyAssemblyDistrict36General[Total Votes by Party])</totalsRowFormula>
    </tableColumn>
    <tableColumn id="2" xr3:uid="{03198273-14D5-4294-9E65-8A3F1A4B3F07}" name="Total Votes by Candidate" dataDxfId="1730" totalsRowDxfId="1729">
      <calculatedColumnFormula>SUM(MemberOfAssemblyAssemblyDistrict36General[[#This Row],[Total Votes by Party]])</calculatedColumnFormula>
    </tableColumn>
  </tableColumns>
  <tableStyleInfo name="TableStyleMedium2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EDBC8DBB-C4DB-4537-9086-340C279AB07F}" name="MemberOfAssemblyAssemblyDistrict37General" displayName="MemberOfAssemblyAssemblyDistrict37General" ref="A2:D7" totalsRowCount="1" headerRowDxfId="1728" dataDxfId="1726" totalsRowDxfId="1724" headerRowBorderDxfId="1727" tableBorderDxfId="1725" totalsRowBorderDxfId="1723">
  <autoFilter ref="A2:D6" xr:uid="{6234759C-B62B-4523-B671-315DE9E93999}">
    <filterColumn colId="0" hiddenButton="1"/>
    <filterColumn colId="1" hiddenButton="1"/>
    <filterColumn colId="2" hiddenButton="1"/>
    <filterColumn colId="3" hiddenButton="1"/>
  </autoFilter>
  <tableColumns count="4">
    <tableColumn id="1" xr3:uid="{D754A393-EECD-4E48-9878-CCAA22D1C114}" name="Candidate Name (Party)" totalsRowLabel="Total Votes by County" dataDxfId="1722" totalsRowDxfId="1721"/>
    <tableColumn id="4" xr3:uid="{4EAAD1C0-DF6B-4111-AB14-B31EB1A22B21}" name="Part of Queens County Vote Results" totalsRowFunction="custom" dataDxfId="1720" totalsRowDxfId="1719">
      <totalsRowFormula>SUM(MemberOfAssemblyAssemblyDistrict37General[Part of Queens County Vote Results])</totalsRowFormula>
    </tableColumn>
    <tableColumn id="3" xr3:uid="{6F54F134-2B43-43BD-8144-3E8990B540B3}" name="Total Votes by Party" totalsRowFunction="custom" dataDxfId="1718" totalsRowDxfId="1717">
      <calculatedColumnFormula>MemberOfAssemblyAssemblyDistrict37General[[#This Row],[Part of Queens County Vote Results]]</calculatedColumnFormula>
      <totalsRowFormula>SUM(MemberOfAssemblyAssemblyDistrict37General[Total Votes by Party])</totalsRowFormula>
    </tableColumn>
    <tableColumn id="2" xr3:uid="{165D39B9-2BB2-4E8E-A6EB-E753CD21D6D4}" name="Total Votes by Candidate" dataDxfId="1716" totalsRowDxfId="1715">
      <calculatedColumnFormula>SUM(MemberOfAssemblyAssemblyDistrict37General[[#This Row],[Total Votes by Party]])</calculatedColumnFormula>
    </tableColumn>
  </tableColumns>
  <tableStyleInfo name="TableStyleMedium2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D03AC32B-264E-40C6-B387-4FD5CB17BBDF}" name="MemberOfAssemblyAssemblyDistrict38General" displayName="MemberOfAssemblyAssemblyDistrict38General" ref="A2:D10" totalsRowCount="1" headerRowDxfId="1714" dataDxfId="1712" totalsRowDxfId="1710" headerRowBorderDxfId="1713" tableBorderDxfId="1711" totalsRowBorderDxfId="1709">
  <autoFilter ref="A2:D9" xr:uid="{9B4D3939-FAFD-41E4-BE4A-89D8C63A9B13}">
    <filterColumn colId="0" hiddenButton="1"/>
    <filterColumn colId="1" hiddenButton="1"/>
    <filterColumn colId="2" hiddenButton="1"/>
    <filterColumn colId="3" hiddenButton="1"/>
  </autoFilter>
  <tableColumns count="4">
    <tableColumn id="1" xr3:uid="{99FDE2E1-E3C4-4F43-861F-E033B16617B2}" name="Candidate Name (Party)" totalsRowLabel="Total Votes by County" dataDxfId="1708" totalsRowDxfId="1707"/>
    <tableColumn id="4" xr3:uid="{9370143D-E3D7-4E93-B379-9B206FDBE2D2}" name="Part of Queens County Vote Results" totalsRowFunction="custom" dataDxfId="1706" totalsRowDxfId="1705">
      <totalsRowFormula>SUM(MemberOfAssemblyAssemblyDistrict38General[Part of Queens County Vote Results])</totalsRowFormula>
    </tableColumn>
    <tableColumn id="3" xr3:uid="{8E737A43-182F-493B-8EA4-9A62CDB7082B}" name="Total Votes by Party" totalsRowFunction="custom" dataDxfId="1704" totalsRowDxfId="1703">
      <calculatedColumnFormula>MemberOfAssemblyAssemblyDistrict38General[[#This Row],[Part of Queens County Vote Results]]</calculatedColumnFormula>
      <totalsRowFormula>SUM(MemberOfAssemblyAssemblyDistrict38General[Total Votes by Party])</totalsRowFormula>
    </tableColumn>
    <tableColumn id="2" xr3:uid="{10ABF9B4-0659-41D3-B3D9-9EA773E30CEB}" name="Total Votes by Candidate" dataDxfId="1702" totalsRowDxfId="1701"/>
  </tableColumns>
  <tableStyleInfo name="TableStyleMedium2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C96CDABA-F874-49C5-852F-C8714B4D27BF}" name="MemberOfAssemblyAssemblyDistrict39General" displayName="MemberOfAssemblyAssemblyDistrict39General" ref="A2:D7" totalsRowCount="1" headerRowDxfId="1700" dataDxfId="1698" totalsRowDxfId="1696" headerRowBorderDxfId="1699" tableBorderDxfId="1697" totalsRowBorderDxfId="1695">
  <autoFilter ref="A2:D6" xr:uid="{BEC8AD1F-1472-4FA5-863E-8D544C0F76D7}">
    <filterColumn colId="0" hiddenButton="1"/>
    <filterColumn colId="1" hiddenButton="1"/>
    <filterColumn colId="2" hiddenButton="1"/>
    <filterColumn colId="3" hiddenButton="1"/>
  </autoFilter>
  <tableColumns count="4">
    <tableColumn id="1" xr3:uid="{1279409E-C017-4C95-B6B3-BBDB4DECCED5}" name="Candidate Name (Party)" totalsRowLabel="Total Votes by County" dataDxfId="1694" totalsRowDxfId="1693"/>
    <tableColumn id="4" xr3:uid="{F91A584C-6B90-4D0E-B074-880BEE3141A2}" name="Part of Queens County Vote Results" totalsRowFunction="custom" dataDxfId="1692" totalsRowDxfId="1691">
      <totalsRowFormula>SUM(MemberOfAssemblyAssemblyDistrict39General[Part of Queens County Vote Results])</totalsRowFormula>
    </tableColumn>
    <tableColumn id="3" xr3:uid="{2B73AB47-3FB4-4568-8714-B27B4C7902DF}" name="Total Votes by Party" totalsRowFunction="custom" dataDxfId="1690" totalsRowDxfId="1689">
      <calculatedColumnFormula>MemberOfAssemblyAssemblyDistrict39General[[#This Row],[Part of Queens County Vote Results]]</calculatedColumnFormula>
      <totalsRowFormula>SUM(MemberOfAssemblyAssemblyDistrict39General[Total Votes by Party])</totalsRowFormula>
    </tableColumn>
    <tableColumn id="2" xr3:uid="{65ED47A8-7165-4F97-A56C-7CEA49089606}" name="Total Votes by Candidate" dataDxfId="1688" totalsRowDxfId="1687">
      <calculatedColumnFormula>SUM(MemberOfAssemblyAssemblyDistrict39General[[#This Row],[Total Votes by Party]])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E0A40BAA-D274-4D9C-B5D4-45EFA5A8FF1C}" name="MemberOfAssemblyAssemblyDistrict4General" displayName="MemberOfAssemblyAssemblyDistrict4General" ref="A2:D12" totalsRowCount="1" headerRowDxfId="2192" dataDxfId="2190" totalsRowDxfId="2188" headerRowBorderDxfId="2191" tableBorderDxfId="2189" totalsRowBorderDxfId="2187">
  <autoFilter ref="A2:D11" xr:uid="{C1DA58BB-00F7-421C-9DB1-B620D56EBEEE}">
    <filterColumn colId="0" hiddenButton="1"/>
    <filterColumn colId="1" hiddenButton="1"/>
    <filterColumn colId="2" hiddenButton="1"/>
    <filterColumn colId="3" hiddenButton="1"/>
  </autoFilter>
  <tableColumns count="4">
    <tableColumn id="1" xr3:uid="{F3B63C79-F394-4D11-8604-D708C6BBCF81}" name="Candidate Name (Party)" totalsRowLabel="Total Votes by County" dataDxfId="2186" totalsRowDxfId="2185"/>
    <tableColumn id="4" xr3:uid="{31F71C12-068A-4279-9318-B4965CD74815}" name="Part of Suffolk County Vote Results" totalsRowFunction="custom" dataDxfId="2184" totalsRowDxfId="2183">
      <totalsRowFormula>SUM(MemberOfAssemblyAssemblyDistrict4General[Part of Suffolk County Vote Results])</totalsRowFormula>
    </tableColumn>
    <tableColumn id="3" xr3:uid="{22241707-6B9E-434A-8D18-3596C8AF2CEC}" name="Total Votes by Party" totalsRowFunction="custom" dataDxfId="2182" totalsRowDxfId="2181">
      <calculatedColumnFormula>MemberOfAssemblyAssemblyDistrict4General[[#This Row],[Part of Suffolk County Vote Results]]</calculatedColumnFormula>
      <totalsRowFormula>SUM(MemberOfAssemblyAssemblyDistrict4General[Total Votes by Party])</totalsRowFormula>
    </tableColumn>
    <tableColumn id="2" xr3:uid="{414AA91F-1515-425F-96C7-13E416E40F1A}" name="Total Votes by Candidate" dataDxfId="2180" totalsRowDxfId="2179"/>
  </tableColumns>
  <tableStyleInfo name="TableStyleMedium2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E79A2646-3498-459D-8A18-F9A37973AA23}" name="MemberOfAssemblyAssemblyDistrict40General" displayName="MemberOfAssemblyAssemblyDistrict40General" ref="A2:D8" totalsRowCount="1" headerRowDxfId="1686" dataDxfId="1684" totalsRowDxfId="1682" headerRowBorderDxfId="1685" tableBorderDxfId="1683" totalsRowBorderDxfId="1681">
  <autoFilter ref="A2:D7" xr:uid="{B9EEE381-163E-435C-B9FB-96CE851BCFFC}">
    <filterColumn colId="0" hiddenButton="1"/>
    <filterColumn colId="1" hiddenButton="1"/>
    <filterColumn colId="2" hiddenButton="1"/>
    <filterColumn colId="3" hiddenButton="1"/>
  </autoFilter>
  <tableColumns count="4">
    <tableColumn id="1" xr3:uid="{2FAD3A94-4CBE-4EE9-AB8B-BC101C44FE74}" name="Candidate Name (Party)" totalsRowLabel="Total Votes by County" dataDxfId="1680" totalsRowDxfId="1679"/>
    <tableColumn id="4" xr3:uid="{0E6A84EB-8958-4ABB-91F2-C7CD85A1CE49}" name="Part of Queens County Vote Results" totalsRowFunction="custom" dataDxfId="1678" totalsRowDxfId="1677">
      <totalsRowFormula>SUM(MemberOfAssemblyAssemblyDistrict40General[Part of Queens County Vote Results])</totalsRowFormula>
    </tableColumn>
    <tableColumn id="3" xr3:uid="{88F96E9E-CF72-4D6C-8901-A9255C01158D}" name="Total Votes by Party" totalsRowFunction="custom" dataDxfId="1676" totalsRowDxfId="1675">
      <calculatedColumnFormula>MemberOfAssemblyAssemblyDistrict40General[[#This Row],[Part of Queens County Vote Results]]</calculatedColumnFormula>
      <totalsRowFormula>SUM(MemberOfAssemblyAssemblyDistrict40General[Total Votes by Party])</totalsRowFormula>
    </tableColumn>
    <tableColumn id="2" xr3:uid="{2D3270D1-BD26-4804-869B-7F76939941D8}" name="Total Votes by Candidate" dataDxfId="1674" totalsRowDxfId="1673"/>
  </tableColumns>
  <tableStyleInfo name="TableStyleMedium2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B596EE6C-53FA-4577-A194-802AFFB7E1CC}" name="MemberOfAssemblyAssemblyDistrict41General" displayName="MemberOfAssemblyAssemblyDistrict41General" ref="A2:D10" totalsRowCount="1" headerRowDxfId="1672" dataDxfId="1670" totalsRowDxfId="1668" headerRowBorderDxfId="1671" tableBorderDxfId="1669" totalsRowBorderDxfId="1667">
  <autoFilter ref="A2:D9" xr:uid="{E913C536-E0A8-4B7A-8CEB-34AD3DFB923F}">
    <filterColumn colId="0" hiddenButton="1"/>
    <filterColumn colId="1" hiddenButton="1"/>
    <filterColumn colId="2" hiddenButton="1"/>
    <filterColumn colId="3" hiddenButton="1"/>
  </autoFilter>
  <tableColumns count="4">
    <tableColumn id="1" xr3:uid="{B920930D-6BFB-48C6-A230-4589532A380A}" name="Candidate Name (Party)" totalsRowLabel="Total Votes by County" dataDxfId="1666" totalsRowDxfId="1665"/>
    <tableColumn id="4" xr3:uid="{A2F199E3-1C89-434D-966C-9ACCCB837372}" name="Part of Kings County Vote Results" totalsRowFunction="custom" totalsRowDxfId="1664">
      <totalsRowFormula>SUM(MemberOfAssemblyAssemblyDistrict41General[Part of Kings County Vote Results])</totalsRowFormula>
    </tableColumn>
    <tableColumn id="3" xr3:uid="{DD0A95C4-3166-49F5-BAC2-E54403E9A513}" name="Total Votes by Party" totalsRowFunction="custom" dataDxfId="1663" totalsRowDxfId="1662">
      <calculatedColumnFormula>MemberOfAssemblyAssemblyDistrict41General[[#This Row],[Part of Kings County Vote Results]]</calculatedColumnFormula>
      <totalsRowFormula>SUM(MemberOfAssemblyAssemblyDistrict41General[Total Votes by Party])</totalsRowFormula>
    </tableColumn>
    <tableColumn id="2" xr3:uid="{09166DD7-CB73-4315-B1B7-6CCEE67E5E47}" name="Total Votes by Candidate" dataDxfId="1661" totalsRowDxfId="1660"/>
  </tableColumns>
  <tableStyleInfo name="TableStyleMedium2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12EF5931-D226-4C31-AEE0-4EC73FE052DB}" name="MemberOfAssemblyAssemblyDistrict42General" displayName="MemberOfAssemblyAssemblyDistrict42General" ref="A2:D7" totalsRowCount="1" headerRowDxfId="1659" dataDxfId="1657" totalsRowDxfId="1655" headerRowBorderDxfId="1658" tableBorderDxfId="1656" totalsRowBorderDxfId="1654">
  <autoFilter ref="A2:D6" xr:uid="{02027DAB-EEA2-4592-AAA2-F47BF2CD7479}">
    <filterColumn colId="0" hiddenButton="1"/>
    <filterColumn colId="1" hiddenButton="1"/>
    <filterColumn colId="2" hiddenButton="1"/>
    <filterColumn colId="3" hiddenButton="1"/>
  </autoFilter>
  <tableColumns count="4">
    <tableColumn id="1" xr3:uid="{6487C790-DE79-4B65-B5F3-13A4686F4EF1}" name="Candidate Name (Party)" totalsRowLabel="Total Votes by County" dataDxfId="1653" totalsRowDxfId="1652"/>
    <tableColumn id="4" xr3:uid="{69C80960-F6E6-4365-B383-68B990DAA10A}" name="Part of Kings County Vote Results" totalsRowFunction="custom" totalsRowDxfId="1651">
      <totalsRowFormula>SUM(MemberOfAssemblyAssemblyDistrict42General[Part of Kings County Vote Results])</totalsRowFormula>
    </tableColumn>
    <tableColumn id="3" xr3:uid="{08AA0614-3300-4B17-BAD6-4752ACA9159C}" name="Total Votes by Party" totalsRowFunction="custom" dataDxfId="1650" totalsRowDxfId="1649">
      <calculatedColumnFormula>MemberOfAssemblyAssemblyDistrict42General[[#This Row],[Part of Kings County Vote Results]]</calculatedColumnFormula>
      <totalsRowFormula>SUM(MemberOfAssemblyAssemblyDistrict42General[Total Votes by Party])</totalsRowFormula>
    </tableColumn>
    <tableColumn id="2" xr3:uid="{06E15EE5-1A41-4877-A8A0-EE0079AC8A4C}" name="Total Votes by Candidate" dataDxfId="1648" totalsRowDxfId="1647">
      <calculatedColumnFormula>SUM(MemberOfAssemblyAssemblyDistrict42General[[#This Row],[Total Votes by Party]])</calculatedColumnFormula>
    </tableColumn>
  </tableColumns>
  <tableStyleInfo name="TableStyleMedium2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47E93BB5-70FF-4937-A7E0-D459D7E45B2A}" name="MemberOfAssemblyAssemblyDistrict43General" displayName="MemberOfAssemblyAssemblyDistrict43General" ref="A2:D8" totalsRowCount="1" headerRowDxfId="1646" dataDxfId="1644" totalsRowDxfId="1642" headerRowBorderDxfId="1645" tableBorderDxfId="1643" totalsRowBorderDxfId="1641">
  <autoFilter ref="A2:D7" xr:uid="{9AE16682-B515-45EE-912B-69FCDE72BB7E}">
    <filterColumn colId="0" hiddenButton="1"/>
    <filterColumn colId="1" hiddenButton="1"/>
    <filterColumn colId="2" hiddenButton="1"/>
    <filterColumn colId="3" hiddenButton="1"/>
  </autoFilter>
  <tableColumns count="4">
    <tableColumn id="1" xr3:uid="{CEB26F5D-8F96-4200-891D-969CF7DF2182}" name="Candidate Name (Party)" totalsRowLabel="Total Votes by County" dataDxfId="1640" totalsRowDxfId="1639"/>
    <tableColumn id="4" xr3:uid="{7637F4CA-0F4A-4407-8C74-4A80428C6B08}" name="Part of Kings County Vote Results" totalsRowFunction="custom" totalsRowDxfId="1638">
      <totalsRowFormula>SUM(MemberOfAssemblyAssemblyDistrict43General[Part of Kings County Vote Results])</totalsRowFormula>
    </tableColumn>
    <tableColumn id="3" xr3:uid="{C6364F75-006A-4D1C-8984-08495E2AB726}" name="Total Votes by Party" totalsRowFunction="custom" dataDxfId="1637" totalsRowDxfId="1636">
      <calculatedColumnFormula>MemberOfAssemblyAssemblyDistrict43General[[#This Row],[Part of Kings County Vote Results]]</calculatedColumnFormula>
      <totalsRowFormula>SUM(MemberOfAssemblyAssemblyDistrict43General[Total Votes by Party])</totalsRowFormula>
    </tableColumn>
    <tableColumn id="2" xr3:uid="{8E107B18-8F78-443D-B9BD-A75DDD728B30}" name="Total Votes by Candidate" dataDxfId="1635" totalsRowDxfId="1634"/>
  </tableColumns>
  <tableStyleInfo name="TableStyleMedium2" showFirstColumn="0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C9BE7912-391C-484E-B4E0-D863668CD96C}" name="MemberOfAssemblyAssemblyDistrict44General" displayName="MemberOfAssemblyAssemblyDistrict44General" ref="A2:D10" totalsRowCount="1" headerRowDxfId="1633" dataDxfId="1631" totalsRowDxfId="1629" headerRowBorderDxfId="1632" tableBorderDxfId="1630" totalsRowBorderDxfId="1628">
  <autoFilter ref="A2:D9" xr:uid="{BF443498-A9FC-4D58-8AD9-9DD17D2D8AD3}">
    <filterColumn colId="0" hiddenButton="1"/>
    <filterColumn colId="1" hiddenButton="1"/>
    <filterColumn colId="2" hiddenButton="1"/>
    <filterColumn colId="3" hiddenButton="1"/>
  </autoFilter>
  <tableColumns count="4">
    <tableColumn id="1" xr3:uid="{4311CA32-8394-4519-8EA6-80733B28F8A0}" name="Candidate Name (Party)" totalsRowLabel="Total Votes by County" dataDxfId="1627" totalsRowDxfId="1626"/>
    <tableColumn id="4" xr3:uid="{C51E2FF1-0705-4693-A182-5FA467FCC373}" name="Part of Kings County Vote Results" totalsRowFunction="custom" totalsRowDxfId="1625">
      <totalsRowFormula>SUM(MemberOfAssemblyAssemblyDistrict44General[Part of Kings County Vote Results])</totalsRowFormula>
    </tableColumn>
    <tableColumn id="3" xr3:uid="{002F6BEB-877D-4DE2-AC9B-F78101A65DF4}" name="Total Votes by Party" totalsRowFunction="custom" dataDxfId="1624" totalsRowDxfId="1623">
      <calculatedColumnFormula>MemberOfAssemblyAssemblyDistrict44General[[#This Row],[Part of Kings County Vote Results]]</calculatedColumnFormula>
      <totalsRowFormula>SUM(MemberOfAssemblyAssemblyDistrict44General[Total Votes by Party])</totalsRowFormula>
    </tableColumn>
    <tableColumn id="2" xr3:uid="{ED55DB0C-3FA5-469C-958F-813AC26EF10C}" name="Total Votes by Candidate" dataDxfId="1622" totalsRowDxfId="1621"/>
  </tableColumns>
  <tableStyleInfo name="TableStyleMedium2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A71202D4-49A5-41F4-965D-212832650E73}" name="MemberOfAssemblyAssemblyDistrict45General" displayName="MemberOfAssemblyAssemblyDistrict45General" ref="A2:D9" totalsRowCount="1" headerRowDxfId="1620" dataDxfId="1618" totalsRowDxfId="1616" headerRowBorderDxfId="1619" tableBorderDxfId="1617" totalsRowBorderDxfId="1615">
  <autoFilter ref="A2:D8" xr:uid="{9E2524FB-8412-449B-91CD-51AF3E3C3668}">
    <filterColumn colId="0" hiddenButton="1"/>
    <filterColumn colId="1" hiddenButton="1"/>
    <filterColumn colId="2" hiddenButton="1"/>
    <filterColumn colId="3" hiddenButton="1"/>
  </autoFilter>
  <tableColumns count="4">
    <tableColumn id="1" xr3:uid="{C7AE0F66-1B86-4F4F-AC4C-5342B08A6012}" name="Candidate Name (Party)" totalsRowLabel="Total Votes by County" dataDxfId="1614" totalsRowDxfId="1613"/>
    <tableColumn id="4" xr3:uid="{E87F5CA0-5AEF-4492-BDBA-A05C0B750EEC}" name="Part of Kings County Vote Results" totalsRowFunction="custom" totalsRowDxfId="1612">
      <totalsRowFormula>SUM(MemberOfAssemblyAssemblyDistrict45General[Part of Kings County Vote Results])</totalsRowFormula>
    </tableColumn>
    <tableColumn id="3" xr3:uid="{8283497B-7D73-4A92-A48F-F9933D1D5F8D}" name="Total Votes by Party" totalsRowFunction="custom" dataDxfId="1611" totalsRowDxfId="1610">
      <calculatedColumnFormula>MemberOfAssemblyAssemblyDistrict45General[[#This Row],[Part of Kings County Vote Results]]</calculatedColumnFormula>
      <totalsRowFormula>SUM(MemberOfAssemblyAssemblyDistrict45General[Total Votes by Party])</totalsRowFormula>
    </tableColumn>
    <tableColumn id="2" xr3:uid="{6BDBA3AD-F288-42BB-84E0-778AAAD26D56}" name="Total Votes by Candidate" dataDxfId="1609" totalsRowDxfId="1608">
      <calculatedColumnFormula>SUM(MemberOfAssemblyAssemblyDistrict45General[[#This Row],[Total Votes by Party]],C4,C5)</calculatedColumnFormula>
    </tableColumn>
  </tableColumns>
  <tableStyleInfo name="TableStyleMedium2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8607E956-13CD-4394-BEA6-0CFADB6173B1}" name="MemberOfAssemblyAssemblyDistrict46General" displayName="MemberOfAssemblyAssemblyDistrict46General" ref="A2:D9" totalsRowCount="1" headerRowDxfId="1607" dataDxfId="1605" totalsRowDxfId="1603" headerRowBorderDxfId="1606" tableBorderDxfId="1604" totalsRowBorderDxfId="1602">
  <autoFilter ref="A2:D8" xr:uid="{19AF2228-AB79-4BFC-9FF2-B9E556269E0B}">
    <filterColumn colId="0" hiddenButton="1"/>
    <filterColumn colId="1" hiddenButton="1"/>
    <filterColumn colId="2" hiddenButton="1"/>
    <filterColumn colId="3" hiddenButton="1"/>
  </autoFilter>
  <tableColumns count="4">
    <tableColumn id="1" xr3:uid="{0D3FE7A3-A258-4A59-98A0-4759FD923447}" name="Candidate Name (Party)" totalsRowLabel="Total Votes by County" dataDxfId="1601" totalsRowDxfId="1600"/>
    <tableColumn id="4" xr3:uid="{21A8EDC4-25F3-4EA0-83BB-4303376689E0}" name="Part of Kings County Vote Results" totalsRowFunction="custom" totalsRowDxfId="1599">
      <totalsRowFormula>SUM(MemberOfAssemblyAssemblyDistrict46General[Part of Kings County Vote Results])</totalsRowFormula>
    </tableColumn>
    <tableColumn id="3" xr3:uid="{AD004FAC-1531-482A-B3CB-64978C417BC6}" name="Total Votes by Party" totalsRowFunction="custom" dataDxfId="1598" totalsRowDxfId="1597">
      <calculatedColumnFormula>MemberOfAssemblyAssemblyDistrict46General[[#This Row],[Part of Kings County Vote Results]]</calculatedColumnFormula>
      <totalsRowFormula>SUM(MemberOfAssemblyAssemblyDistrict46General[Total Votes by Party])</totalsRowFormula>
    </tableColumn>
    <tableColumn id="2" xr3:uid="{9C58D36A-3C0B-49EB-A46A-0871DC1673FA}" name="Total Votes by Candidate" dataDxfId="1596" totalsRowDxfId="1595"/>
  </tableColumns>
  <tableStyleInfo name="TableStyleMedium2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D179B9BE-EFDA-486D-889B-50EE16356479}" name="MemberOfAssemblyAssemblyDistrict47General" displayName="MemberOfAssemblyAssemblyDistrict47General" ref="A2:D10" totalsRowCount="1" headerRowDxfId="1594" dataDxfId="1592" totalsRowDxfId="1590" headerRowBorderDxfId="1593" tableBorderDxfId="1591" totalsRowBorderDxfId="1589">
  <autoFilter ref="A2:D9" xr:uid="{0FB500D4-5CF3-4FDD-8B03-C8032820ABE3}">
    <filterColumn colId="0" hiddenButton="1"/>
    <filterColumn colId="1" hiddenButton="1"/>
    <filterColumn colId="2" hiddenButton="1"/>
    <filterColumn colId="3" hiddenButton="1"/>
  </autoFilter>
  <tableColumns count="4">
    <tableColumn id="1" xr3:uid="{5AD953CF-20BF-4393-8731-093B5A36596C}" name="Candidate Name (Party)" totalsRowLabel="Total Votes by County" dataDxfId="1588" totalsRowDxfId="1587"/>
    <tableColumn id="4" xr3:uid="{6649D7BB-1018-4E72-97FE-4B522DD1C713}" name="Part of Kings County Vote Results" totalsRowFunction="custom" totalsRowDxfId="1586">
      <totalsRowFormula>SUM(MemberOfAssemblyAssemblyDistrict47General[Part of Kings County Vote Results])</totalsRowFormula>
    </tableColumn>
    <tableColumn id="3" xr3:uid="{6695FF29-79A9-4AE5-BC5F-842DC97517BC}" name="Total Votes by Party" totalsRowFunction="custom" dataDxfId="1585" totalsRowDxfId="1584">
      <calculatedColumnFormula>MemberOfAssemblyAssemblyDistrict47General[[#This Row],[Part of Kings County Vote Results]]</calculatedColumnFormula>
      <totalsRowFormula>SUM(MemberOfAssemblyAssemblyDistrict47General[Total Votes by Party])</totalsRowFormula>
    </tableColumn>
    <tableColumn id="2" xr3:uid="{27D1B75A-64D0-427E-AB79-7B821F0B1146}" name="Total Votes by Candidate" dataDxfId="1583" totalsRowDxfId="1582"/>
  </tableColumns>
  <tableStyleInfo name="TableStyleMedium2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2474E2C5-3DE7-4B6D-B6A6-7356444A7393}" name="MemberOfAssemblyAssemblyDistrict48General" displayName="MemberOfAssemblyAssemblyDistrict48General" ref="A2:D8" totalsRowCount="1" headerRowDxfId="1581" dataDxfId="1579" totalsRowDxfId="1577" headerRowBorderDxfId="1580" tableBorderDxfId="1578" totalsRowBorderDxfId="1576">
  <autoFilter ref="A2:D7" xr:uid="{53D9526B-6E5F-4B46-9406-5E6519827817}">
    <filterColumn colId="0" hiddenButton="1"/>
    <filterColumn colId="1" hiddenButton="1"/>
    <filterColumn colId="2" hiddenButton="1"/>
    <filterColumn colId="3" hiddenButton="1"/>
  </autoFilter>
  <tableColumns count="4">
    <tableColumn id="1" xr3:uid="{B991030B-496C-47CA-86F7-AA776E6FD2F1}" name="Candidate Name (Party)" totalsRowLabel="Total Votes by County" dataDxfId="1575" totalsRowDxfId="1574"/>
    <tableColumn id="4" xr3:uid="{9AC4FEE2-3E8F-4D76-A9B3-8DCC2C9D497A}" name="Part of Kings County Vote Results" totalsRowFunction="custom" totalsRowDxfId="1573">
      <totalsRowFormula>SUM(MemberOfAssemblyAssemblyDistrict48General[Part of Kings County Vote Results])</totalsRowFormula>
    </tableColumn>
    <tableColumn id="3" xr3:uid="{D6D7F3D7-F792-411C-A819-4AC128ADE44B}" name="Total Votes by Party" totalsRowFunction="custom" dataDxfId="1572" totalsRowDxfId="1571">
      <calculatedColumnFormula>MemberOfAssemblyAssemblyDistrict48General[[#This Row],[Part of Kings County Vote Results]]</calculatedColumnFormula>
      <totalsRowFormula>SUM(MemberOfAssemblyAssemblyDistrict48General[Total Votes by Party])</totalsRowFormula>
    </tableColumn>
    <tableColumn id="2" xr3:uid="{12F897FE-B67A-48A2-BC8A-87988BB1EE3B}" name="Total Votes by Candidate" dataDxfId="1570" totalsRowDxfId="1569">
      <calculatedColumnFormula>SUM(MemberOfAssemblyAssemblyDistrict48General[[#This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8DE4DA35-B42C-464A-816D-1C93402C81CD}" name="MemberOfAssemblyAssemblyDistrict49General" displayName="MemberOfAssemblyAssemblyDistrict49General" ref="A2:D8" totalsRowCount="1" headerRowDxfId="1568" dataDxfId="1566" totalsRowDxfId="1564" headerRowBorderDxfId="1567" tableBorderDxfId="1565" totalsRowBorderDxfId="1563">
  <autoFilter ref="A2:D7" xr:uid="{C8C88C05-06A4-4214-ADD0-4029FF45B686}">
    <filterColumn colId="0" hiddenButton="1"/>
    <filterColumn colId="1" hiddenButton="1"/>
    <filterColumn colId="2" hiddenButton="1"/>
    <filterColumn colId="3" hiddenButton="1"/>
  </autoFilter>
  <tableColumns count="4">
    <tableColumn id="1" xr3:uid="{FDA3EBE4-4DD6-46DC-AAC0-FFFEF66D63FB}" name="Candidate Name (Party)" totalsRowLabel="Total Votes by County" dataDxfId="1562" totalsRowDxfId="1561"/>
    <tableColumn id="4" xr3:uid="{336E906B-3348-4541-A814-857AF6028DFB}" name="Part of Kings County Vote Results" totalsRowFunction="custom" totalsRowDxfId="1560">
      <totalsRowFormula>SUM(MemberOfAssemblyAssemblyDistrict49General[Part of Kings County Vote Results])</totalsRowFormula>
    </tableColumn>
    <tableColumn id="3" xr3:uid="{8713D921-FF8B-4531-B4CB-EA291505D512}" name="Total Votes by Party" totalsRowFunction="custom" dataDxfId="1559" totalsRowDxfId="1558">
      <calculatedColumnFormula>MemberOfAssemblyAssemblyDistrict49General[[#This Row],[Part of Kings County Vote Results]]</calculatedColumnFormula>
      <totalsRowFormula>SUM(MemberOfAssemblyAssemblyDistrict49General[Total Votes by Party])</totalsRowFormula>
    </tableColumn>
    <tableColumn id="2" xr3:uid="{F0AC78E0-DF49-4E47-B6CD-CEF17CFDBDA7}" name="Total Votes by Candidate" dataDxfId="1557" totalsRowDxfId="155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FDBBF992-F557-466B-BC67-41E70BA78584}" name="MemberOfAssemblyAssemblyDistrict5General" displayName="MemberOfAssemblyAssemblyDistrict5General" ref="A2:D10" totalsRowCount="1" headerRowDxfId="2178" dataDxfId="2176" totalsRowDxfId="2174" headerRowBorderDxfId="2177" tableBorderDxfId="2175" totalsRowBorderDxfId="2173">
  <autoFilter ref="A2:D9" xr:uid="{191796F6-EF24-43FD-BFBB-FAD42DF22204}">
    <filterColumn colId="0" hiddenButton="1"/>
    <filterColumn colId="1" hiddenButton="1"/>
    <filterColumn colId="2" hiddenButton="1"/>
    <filterColumn colId="3" hiddenButton="1"/>
  </autoFilter>
  <tableColumns count="4">
    <tableColumn id="1" xr3:uid="{82EBAAB0-8A91-4D69-84D9-A1850A08E529}" name="Candidate Name (Party)" totalsRowLabel="Total Votes by County" dataDxfId="2172" totalsRowDxfId="2171"/>
    <tableColumn id="4" xr3:uid="{AAD47DBD-15C4-4E0D-9993-039E7997C30F}" name="Part of Suffolk County Vote Results" totalsRowFunction="custom" dataDxfId="2170" totalsRowDxfId="2169">
      <totalsRowFormula>SUM(MemberOfAssemblyAssemblyDistrict5General[Part of Suffolk County Vote Results])</totalsRowFormula>
    </tableColumn>
    <tableColumn id="3" xr3:uid="{BEA1C430-D393-4622-AA08-4A5577EE536B}" name="Total Votes by Party" totalsRowFunction="custom" dataDxfId="2168" totalsRowDxfId="2167">
      <calculatedColumnFormula>MemberOfAssemblyAssemblyDistrict5General[[#This Row],[Part of Suffolk County Vote Results]]</calculatedColumnFormula>
      <totalsRowFormula>SUM(MemberOfAssemblyAssemblyDistrict5General[Total Votes by Party])</totalsRowFormula>
    </tableColumn>
    <tableColumn id="2" xr3:uid="{2E937B37-42D1-4E2C-9A51-4C589A511B90}" name="Total Votes by Candidate" dataDxfId="2166" totalsRowDxfId="2165"/>
  </tableColumns>
  <tableStyleInfo name="TableStyleMedium2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B3676C4C-20FB-40C6-A30A-B0B1FDB9B5B8}" name="MemberOfAssemblyAssemblyDistrict50General" displayName="MemberOfAssemblyAssemblyDistrict50General" ref="A2:D7" totalsRowCount="1" headerRowDxfId="1555" dataDxfId="1553" totalsRowDxfId="1551" headerRowBorderDxfId="1554" tableBorderDxfId="1552" totalsRowBorderDxfId="1550">
  <autoFilter ref="A2:D6" xr:uid="{EB6FA8A7-AE60-48F2-AE64-A3CE1B8F5364}">
    <filterColumn colId="0" hiddenButton="1"/>
    <filterColumn colId="1" hiddenButton="1"/>
    <filterColumn colId="2" hiddenButton="1"/>
    <filterColumn colId="3" hiddenButton="1"/>
  </autoFilter>
  <tableColumns count="4">
    <tableColumn id="1" xr3:uid="{81D11D0D-E87F-48A4-9D6F-CC61AADD8D8B}" name="Candidate Name (Party)" totalsRowLabel="Total Votes by County" dataDxfId="1549" totalsRowDxfId="1548"/>
    <tableColumn id="4" xr3:uid="{61831228-91E5-4907-9649-1389FF43BFC6}" name="Part of Kings County Vote Results" totalsRowFunction="custom" totalsRowDxfId="1547">
      <totalsRowFormula>SUM(MemberOfAssemblyAssemblyDistrict50General[Part of Kings County Vote Results])</totalsRowFormula>
    </tableColumn>
    <tableColumn id="3" xr3:uid="{C5AC150E-771C-46DA-B291-9F63746D4825}" name="Total Votes by Party" totalsRowFunction="custom" dataDxfId="1546" totalsRowDxfId="1545">
      <calculatedColumnFormula>MemberOfAssemblyAssemblyDistrict50General[[#This Row],[Part of Kings County Vote Results]]</calculatedColumnFormula>
      <totalsRowFormula>SUM(MemberOfAssemblyAssemblyDistrict50General[Total Votes by Party])</totalsRowFormula>
    </tableColumn>
    <tableColumn id="2" xr3:uid="{063EB327-5A6E-43C9-93DD-1B8F29FBBB0F}" name="Total Votes by Candidate" dataDxfId="1544" totalsRowDxfId="1543">
      <calculatedColumnFormula>SUM(MemberOfAssemblyAssemblyDistrict50General[[#This Row],[Total Votes by Party]])</calculatedColumnFormula>
    </tableColumn>
  </tableColumns>
  <tableStyleInfo name="TableStyleMedium2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B69A04B4-178C-4003-8F79-9A57A3AB02EA}" name="MemberOfAssemblyAssemblyDistrict51General" displayName="MemberOfAssemblyAssemblyDistrict51General" ref="A2:D8" totalsRowCount="1" headerRowDxfId="1542" dataDxfId="1540" totalsRowDxfId="1538" headerRowBorderDxfId="1541" tableBorderDxfId="1539" totalsRowBorderDxfId="1537">
  <autoFilter ref="A2:D7" xr:uid="{BC690E10-EB3A-4CC2-91D0-994F8CCA005D}">
    <filterColumn colId="0" hiddenButton="1"/>
    <filterColumn colId="1" hiddenButton="1"/>
    <filterColumn colId="2" hiddenButton="1"/>
    <filterColumn colId="3" hiddenButton="1"/>
  </autoFilter>
  <tableColumns count="4">
    <tableColumn id="1" xr3:uid="{2868A6F5-5B77-41B7-BCB3-7B8913D88B44}" name="Candidate Name (Party)" totalsRowLabel="Total Votes by County" dataDxfId="1536" totalsRowDxfId="1535"/>
    <tableColumn id="4" xr3:uid="{C5E0E991-CCAB-42CB-A524-FC03DE8D9F35}" name="Part of Kings County Vote Results" totalsRowFunction="custom" totalsRowDxfId="1534">
      <totalsRowFormula>SUM(MemberOfAssemblyAssemblyDistrict51General[Part of Kings County Vote Results])</totalsRowFormula>
    </tableColumn>
    <tableColumn id="3" xr3:uid="{543EC8DD-F152-4492-B9EE-EA8F893A7675}" name="Total Votes by Party" totalsRowFunction="custom" dataDxfId="1533" totalsRowDxfId="1532">
      <calculatedColumnFormula>MemberOfAssemblyAssemblyDistrict51General[[#This Row],[Part of Kings County Vote Results]]</calculatedColumnFormula>
      <totalsRowFormula>SUM(MemberOfAssemblyAssemblyDistrict51General[Total Votes by Party])</totalsRowFormula>
    </tableColumn>
    <tableColumn id="2" xr3:uid="{34E7B60F-A091-4A16-8243-E336FE830F39}" name="Total Votes by Candidate" dataDxfId="1531" totalsRowDxfId="1530">
      <calculatedColumnFormula>SUM(MemberOfAssemblyAssemblyDistrict51General[[#This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D6BC9E95-F681-447E-BDB5-B43AA3D0DD1A}" name="MemberOfAssemblyAssemblyDistrict52General" displayName="MemberOfAssemblyAssemblyDistrict52General" ref="A2:D8" totalsRowCount="1" headerRowDxfId="1529" dataDxfId="1527" totalsRowDxfId="1525" headerRowBorderDxfId="1528" tableBorderDxfId="1526" totalsRowBorderDxfId="1524">
  <autoFilter ref="A2:D7" xr:uid="{43466E36-55A7-49C8-A7BF-50584D28DAF0}">
    <filterColumn colId="0" hiddenButton="1"/>
    <filterColumn colId="1" hiddenButton="1"/>
    <filterColumn colId="2" hiddenButton="1"/>
    <filterColumn colId="3" hiddenButton="1"/>
  </autoFilter>
  <tableColumns count="4">
    <tableColumn id="1" xr3:uid="{B57F2A61-73D1-4546-9536-50C442C569AB}" name="Candidate Name (Party)" totalsRowLabel="Total Votes by County" dataDxfId="1523" totalsRowDxfId="1522"/>
    <tableColumn id="4" xr3:uid="{844058B7-AC32-4A6D-99D7-A82DC0A5B092}" name="Part of Kings County Vote Results" totalsRowFunction="custom" totalsRowDxfId="1521">
      <totalsRowFormula>SUM(MemberOfAssemblyAssemblyDistrict52General[Part of Kings County Vote Results])</totalsRowFormula>
    </tableColumn>
    <tableColumn id="3" xr3:uid="{7FAEEA22-1572-4711-B156-B0373C0A8A0E}" name="Total Votes by Party" totalsRowFunction="custom" dataDxfId="1520" totalsRowDxfId="1519">
      <calculatedColumnFormula>MemberOfAssemblyAssemblyDistrict52General[[#This Row],[Part of Kings County Vote Results]]</calculatedColumnFormula>
      <totalsRowFormula>SUM(MemberOfAssemblyAssemblyDistrict52General[Total Votes by Party])</totalsRowFormula>
    </tableColumn>
    <tableColumn id="2" xr3:uid="{92C907A0-CED6-4A3F-8252-77212AE97CDA}" name="Total Votes by Candidate" dataDxfId="1518" totalsRowDxfId="1517">
      <calculatedColumnFormula>SUM(MemberOfAssemblyAssemblyDistrict52General[[#This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DF1E5B2D-FD28-408A-8190-4B35208082CD}" name="MemberOfAssemblyAssemblyDistrict53General" displayName="MemberOfAssemblyAssemblyDistrict53General" ref="A2:D7" totalsRowCount="1" headerRowDxfId="1516" dataDxfId="1514" totalsRowDxfId="1512" headerRowBorderDxfId="1515" tableBorderDxfId="1513" totalsRowBorderDxfId="1511">
  <autoFilter ref="A2:D6" xr:uid="{8D067293-3DBB-4DA1-A7C5-D1CEAD629054}">
    <filterColumn colId="0" hiddenButton="1"/>
    <filterColumn colId="1" hiddenButton="1"/>
    <filterColumn colId="2" hiddenButton="1"/>
    <filterColumn colId="3" hiddenButton="1"/>
  </autoFilter>
  <tableColumns count="4">
    <tableColumn id="1" xr3:uid="{145FA9A9-CD0F-4F9D-808E-FB88619EDA75}" name="Candidate Name (Party)" totalsRowLabel="Total Votes by County" dataDxfId="1510" totalsRowDxfId="1509"/>
    <tableColumn id="4" xr3:uid="{B1DB57A5-1EB9-482F-9228-3CE2D4774640}" name="Part of Kings County Vote Results" totalsRowFunction="custom" totalsRowDxfId="1508">
      <totalsRowFormula>SUM(MemberOfAssemblyAssemblyDistrict53General[Part of Kings County Vote Results])</totalsRowFormula>
    </tableColumn>
    <tableColumn id="3" xr3:uid="{B7CC2EC8-A052-49E6-B2D8-F87390A4C585}" name="Total Votes by Party" totalsRowFunction="custom" dataDxfId="1507" totalsRowDxfId="1506">
      <calculatedColumnFormula>MemberOfAssemblyAssemblyDistrict53General[[#This Row],[Part of Kings County Vote Results]]</calculatedColumnFormula>
      <totalsRowFormula>SUM(MemberOfAssemblyAssemblyDistrict53General[Total Votes by Party])</totalsRowFormula>
    </tableColumn>
    <tableColumn id="2" xr3:uid="{85EDEFE5-A1E1-4BA6-91DE-F5F329D3BBC2}" name="Total Votes by Candidate" dataDxfId="1505" totalsRowDxfId="1504">
      <calculatedColumnFormula>SUM(MemberOfAssemblyAssemblyDistrict53General[[#This Row],[Total Votes by Party]])</calculatedColumnFormula>
    </tableColumn>
  </tableColumns>
  <tableStyleInfo name="TableStyleMedium2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F9E861E5-1F2A-4781-95A7-509577709FCA}" name="MemberOfAssemblyAssemblyDistrict54General" displayName="MemberOfAssemblyAssemblyDistrict54General" ref="A2:D9" totalsRowCount="1" headerRowDxfId="1503" dataDxfId="1501" totalsRowDxfId="1499" headerRowBorderDxfId="1502" tableBorderDxfId="1500" totalsRowBorderDxfId="1498">
  <autoFilter ref="A2:D8" xr:uid="{1CF8D885-C45F-4D89-A766-3A66B39900A8}">
    <filterColumn colId="0" hiddenButton="1"/>
    <filterColumn colId="1" hiddenButton="1"/>
    <filterColumn colId="2" hiddenButton="1"/>
    <filterColumn colId="3" hiddenButton="1"/>
  </autoFilter>
  <tableColumns count="4">
    <tableColumn id="1" xr3:uid="{5B1DBE75-0C0C-4A16-AEF1-5A6C28192E8F}" name="Candidate Name (Party)" totalsRowLabel="Total Votes by County" dataDxfId="1497" totalsRowDxfId="1496"/>
    <tableColumn id="4" xr3:uid="{2CDB8431-1374-445A-BC34-1B3411A67127}" name="Part of Kings County Vote Results" totalsRowFunction="custom" totalsRowDxfId="1495">
      <totalsRowFormula>SUM(MemberOfAssemblyAssemblyDistrict54General[Part of Kings County Vote Results])</totalsRowFormula>
    </tableColumn>
    <tableColumn id="3" xr3:uid="{D38ABC37-BE3B-4BE4-8D55-81CA393A53AF}" name="Total Votes by Party" totalsRowFunction="custom" dataDxfId="1494" totalsRowDxfId="1493">
      <calculatedColumnFormula>MemberOfAssemblyAssemblyDistrict54General[[#This Row],[Part of Kings County Vote Results]]</calculatedColumnFormula>
      <totalsRowFormula>SUM(MemberOfAssemblyAssemblyDistrict54General[Total Votes by Party])</totalsRowFormula>
    </tableColumn>
    <tableColumn id="2" xr3:uid="{C0689A2C-88EE-4136-B4AA-0C6EE30C8FC4}" name="Total Votes by Candidate" dataDxfId="1492" totalsRowDxfId="1491"/>
  </tableColumns>
  <tableStyleInfo name="TableStyleMedium2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A3F266B2-52E7-440C-9859-09B78F43F9E8}" name="MemberOfAssemblyAssemblyDistrict55General" displayName="MemberOfAssemblyAssemblyDistrict55General" ref="A2:D8" totalsRowCount="1" headerRowDxfId="1490" dataDxfId="1488" totalsRowDxfId="1486" headerRowBorderDxfId="1489" tableBorderDxfId="1487" totalsRowBorderDxfId="1485">
  <autoFilter ref="A2:D7" xr:uid="{F456B5FE-B223-4E84-BC39-EED62A2AF260}">
    <filterColumn colId="0" hiddenButton="1"/>
    <filterColumn colId="1" hiddenButton="1"/>
    <filterColumn colId="2" hiddenButton="1"/>
    <filterColumn colId="3" hiddenButton="1"/>
  </autoFilter>
  <tableColumns count="4">
    <tableColumn id="1" xr3:uid="{F6C238C7-2610-4A8C-80F6-66C4F0BFED5E}" name="Candidate Name (Party)" totalsRowLabel="Total Votes by County" dataDxfId="1484" totalsRowDxfId="1483"/>
    <tableColumn id="4" xr3:uid="{FD8D476E-C616-4F14-A3F7-2B4BFF99CD8B}" name="Part of Kings County Vote Results" totalsRowFunction="custom" totalsRowDxfId="1482">
      <totalsRowFormula>SUM(MemberOfAssemblyAssemblyDistrict55General[Part of Kings County Vote Results])</totalsRowFormula>
    </tableColumn>
    <tableColumn id="3" xr3:uid="{C13D525F-CBCE-4010-AC0D-29F07368DA91}" name="Total Votes by Party" totalsRowFunction="custom" dataDxfId="1481" totalsRowDxfId="1480">
      <calculatedColumnFormula>MemberOfAssemblyAssemblyDistrict55General[[#This Row],[Part of Kings County Vote Results]]</calculatedColumnFormula>
      <totalsRowFormula>SUM(MemberOfAssemblyAssemblyDistrict55General[Total Votes by Party])</totalsRowFormula>
    </tableColumn>
    <tableColumn id="2" xr3:uid="{4AA979D3-B463-458C-8D07-B67CC2243D9B}" name="Total Votes by Candidate" dataDxfId="1479" totalsRowDxfId="1478"/>
  </tableColumns>
  <tableStyleInfo name="TableStyleMedium2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FF2829E4-5C3D-4CDC-8C80-830E9E8C651D}" name="MemberOfAssemblyAssemblyDistrict56General" displayName="MemberOfAssemblyAssemblyDistrict56General" ref="A2:D7" totalsRowCount="1" headerRowDxfId="1477" dataDxfId="1475" totalsRowDxfId="1473" headerRowBorderDxfId="1476" tableBorderDxfId="1474" totalsRowBorderDxfId="1472">
  <autoFilter ref="A2:D6" xr:uid="{B43538B1-6F61-46C2-AEC0-8740BACEBF7F}">
    <filterColumn colId="0" hiddenButton="1"/>
    <filterColumn colId="1" hiddenButton="1"/>
    <filterColumn colId="2" hiddenButton="1"/>
    <filterColumn colId="3" hiddenButton="1"/>
  </autoFilter>
  <tableColumns count="4">
    <tableColumn id="1" xr3:uid="{FEB77753-26E5-4366-B3F8-8E7F05367A56}" name="Candidate Name (Party)" totalsRowLabel="Total Votes by County" dataDxfId="1471" totalsRowDxfId="1470"/>
    <tableColumn id="4" xr3:uid="{9DAA5F20-10B7-4BF6-B8C1-97CBF554D541}" name="Part of Kings County Vote Results" totalsRowFunction="custom" totalsRowDxfId="1469">
      <totalsRowFormula>SUM(MemberOfAssemblyAssemblyDistrict56General[Part of Kings County Vote Results])</totalsRowFormula>
    </tableColumn>
    <tableColumn id="3" xr3:uid="{1527A0F4-9BE5-4242-85AC-2E9636DFF8FF}" name="Total Votes by Party" totalsRowFunction="custom" dataDxfId="1468" totalsRowDxfId="1467">
      <calculatedColumnFormula>MemberOfAssemblyAssemblyDistrict56General[[#This Row],[Part of Kings County Vote Results]]</calculatedColumnFormula>
      <totalsRowFormula>SUM(MemberOfAssemblyAssemblyDistrict56General[Total Votes by Party])</totalsRowFormula>
    </tableColumn>
    <tableColumn id="2" xr3:uid="{F44A2F83-7DC2-40E9-82E1-821366493449}" name="Total Votes by Candidate" dataDxfId="1466" totalsRowDxfId="1465">
      <calculatedColumnFormula>SUM(MemberOfAssemblyAssemblyDistrict56General[[#This Row],[Total Votes by Party]])</calculatedColumnFormula>
    </tableColumn>
  </tableColumns>
  <tableStyleInfo name="TableStyleMedium2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F54CD81B-A324-43F3-9367-271CED81045F}" name="MemberOfAssemblyAssemblyDistrict57General" displayName="MemberOfAssemblyAssemblyDistrict57General" ref="A2:D8" totalsRowCount="1" headerRowDxfId="1464" dataDxfId="1462" totalsRowDxfId="1460" headerRowBorderDxfId="1463" tableBorderDxfId="1461" totalsRowBorderDxfId="1459">
  <autoFilter ref="A2:D7" xr:uid="{06885FD3-6BA0-4A8B-A771-AA4B6AD34E9B}">
    <filterColumn colId="0" hiddenButton="1"/>
    <filterColumn colId="1" hiddenButton="1"/>
    <filterColumn colId="2" hiddenButton="1"/>
    <filterColumn colId="3" hiddenButton="1"/>
  </autoFilter>
  <tableColumns count="4">
    <tableColumn id="1" xr3:uid="{53BEB0D8-1A4C-48AB-B8C6-8CCD6639B188}" name="Candidate Name (Party)" totalsRowLabel="Total Votes by County" dataDxfId="1458" totalsRowDxfId="1457"/>
    <tableColumn id="4" xr3:uid="{D7439D0E-40A3-4A25-9218-C1DA48C5CC0F}" name="Part of Kings County Vote Results" totalsRowFunction="custom" totalsRowDxfId="1456">
      <totalsRowFormula>SUM(MemberOfAssemblyAssemblyDistrict57General[Part of Kings County Vote Results])</totalsRowFormula>
    </tableColumn>
    <tableColumn id="3" xr3:uid="{8DEE12A4-A0C7-41A5-BC6D-418B325A45D2}" name="Total Votes by Party" totalsRowFunction="custom" dataDxfId="1455" totalsRowDxfId="1454">
      <calculatedColumnFormula>MemberOfAssemblyAssemblyDistrict57General[[#This Row],[Part of Kings County Vote Results]]</calculatedColumnFormula>
      <totalsRowFormula>SUM(MemberOfAssemblyAssemblyDistrict57General[Total Votes by Party])</totalsRowFormula>
    </tableColumn>
    <tableColumn id="2" xr3:uid="{CE4236D9-D91A-476C-AB33-8AF41C181EC7}" name="Total Votes by Candidate" dataDxfId="1453" totalsRowDxfId="1452"/>
  </tableColumns>
  <tableStyleInfo name="TableStyleMedium2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99E54ADB-EC86-4154-B5BD-D6595CC900B5}" name="MemberOfAssemblyAssemblyDistrict58General" displayName="MemberOfAssemblyAssemblyDistrict58General" ref="A2:D8" totalsRowCount="1" headerRowDxfId="1451" dataDxfId="1449" totalsRowDxfId="1447" headerRowBorderDxfId="1450" tableBorderDxfId="1448" totalsRowBorderDxfId="1446">
  <autoFilter ref="A2:D7" xr:uid="{62F76209-C641-4D99-AF0C-3E463FCF6991}">
    <filterColumn colId="0" hiddenButton="1"/>
    <filterColumn colId="1" hiddenButton="1"/>
    <filterColumn colId="2" hiddenButton="1"/>
    <filterColumn colId="3" hiddenButton="1"/>
  </autoFilter>
  <tableColumns count="4">
    <tableColumn id="1" xr3:uid="{75DA4CFB-5FF6-4C52-B4E5-C9272C78206B}" name="Candidate Name (Party)" totalsRowLabel="Total Votes by County" dataDxfId="1445" totalsRowDxfId="1444"/>
    <tableColumn id="4" xr3:uid="{4D272330-99CC-4363-8F30-1957875DEDF4}" name="Part of Kings County Vote Results" totalsRowFunction="custom" totalsRowDxfId="1443">
      <totalsRowFormula>SUM(MemberOfAssemblyAssemblyDistrict58General[Part of Kings County Vote Results])</totalsRowFormula>
    </tableColumn>
    <tableColumn id="3" xr3:uid="{CA723194-848D-4E17-B2E9-328E8A9B8094}" name="Total Votes by Party" totalsRowFunction="custom" dataDxfId="1442" totalsRowDxfId="1441">
      <calculatedColumnFormula>MemberOfAssemblyAssemblyDistrict58General[[#This Row],[Part of Kings County Vote Results]]</calculatedColumnFormula>
      <totalsRowFormula>SUM(MemberOfAssemblyAssemblyDistrict58General[Total Votes by Party])</totalsRowFormula>
    </tableColumn>
    <tableColumn id="2" xr3:uid="{722FBB87-2A04-4697-9612-EE273302DAF7}" name="Total Votes by Candidate" dataDxfId="1440" totalsRowDxfId="1439">
      <calculatedColumnFormula>SUM(MemberOfAssemblyAssemblyDistrict58General[[#This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3F81FE6E-793A-4FD5-A5B0-61E5F606A85F}" name="MemberOfAssemblyAssemblyDistrict59General" displayName="MemberOfAssemblyAssemblyDistrict59General" ref="A2:D7" totalsRowCount="1" headerRowDxfId="1438" dataDxfId="1436" totalsRowDxfId="1434" headerRowBorderDxfId="1437" tableBorderDxfId="1435" totalsRowBorderDxfId="1433">
  <autoFilter ref="A2:D6" xr:uid="{B879D523-A7B9-4628-BDB2-94E50B233A7C}">
    <filterColumn colId="0" hiddenButton="1"/>
    <filterColumn colId="1" hiddenButton="1"/>
    <filterColumn colId="2" hiddenButton="1"/>
    <filterColumn colId="3" hiddenButton="1"/>
  </autoFilter>
  <tableColumns count="4">
    <tableColumn id="1" xr3:uid="{B3C4336B-1E3F-49CE-8839-F760FFB076CE}" name="Candidate Name (Party)" totalsRowLabel="Total Votes by County" dataDxfId="1432" totalsRowDxfId="1431"/>
    <tableColumn id="4" xr3:uid="{875BBA36-736C-4487-896E-F4949447D6E6}" name="Part of Kings County Vote Results" totalsRowFunction="custom" totalsRowDxfId="1430">
      <totalsRowFormula>SUM(MemberOfAssemblyAssemblyDistrict59General[Part of Kings County Vote Results])</totalsRowFormula>
    </tableColumn>
    <tableColumn id="3" xr3:uid="{7EE84E00-814C-4D4F-9758-BF1DF15B1887}" name="Total Votes by Party" totalsRowFunction="custom" dataDxfId="1429" totalsRowDxfId="1428">
      <calculatedColumnFormula>MemberOfAssemblyAssemblyDistrict59General[[#This Row],[Part of Kings County Vote Results]]</calculatedColumnFormula>
      <totalsRowFormula>SUM(MemberOfAssemblyAssemblyDistrict59General[Total Votes by Party])</totalsRowFormula>
    </tableColumn>
    <tableColumn id="2" xr3:uid="{074BB155-6E6A-4663-AF4F-8736B3D4B253}" name="Total Votes by Candidate" dataDxfId="1427" totalsRowDxfId="1426">
      <calculatedColumnFormula>SUM(MemberOfAssemblyAssemblyDistrict59General[[#This Row],[Total Votes by Party]])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E04D408D-1A02-447C-894C-70CA4D0761F3}" name="MemberOfAssemblyAssemblyDistrict6General" displayName="MemberOfAssemblyAssemblyDistrict6General" ref="A2:D11" totalsRowCount="1" headerRowDxfId="2164" dataDxfId="2162" totalsRowDxfId="2160" headerRowBorderDxfId="2163" tableBorderDxfId="2161" totalsRowBorderDxfId="2159">
  <autoFilter ref="A2:D10" xr:uid="{E7499BEB-4B2F-4A09-B862-9DDE62E733A6}">
    <filterColumn colId="0" hiddenButton="1"/>
    <filterColumn colId="1" hiddenButton="1"/>
    <filterColumn colId="2" hiddenButton="1"/>
    <filterColumn colId="3" hiddenButton="1"/>
  </autoFilter>
  <tableColumns count="4">
    <tableColumn id="1" xr3:uid="{408E63AA-0663-4755-85D3-DCED3670E111}" name="Candidate Name (Party)" totalsRowLabel="Total Votes by County" dataDxfId="2158" totalsRowDxfId="2157"/>
    <tableColumn id="4" xr3:uid="{66EB1E13-A431-47AB-AAC4-1C8E55AB9DC3}" name="Part of Suffolk County Vote Results" totalsRowFunction="custom" dataDxfId="2156" totalsRowDxfId="2155">
      <totalsRowFormula>SUM(MemberOfAssemblyAssemblyDistrict6General[Part of Suffolk County Vote Results])</totalsRowFormula>
    </tableColumn>
    <tableColumn id="3" xr3:uid="{8674885B-737A-48BA-BBDB-194A0276F8CD}" name="Total Votes by Party" totalsRowFunction="custom" dataDxfId="2154" totalsRowDxfId="2153">
      <calculatedColumnFormula>MemberOfAssemblyAssemblyDistrict6General[[#This Row],[Part of Suffolk County Vote Results]]</calculatedColumnFormula>
      <totalsRowFormula>SUM(MemberOfAssemblyAssemblyDistrict6General[Total Votes by Party])</totalsRowFormula>
    </tableColumn>
    <tableColumn id="2" xr3:uid="{B166F123-79F6-43C5-AE1B-FE4536CD7E6B}" name="Total Votes by Candidate" dataDxfId="2152" totalsRowDxfId="2151">
      <calculatedColumnFormula>SUM(MemberOfAssemblyAssemblyDistrict6General[[#This Row],[Total Votes by Party]],C6,C7)</calculatedColumnFormula>
    </tableColumn>
  </tableColumns>
  <tableStyleInfo name="TableStyleMedium2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4DD9A570-FE0A-4EF9-9F21-25CA0199DF2A}" name="MemberOfAssemblyAssemblyDistrict60General" displayName="MemberOfAssemblyAssemblyDistrict60General" ref="A2:D7" totalsRowCount="1" headerRowDxfId="1425" dataDxfId="1423" totalsRowDxfId="1421" headerRowBorderDxfId="1424" tableBorderDxfId="1422" totalsRowBorderDxfId="1420">
  <autoFilter ref="A2:D6" xr:uid="{2271CA26-1FB7-4662-AE25-2C1CA44CB5E7}">
    <filterColumn colId="0" hiddenButton="1"/>
    <filterColumn colId="1" hiddenButton="1"/>
    <filterColumn colId="2" hiddenButton="1"/>
    <filterColumn colId="3" hiddenButton="1"/>
  </autoFilter>
  <tableColumns count="4">
    <tableColumn id="1" xr3:uid="{E26892AC-F8BB-427C-A85D-AB25A8EAA6D4}" name="Candidate Name (Party)" totalsRowLabel="Total Votes by County" dataDxfId="1419" totalsRowDxfId="1418"/>
    <tableColumn id="4" xr3:uid="{5674069F-6B26-4651-ABDF-57BCE08AA566}" name="Part of Kings County Vote Results" totalsRowFunction="custom" totalsRowDxfId="1417">
      <totalsRowFormula>SUM(MemberOfAssemblyAssemblyDistrict60General[Part of Kings County Vote Results])</totalsRowFormula>
    </tableColumn>
    <tableColumn id="3" xr3:uid="{47E19BA9-BE41-4718-9FA6-3885EACE43FA}" name="Total Votes by Party" totalsRowFunction="custom" dataDxfId="1416" totalsRowDxfId="1415">
      <calculatedColumnFormula>MemberOfAssemblyAssemblyDistrict60General[[#This Row],[Part of Kings County Vote Results]]</calculatedColumnFormula>
      <totalsRowFormula>SUM(MemberOfAssemblyAssemblyDistrict60General[Total Votes by Party])</totalsRowFormula>
    </tableColumn>
    <tableColumn id="2" xr3:uid="{4693BF7D-48A3-4A59-AB5A-E3616337974A}" name="Total Votes by Candidate" dataDxfId="1414" totalsRowDxfId="1413">
      <calculatedColumnFormula>SUM(MemberOfAssemblyAssemblyDistrict60General[[#This Row],[Total Votes by Party]])</calculatedColumnFormula>
    </tableColumn>
  </tableColumns>
  <tableStyleInfo name="TableStyleMedium2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E295DE8A-CA82-418B-978C-89D69FC4D5AC}" name="MemberOfAssemblyAssemblyDistrict61General" displayName="MemberOfAssemblyAssemblyDistrict61General" ref="A2:D10" totalsRowCount="1" headerRowDxfId="1412" dataDxfId="1410" totalsRowDxfId="1408" headerRowBorderDxfId="1411" tableBorderDxfId="1409" totalsRowBorderDxfId="1407">
  <autoFilter ref="A2:D9" xr:uid="{E0863EA8-6184-4D0D-A38A-2078EB59A87C}">
    <filterColumn colId="0" hiddenButton="1"/>
    <filterColumn colId="1" hiddenButton="1"/>
    <filterColumn colId="2" hiddenButton="1"/>
    <filterColumn colId="3" hiddenButton="1"/>
  </autoFilter>
  <tableColumns count="4">
    <tableColumn id="1" xr3:uid="{929E62C7-C01A-43E0-9985-259C0E324A05}" name="Candidate Name (Party)" totalsRowLabel="Total Votes by County" dataDxfId="1406" totalsRowDxfId="1405"/>
    <tableColumn id="4" xr3:uid="{B8155AFA-6098-45F9-A397-B906E7E91EA6}" name="Part of Richmond County Vote Results" totalsRowFunction="custom" dataDxfId="1404" totalsRowDxfId="1403">
      <totalsRowFormula>SUM(MemberOfAssemblyAssemblyDistrict61General[Part of Richmond County Vote Results])</totalsRowFormula>
    </tableColumn>
    <tableColumn id="3" xr3:uid="{ABF5B2A5-303B-469D-853A-454F6C437F1F}" name="Total Votes by Party" totalsRowFunction="custom" dataDxfId="1402" totalsRowDxfId="1401">
      <calculatedColumnFormula>MemberOfAssemblyAssemblyDistrict61General[[#This Row],[Part of Richmond County Vote Results]]</calculatedColumnFormula>
      <totalsRowFormula>SUM(MemberOfAssemblyAssemblyDistrict61General[Total Votes by Party])</totalsRowFormula>
    </tableColumn>
    <tableColumn id="2" xr3:uid="{E0536B70-BF96-46B0-A926-BDF2200FD9F5}" name="Total Votes by Candidate" dataDxfId="1400" totalsRowDxfId="1399"/>
  </tableColumns>
  <tableStyleInfo name="TableStyleMedium2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EFA576DD-31D2-4C5E-9182-B9773A3CFCE8}" name="MemberOfAssemblyAssemblyDistrict62General" displayName="MemberOfAssemblyAssemblyDistrict62General" ref="A2:D8" totalsRowCount="1" headerRowDxfId="1398" dataDxfId="1396" totalsRowDxfId="1394" headerRowBorderDxfId="1397" tableBorderDxfId="1395" totalsRowBorderDxfId="1393">
  <autoFilter ref="A2:D7" xr:uid="{2008F531-EE74-4162-AF6E-B18BD452C710}">
    <filterColumn colId="0" hiddenButton="1"/>
    <filterColumn colId="1" hiddenButton="1"/>
    <filterColumn colId="2" hiddenButton="1"/>
    <filterColumn colId="3" hiddenButton="1"/>
  </autoFilter>
  <tableColumns count="4">
    <tableColumn id="1" xr3:uid="{8E3FF248-BCE4-448B-8105-C07F65E329F1}" name="Candidate Name (Party)" totalsRowLabel="Total Votes by County" dataDxfId="1392" totalsRowDxfId="1391"/>
    <tableColumn id="4" xr3:uid="{3934527C-04E2-49D9-975A-0FD4553BA256}" name="Part of Richmond County Vote Results" totalsRowFunction="custom" dataDxfId="1390" totalsRowDxfId="1389">
      <totalsRowFormula>SUM(MemberOfAssemblyAssemblyDistrict62General[Part of Richmond County Vote Results])</totalsRowFormula>
    </tableColumn>
    <tableColumn id="3" xr3:uid="{639D6D70-673A-431B-89EA-1037D12BA931}" name="Total Votes by Party" totalsRowFunction="custom" dataDxfId="1388" totalsRowDxfId="1387">
      <calculatedColumnFormula>MemberOfAssemblyAssemblyDistrict62General[[#This Row],[Part of Richmond County Vote Results]]</calculatedColumnFormula>
      <totalsRowFormula>SUM(MemberOfAssemblyAssemblyDistrict62General[Total Votes by Party])</totalsRowFormula>
    </tableColumn>
    <tableColumn id="2" xr3:uid="{5562C0F3-F5D5-46A7-AB7D-75C772BA5E88}" name="Total Votes by Candidate" dataDxfId="1386" totalsRowDxfId="1385">
      <calculatedColumnFormula>SUM(MemberOfAssemblyAssemblyDistrict62General[[#This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DF036304-7275-462B-B52E-D64B0A59DED4}" name="MemberOfAssemblyAssemblyDistrict63General" displayName="MemberOfAssemblyAssemblyDistrict63General" ref="A2:D11" totalsRowCount="1" headerRowDxfId="1384" dataDxfId="1382" totalsRowDxfId="1380" headerRowBorderDxfId="1383" tableBorderDxfId="1381" totalsRowBorderDxfId="1379">
  <autoFilter ref="A2:D10" xr:uid="{CD12E5BF-E9AF-4AB7-96CD-801D41AE948E}">
    <filterColumn colId="0" hiddenButton="1"/>
    <filterColumn colId="1" hiddenButton="1"/>
    <filterColumn colId="2" hiddenButton="1"/>
    <filterColumn colId="3" hiddenButton="1"/>
  </autoFilter>
  <tableColumns count="4">
    <tableColumn id="1" xr3:uid="{F9F8063C-D5A1-417D-8086-A56E0E52E61A}" name="Candidate Name (Party)" totalsRowLabel="Total Votes by County" dataDxfId="1378" totalsRowDxfId="1377"/>
    <tableColumn id="4" xr3:uid="{7BAFD56B-1DEB-45A8-BE2D-4F2BF9584B3B}" name="Part of Richmond County Vote Results" totalsRowFunction="custom" dataDxfId="1376" totalsRowDxfId="1375">
      <totalsRowFormula>SUM(MemberOfAssemblyAssemblyDistrict63General[Part of Richmond County Vote Results])</totalsRowFormula>
    </tableColumn>
    <tableColumn id="3" xr3:uid="{FCAFA0BE-7F28-4893-9261-BB0640C6A8C3}" name="Total Votes by Party" totalsRowFunction="custom" dataDxfId="1374" totalsRowDxfId="1373">
      <calculatedColumnFormula>MemberOfAssemblyAssemblyDistrict63General[[#This Row],[Part of Richmond County Vote Results]]</calculatedColumnFormula>
      <totalsRowFormula>SUM(MemberOfAssemblyAssemblyDistrict63General[Total Votes by Party])</totalsRowFormula>
    </tableColumn>
    <tableColumn id="2" xr3:uid="{5AEF5468-7D01-4E2D-8869-15A6EE26FE2B}" name="Total Votes by Candidate" dataDxfId="1372" totalsRowDxfId="1371"/>
  </tableColumns>
  <tableStyleInfo name="TableStyleMedium2" showFirstColumn="0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B9190101-8FBD-4D0A-BB0F-0EE2FB2EFE89}" name="MemberOfAssemblyAssemblyDistrict64General" displayName="MemberOfAssemblyAssemblyDistrict64General" ref="A2:E10" totalsRowCount="1" headerRowDxfId="1370" dataDxfId="1368" totalsRowDxfId="1366" headerRowBorderDxfId="1369" tableBorderDxfId="1367" totalsRowBorderDxfId="1365">
  <autoFilter ref="A2:E9" xr:uid="{6E679F01-FEC9-4F10-BEC2-66FBB32BDB3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FC03B5C-A9FD-4FB2-AE9B-490B1B92C7E9}" name="Candidate Name (Party)" totalsRowLabel="Total Votes by County" dataDxfId="1364" totalsRowDxfId="1363"/>
    <tableColumn id="2" xr3:uid="{E744BA52-22CE-48F4-AB6E-FCAF4CCD33B9}" name="Part of Kings County Vote Results" totalsRowFunction="custom" totalsRowDxfId="1362">
      <totalsRowFormula>SUM(MemberOfAssemblyAssemblyDistrict64General[Part of Kings County Vote Results])</totalsRowFormula>
    </tableColumn>
    <tableColumn id="4" xr3:uid="{33A655DD-397E-4B35-A55D-72549191DCA1}" name="Part of Richmond County Vote Results" totalsRowFunction="custom" dataDxfId="1361" totalsRowDxfId="1360">
      <totalsRowFormula>SUM(MemberOfAssemblyAssemblyDistrict64General[Part of Richmond County Vote Results])</totalsRowFormula>
    </tableColumn>
    <tableColumn id="3" xr3:uid="{EF61A3F9-A4D8-44E4-8331-1FC87E3B31A4}" name="Total Votes by Party" totalsRowFunction="custom" dataDxfId="1359" totalsRowDxfId="1358">
      <calculatedColumnFormula>SUM(MemberOfAssemblyAssemblyDistrict64General[[#This Row],[Part of Kings County Vote Results]:[Part of Richmond County Vote Results]])</calculatedColumnFormula>
      <totalsRowFormula>SUM(D3:D9)</totalsRowFormula>
    </tableColumn>
    <tableColumn id="5" xr3:uid="{A216CED5-021E-41F1-AA25-7341704066A4}" name="Total Votes by Candidate" dataDxfId="1357" totalsRowDxfId="1356"/>
  </tableColumns>
  <tableStyleInfo name="TableStyleMedium2" showFirstColumn="0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52163118-3829-4615-9A9D-96D13F811ECC}" name="MemberOfAssemblyAssemblyDistrict65General" displayName="MemberOfAssemblyAssemblyDistrict65General" ref="A2:D8" totalsRowCount="1" headerRowDxfId="1355" dataDxfId="1353" totalsRowDxfId="1351" headerRowBorderDxfId="1354" tableBorderDxfId="1352" totalsRowBorderDxfId="1350">
  <autoFilter ref="A2:D7" xr:uid="{7E494556-0D9D-4D28-95F5-DF8B28663B44}">
    <filterColumn colId="0" hiddenButton="1"/>
    <filterColumn colId="1" hiddenButton="1"/>
    <filterColumn colId="2" hiddenButton="1"/>
    <filterColumn colId="3" hiddenButton="1"/>
  </autoFilter>
  <tableColumns count="4">
    <tableColumn id="1" xr3:uid="{E35B8A1A-48AF-470F-983C-D40187782F7A}" name="Candidate Name (Party)" totalsRowLabel="Total Votes by County" dataDxfId="1349" totalsRowDxfId="1348"/>
    <tableColumn id="4" xr3:uid="{BFB90235-5222-4A02-962A-E333988CB069}" name="Part of New York County Vote Results" totalsRowFunction="custom" dataDxfId="1347" totalsRowDxfId="1346">
      <totalsRowFormula>SUM(MemberOfAssemblyAssemblyDistrict65General[Part of New York County Vote Results])</totalsRowFormula>
    </tableColumn>
    <tableColumn id="3" xr3:uid="{E358CC26-2AC1-4255-BDB2-D3C2CA739557}" name="Total Votes by Party" totalsRowFunction="custom" dataDxfId="1345" totalsRowDxfId="1344">
      <calculatedColumnFormula>MemberOfAssemblyAssemblyDistrict65General[[#This Row],[Part of New York County Vote Results]]</calculatedColumnFormula>
      <totalsRowFormula>SUM(MemberOfAssemblyAssemblyDistrict65General[Total Votes by Party])</totalsRowFormula>
    </tableColumn>
    <tableColumn id="2" xr3:uid="{5786E389-4592-4241-85CC-9BD6DB99DE6F}" name="Total Votes by Candidate" dataDxfId="1343" totalsRowDxfId="1342">
      <calculatedColumnFormula>SUM(MemberOfAssemblyAssemblyDistrict65General[[#This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11D6AB22-E9E9-43D4-9D14-91AC1A731B2D}" name="MemberOfAssemblyAssemblyDistrict66General" displayName="MemberOfAssemblyAssemblyDistrict66General" ref="A2:D8" totalsRowCount="1" headerRowDxfId="1341" dataDxfId="1339" totalsRowDxfId="1337" headerRowBorderDxfId="1340" tableBorderDxfId="1338" totalsRowBorderDxfId="1336">
  <autoFilter ref="A2:D7" xr:uid="{DB588E57-B3EA-45ED-B396-65AD89BE7DBB}">
    <filterColumn colId="0" hiddenButton="1"/>
    <filterColumn colId="1" hiddenButton="1"/>
    <filterColumn colId="2" hiddenButton="1"/>
    <filterColumn colId="3" hiddenButton="1"/>
  </autoFilter>
  <tableColumns count="4">
    <tableColumn id="1" xr3:uid="{95B4D9E5-25A9-4244-B1E5-40009E5D547A}" name="Candidate Name (Party)" totalsRowLabel="Total Votes by County" dataDxfId="1335" totalsRowDxfId="1334"/>
    <tableColumn id="4" xr3:uid="{C5DA104D-62F1-45F2-A6E4-D612277B58F2}" name="Part of New York County Vote Results" totalsRowFunction="custom" dataDxfId="1333" totalsRowDxfId="1332">
      <totalsRowFormula>SUM(MemberOfAssemblyAssemblyDistrict66General[Part of New York County Vote Results])</totalsRowFormula>
    </tableColumn>
    <tableColumn id="3" xr3:uid="{A8DE02FF-AB83-4AB8-8605-ABD6F4613311}" name="Total Votes by Party" totalsRowFunction="custom" dataDxfId="1331" totalsRowDxfId="1330">
      <calculatedColumnFormula>MemberOfAssemblyAssemblyDistrict66General[[#This Row],[Part of New York County Vote Results]]</calculatedColumnFormula>
      <totalsRowFormula>SUM(MemberOfAssemblyAssemblyDistrict66General[Total Votes by Party])</totalsRowFormula>
    </tableColumn>
    <tableColumn id="2" xr3:uid="{C1281449-FDE4-4881-BB9A-853B5BB5B70A}" name="Total Votes by Candidate" dataDxfId="1329" totalsRowDxfId="1328"/>
  </tableColumns>
  <tableStyleInfo name="TableStyleMedium2" showFirstColumn="0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217F1ECA-F079-4398-AECC-026CB2FCE3D6}" name="MemberOfAssemblyAssemblyDistrict67General" displayName="MemberOfAssemblyAssemblyDistrict67General" ref="A2:D8" totalsRowCount="1" headerRowDxfId="1327" dataDxfId="1325" totalsRowDxfId="1323" headerRowBorderDxfId="1326" tableBorderDxfId="1324" totalsRowBorderDxfId="1322">
  <autoFilter ref="A2:D7" xr:uid="{0E084527-67C2-40AC-B2D5-2A8904DBFF70}">
    <filterColumn colId="0" hiddenButton="1"/>
    <filterColumn colId="1" hiddenButton="1"/>
    <filterColumn colId="2" hiddenButton="1"/>
    <filterColumn colId="3" hiddenButton="1"/>
  </autoFilter>
  <tableColumns count="4">
    <tableColumn id="1" xr3:uid="{DB927104-EEA9-4DD4-9CAC-9C562C2671A4}" name="Candidate Name (Party)" totalsRowLabel="Total Votes by County" dataDxfId="1321" totalsRowDxfId="1320"/>
    <tableColumn id="5" xr3:uid="{3BE9FB2F-6E2B-49F7-A383-6614D34646AA}" name="Part of New York County Vote Results" totalsRowFunction="custom" dataDxfId="1319" totalsRowDxfId="1318">
      <totalsRowFormula>SUM(MemberOfAssemblyAssemblyDistrict67General[Part of New York County Vote Results])</totalsRowFormula>
    </tableColumn>
    <tableColumn id="3" xr3:uid="{3FF109BA-454B-4BAB-ADAC-44221F211B96}" name="Total Votes by Party" totalsRowFunction="custom" dataDxfId="1317" totalsRowDxfId="1316">
      <calculatedColumnFormula>MemberOfAssemblyAssemblyDistrict67General[[#This Row],[Part of New York County Vote Results]]</calculatedColumnFormula>
      <totalsRowFormula>SUM(MemberOfAssemblyAssemblyDistrict67General[Total Votes by Party])</totalsRowFormula>
    </tableColumn>
    <tableColumn id="2" xr3:uid="{537A10F8-E3F7-4ED8-A037-F178672A1653}" name="Total Votes by Candidate" dataDxfId="1315" totalsRowDxfId="1314">
      <calculatedColumnFormula>SUM(MemberOfAssemblyAssemblyDistrict67General[[#This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C2018CAD-7C79-44C6-B8AE-8EFE689C5C8F}" name="MemberOfAssemblyAssemblyDistrict68General" displayName="MemberOfAssemblyAssemblyDistrict68General" ref="A2:D8" totalsRowCount="1" headerRowDxfId="1313" dataDxfId="1311" totalsRowDxfId="1309" headerRowBorderDxfId="1312" tableBorderDxfId="1310" totalsRowBorderDxfId="1308">
  <autoFilter ref="A2:D7" xr:uid="{7C0C90E0-7094-436E-AE33-860942F94EB6}">
    <filterColumn colId="0" hiddenButton="1"/>
    <filterColumn colId="1" hiddenButton="1"/>
    <filterColumn colId="2" hiddenButton="1"/>
    <filterColumn colId="3" hiddenButton="1"/>
  </autoFilter>
  <tableColumns count="4">
    <tableColumn id="1" xr3:uid="{1DEE1EF1-BE0B-47C7-A296-0539D498A803}" name="Candidate Name (Party)" totalsRowLabel="Total Votes by County" dataDxfId="1307" totalsRowDxfId="1306"/>
    <tableColumn id="4" xr3:uid="{23337A1F-FF3F-4F1E-A1FF-65224724A056}" name="Part of New York County Vote Results" totalsRowFunction="custom" dataDxfId="1305" totalsRowDxfId="1304">
      <totalsRowFormula>SUM(MemberOfAssemblyAssemblyDistrict68General[Part of New York County Vote Results])</totalsRowFormula>
    </tableColumn>
    <tableColumn id="3" xr3:uid="{B2C6A4BB-2DB4-4F98-946C-6FFB0FC43DF3}" name="Total Votes by Party" totalsRowFunction="custom" dataDxfId="1303" totalsRowDxfId="1302">
      <calculatedColumnFormula>MemberOfAssemblyAssemblyDistrict68General[[#This Row],[Part of New York County Vote Results]]</calculatedColumnFormula>
      <totalsRowFormula>SUM(MemberOfAssemblyAssemblyDistrict68General[Total Votes by Party])</totalsRowFormula>
    </tableColumn>
    <tableColumn id="2" xr3:uid="{FD46F076-9DED-4D23-88FA-313486BC9D3A}" name="Total Votes by Candidate" dataDxfId="1301" totalsRowDxfId="1300"/>
  </tableColumns>
  <tableStyleInfo name="TableStyleMedium2" showFirstColumn="0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3F6ABA3A-A9C8-466C-AB36-B24D5D79E0A3}" name="MemberOfAssemblyAssemblyDistrict69General" displayName="MemberOfAssemblyAssemblyDistrict69General" ref="A2:D7" totalsRowCount="1" headerRowDxfId="1299" dataDxfId="1297" totalsRowDxfId="1295" headerRowBorderDxfId="1298" tableBorderDxfId="1296" totalsRowBorderDxfId="1294">
  <autoFilter ref="A2:D6" xr:uid="{49F6F76A-2CF7-46A3-9E61-C944DC0AA3FE}">
    <filterColumn colId="0" hiddenButton="1"/>
    <filterColumn colId="1" hiddenButton="1"/>
    <filterColumn colId="2" hiddenButton="1"/>
    <filterColumn colId="3" hiddenButton="1"/>
  </autoFilter>
  <tableColumns count="4">
    <tableColumn id="1" xr3:uid="{F78B24B6-7CCC-4685-99C5-3CB5F38C55AE}" name="Candidate Name (Party)" totalsRowLabel="Total Votes by County" dataDxfId="1293" totalsRowDxfId="1292"/>
    <tableColumn id="4" xr3:uid="{0EB94B6C-A30D-41BF-99EC-2BACFC09703B}" name="Part of New York County Vote Results" totalsRowFunction="custom" dataDxfId="1291" totalsRowDxfId="1290">
      <totalsRowFormula>SUM(MemberOfAssemblyAssemblyDistrict69General[Part of New York County Vote Results])</totalsRowFormula>
    </tableColumn>
    <tableColumn id="3" xr3:uid="{82106AD7-EFE5-4457-A11B-69F7EE09EC9C}" name="Total Votes by Party" totalsRowFunction="custom" dataDxfId="1289" totalsRowDxfId="1288">
      <calculatedColumnFormula>MemberOfAssemblyAssemblyDistrict69General[[#This Row],[Part of New York County Vote Results]]</calculatedColumnFormula>
      <totalsRowFormula>SUM(MemberOfAssemblyAssemblyDistrict69General[Total Votes by Party])</totalsRowFormula>
    </tableColumn>
    <tableColumn id="2" xr3:uid="{A182F7FC-A9A8-4F0F-910E-C684C83FF3C2}" name="Total Votes by Candidate" dataDxfId="1287" totalsRowDxfId="1286">
      <calculatedColumnFormula>SUM(MemberOfAssemblyAssemblyDistrict69General[[#This Row],[Total Votes by Party]])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AA404EE-867C-4944-A818-1BB7AE1C2E67}" name="MemberOfAssemblyAssemblyDistrict7General" displayName="MemberOfAssemblyAssemblyDistrict7General" ref="A2:D10" totalsRowCount="1" headerRowDxfId="2150" dataDxfId="2148" totalsRowDxfId="2146" headerRowBorderDxfId="2149" tableBorderDxfId="2147" totalsRowBorderDxfId="2145">
  <autoFilter ref="A2:D9" xr:uid="{E19D91E1-7459-4196-84D7-F3AAF741A265}">
    <filterColumn colId="0" hiddenButton="1"/>
    <filterColumn colId="1" hiddenButton="1"/>
    <filterColumn colId="2" hiddenButton="1"/>
    <filterColumn colId="3" hiddenButton="1"/>
  </autoFilter>
  <tableColumns count="4">
    <tableColumn id="1" xr3:uid="{37D426C2-94F6-4EF0-B2B6-E4685D7F7AF3}" name="Candidate Name (Party)" totalsRowLabel="Total Votes by County" dataDxfId="2144" totalsRowDxfId="2143"/>
    <tableColumn id="4" xr3:uid="{8756587C-48D2-448D-A2E0-73004272500A}" name="Part of Suffolk County Vote Results" totalsRowFunction="custom" dataDxfId="2142" totalsRowDxfId="2141">
      <totalsRowFormula>SUM(MemberOfAssemblyAssemblyDistrict7General[Part of Suffolk County Vote Results])</totalsRowFormula>
    </tableColumn>
    <tableColumn id="3" xr3:uid="{FF143E45-AFE5-43C1-9D40-8BB568A557BC}" name="Total Votes by Party" totalsRowFunction="custom" dataDxfId="2140" totalsRowDxfId="2139">
      <calculatedColumnFormula>MemberOfAssemblyAssemblyDistrict7General[[#This Row],[Part of Suffolk County Vote Results]]</calculatedColumnFormula>
      <totalsRowFormula>SUM(MemberOfAssemblyAssemblyDistrict7General[Total Votes by Party])</totalsRowFormula>
    </tableColumn>
    <tableColumn id="2" xr3:uid="{E7C3DD7E-AF80-4876-B221-4A9A6DE37ADF}" name="Total Votes by Candidate" dataDxfId="2138" totalsRowDxfId="2137"/>
  </tableColumns>
  <tableStyleInfo name="TableStyleMedium2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E3296B78-A9B7-4D3F-9DAE-253843DFCDA6}" name="MemberOfAssemblyAssemblyDistrict70General" displayName="MemberOfAssemblyAssemblyDistrict70General" ref="A2:D8" totalsRowCount="1" headerRowDxfId="1285" dataDxfId="1283" totalsRowDxfId="1281" headerRowBorderDxfId="1284" tableBorderDxfId="1282" totalsRowBorderDxfId="1280">
  <autoFilter ref="A2:D7" xr:uid="{7C41311A-532C-46E5-9E8C-EAC4A30F20BE}">
    <filterColumn colId="0" hiddenButton="1"/>
    <filterColumn colId="1" hiddenButton="1"/>
    <filterColumn colId="2" hiddenButton="1"/>
    <filterColumn colId="3" hiddenButton="1"/>
  </autoFilter>
  <tableColumns count="4">
    <tableColumn id="1" xr3:uid="{163DE2E2-5F60-48AE-B148-45EFC1A039A5}" name="Candidate Name (Party)" totalsRowLabel="Total Votes by County" dataDxfId="1279" totalsRowDxfId="1278"/>
    <tableColumn id="4" xr3:uid="{A2526936-29B4-4934-82FF-D4A80210DD08}" name="Part of New York County Vote Results" totalsRowFunction="custom" dataDxfId="1277" totalsRowDxfId="1276">
      <totalsRowFormula>SUM(MemberOfAssemblyAssemblyDistrict70General[Part of New York County Vote Results])</totalsRowFormula>
    </tableColumn>
    <tableColumn id="3" xr3:uid="{7CAE7808-E351-4C91-8CAA-97FEC16E8732}" name="Total Votes by Party" totalsRowFunction="custom" dataDxfId="1275" totalsRowDxfId="1274">
      <calculatedColumnFormula>MemberOfAssemblyAssemblyDistrict70General[[#This Row],[Part of New York County Vote Results]]</calculatedColumnFormula>
      <totalsRowFormula>SUM(MemberOfAssemblyAssemblyDistrict70General[Total Votes by Party])</totalsRowFormula>
    </tableColumn>
    <tableColumn id="2" xr3:uid="{46DFC8BA-22D7-4DAC-AD27-EEA842DB7934}" name="Total Votes by Candidate" dataDxfId="1273" totalsRowDxfId="1272"/>
  </tableColumns>
  <tableStyleInfo name="TableStyleMedium2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46AC654D-AD8F-47F2-9E97-B88A65799DF7}" name="MemberOfAssemblyAssemblyDistrict71General" displayName="MemberOfAssemblyAssemblyDistrict71General" ref="A2:D8" totalsRowCount="1" headerRowDxfId="1271" dataDxfId="1269" totalsRowDxfId="1267" headerRowBorderDxfId="1270" tableBorderDxfId="1268" totalsRowBorderDxfId="1266">
  <autoFilter ref="A2:D7" xr:uid="{77E001F6-E3E2-4F4D-98EF-A36C4F19460C}">
    <filterColumn colId="0" hiddenButton="1"/>
    <filterColumn colId="1" hiddenButton="1"/>
    <filterColumn colId="2" hiddenButton="1"/>
    <filterColumn colId="3" hiddenButton="1"/>
  </autoFilter>
  <tableColumns count="4">
    <tableColumn id="1" xr3:uid="{DE55A712-169D-4AB5-983D-D0D38018ABF9}" name="Candidate Name (Party)" totalsRowLabel="Total Votes by County" dataDxfId="1265" totalsRowDxfId="1264"/>
    <tableColumn id="4" xr3:uid="{C2332B83-6D95-4D4F-AAED-787F12AFCD52}" name="Part of New York County Vote Results" totalsRowFunction="custom" dataDxfId="1263" totalsRowDxfId="1262">
      <totalsRowFormula>SUM(MemberOfAssemblyAssemblyDistrict71General[Part of New York County Vote Results])</totalsRowFormula>
    </tableColumn>
    <tableColumn id="3" xr3:uid="{870ADC55-291D-4A20-8808-898D9D248DA8}" name="Total Votes by Party" totalsRowFunction="custom" dataDxfId="1261" totalsRowDxfId="1260">
      <calculatedColumnFormula>MemberOfAssemblyAssemblyDistrict71General[[#This Row],[Part of New York County Vote Results]]</calculatedColumnFormula>
      <totalsRowFormula>SUM(MemberOfAssemblyAssemblyDistrict71General[Total Votes by Party])</totalsRowFormula>
    </tableColumn>
    <tableColumn id="2" xr3:uid="{E9B65A61-0D27-47B2-AB8A-39CA8B516D28}" name="Total Votes by Candidate" dataDxfId="1259" totalsRowDxfId="1258">
      <calculatedColumnFormula>SUM(MemberOfAssemblyAssemblyDistrict71General[[#This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B2D04295-0F80-4838-BD34-CDAE64328F57}" name="MemberOfAssemblyAssemblyDistrict72General" displayName="MemberOfAssemblyAssemblyDistrict72General" ref="A2:D7" totalsRowCount="1" headerRowDxfId="1257" dataDxfId="1255" totalsRowDxfId="1253" headerRowBorderDxfId="1256" tableBorderDxfId="1254" totalsRowBorderDxfId="1252">
  <autoFilter ref="A2:D6" xr:uid="{5EBC0DDE-FD36-4287-9275-1AA487E169B4}">
    <filterColumn colId="0" hiddenButton="1"/>
    <filterColumn colId="1" hiddenButton="1"/>
    <filterColumn colId="2" hiddenButton="1"/>
    <filterColumn colId="3" hiddenButton="1"/>
  </autoFilter>
  <tableColumns count="4">
    <tableColumn id="1" xr3:uid="{FCFE4E08-F9FA-4308-B535-95495A0DB40A}" name="Candidate Name (Party)" totalsRowLabel="Total Votes by County" dataDxfId="1251" totalsRowDxfId="1250"/>
    <tableColumn id="4" xr3:uid="{12936EF2-CDB8-4A9F-A6F6-5046CEDBBA08}" name="Part of New York County Vote Results" totalsRowFunction="custom" dataDxfId="1249" totalsRowDxfId="1248">
      <totalsRowFormula>SUM(MemberOfAssemblyAssemblyDistrict72General[Part of New York County Vote Results])</totalsRowFormula>
    </tableColumn>
    <tableColumn id="3" xr3:uid="{E73DABD6-4DC7-4925-9C71-A07A7D121620}" name="Total Votes by Party" totalsRowFunction="custom" dataDxfId="1247" totalsRowDxfId="1246">
      <calculatedColumnFormula>MemberOfAssemblyAssemblyDistrict72General[[#This Row],[Part of New York County Vote Results]]</calculatedColumnFormula>
      <totalsRowFormula>SUM(MemberOfAssemblyAssemblyDistrict72General[Total Votes by Party])</totalsRowFormula>
    </tableColumn>
    <tableColumn id="2" xr3:uid="{2F8B2997-7DE0-4837-8AD8-1097CFADC94E}" name="Total Votes by Candidate" dataDxfId="1245" totalsRowDxfId="1244">
      <calculatedColumnFormula>SUM(MemberOfAssemblyAssemblyDistrict72General[[#This Row],[Total Votes by Party]])</calculatedColumnFormula>
    </tableColumn>
  </tableColumns>
  <tableStyleInfo name="TableStyleMedium2" showFirstColumn="0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684B1DE2-5C54-44EF-9423-B3250A73254D}" name="MemberOfAssemblyAssemblyDistrict73General" displayName="MemberOfAssemblyAssemblyDistrict73General" ref="A2:D9" totalsRowCount="1" headerRowDxfId="1243" dataDxfId="1241" totalsRowDxfId="1239" headerRowBorderDxfId="1242" tableBorderDxfId="1240" totalsRowBorderDxfId="1238">
  <autoFilter ref="A2:D8" xr:uid="{F8344306-FA5C-4A2A-866C-4B4891817A6F}">
    <filterColumn colId="0" hiddenButton="1"/>
    <filterColumn colId="1" hiddenButton="1"/>
    <filterColumn colId="2" hiddenButton="1"/>
    <filterColumn colId="3" hiddenButton="1"/>
  </autoFilter>
  <tableColumns count="4">
    <tableColumn id="1" xr3:uid="{91017461-549A-484F-8FCB-E1924CF780F6}" name="Candidate Name (Party)" totalsRowLabel="Total Votes by County" dataDxfId="1237" totalsRowDxfId="1236"/>
    <tableColumn id="4" xr3:uid="{33AD9FF9-6404-4107-9BE6-50AFE24A9C91}" name="Part of New York County Vote Results" totalsRowFunction="custom" dataDxfId="1235" totalsRowDxfId="1234">
      <totalsRowFormula>SUM(MemberOfAssemblyAssemblyDistrict73General[Part of New York County Vote Results])</totalsRowFormula>
    </tableColumn>
    <tableColumn id="3" xr3:uid="{B9199826-AA3D-4809-9FAF-F3C6E49DD5B8}" name="Total Votes by Party" totalsRowFunction="custom" dataDxfId="1233" totalsRowDxfId="1232">
      <calculatedColumnFormula>MemberOfAssemblyAssemblyDistrict73General[[#This Row],[Part of New York County Vote Results]]</calculatedColumnFormula>
      <totalsRowFormula>SUM(MemberOfAssemblyAssemblyDistrict73General[Total Votes by Party])</totalsRowFormula>
    </tableColumn>
    <tableColumn id="2" xr3:uid="{853CF1D9-D7A3-436A-82A6-359F13AA73A5}" name="Total Votes by Candidate" dataDxfId="1231" totalsRowDxfId="1230"/>
  </tableColumns>
  <tableStyleInfo name="TableStyleMedium2" showFirstColumn="0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C25FEFA4-90F8-41EF-864D-FB382A1DB46E}" name="MemberOfAssemblyAssemblyDistrict74General" displayName="MemberOfAssemblyAssemblyDistrict74General" ref="A2:D8" totalsRowCount="1" headerRowDxfId="1229" dataDxfId="1227" totalsRowDxfId="1225" headerRowBorderDxfId="1228" tableBorderDxfId="1226" totalsRowBorderDxfId="1224">
  <autoFilter ref="A2:D7" xr:uid="{6AAEA862-096D-426F-818F-6A9BEB4EB583}">
    <filterColumn colId="0" hiddenButton="1"/>
    <filterColumn colId="1" hiddenButton="1"/>
    <filterColumn colId="2" hiddenButton="1"/>
    <filterColumn colId="3" hiddenButton="1"/>
  </autoFilter>
  <tableColumns count="4">
    <tableColumn id="1" xr3:uid="{7D73367B-5C1C-41EE-9F7F-5B670427278B}" name="Candidate Name (Party)" totalsRowLabel="Total Votes by County" dataDxfId="1223" totalsRowDxfId="1222"/>
    <tableColumn id="4" xr3:uid="{04FB87CD-6E3B-4F44-933E-3D7E1AC03699}" name="Part of New York County Vote Results" totalsRowFunction="custom" dataDxfId="1221" totalsRowDxfId="1220">
      <totalsRowFormula>SUM(MemberOfAssemblyAssemblyDistrict74General[Part of New York County Vote Results])</totalsRowFormula>
    </tableColumn>
    <tableColumn id="3" xr3:uid="{82886A62-8CE8-46EA-9142-31355A20C8F1}" name="Total Votes by Party" totalsRowFunction="custom" dataDxfId="1219" totalsRowDxfId="1218">
      <calculatedColumnFormula>MemberOfAssemblyAssemblyDistrict74General[[#This Row],[Part of New York County Vote Results]]</calculatedColumnFormula>
      <totalsRowFormula>SUM(MemberOfAssemblyAssemblyDistrict74General[Total Votes by Party])</totalsRowFormula>
    </tableColumn>
    <tableColumn id="2" xr3:uid="{5E4249D2-6A69-4BCA-9895-7D1A88439D59}" name="Total Votes by Candidate" dataDxfId="1217" totalsRowDxfId="1216">
      <calculatedColumnFormula>SUM(MemberOfAssemblyAssemblyDistrict74General[[#This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E18E7E63-7943-4DA3-9E90-74332734943F}" name="MemberOfAssemblyAssemblyDistrict75General" displayName="MemberOfAssemblyAssemblyDistrict75General" ref="A2:D8" totalsRowCount="1" headerRowDxfId="1215" dataDxfId="1213" totalsRowDxfId="1211" headerRowBorderDxfId="1214" tableBorderDxfId="1212" totalsRowBorderDxfId="1210">
  <autoFilter ref="A2:D7" xr:uid="{26E716A0-5533-40E4-B82D-C8105E11FC7B}">
    <filterColumn colId="0" hiddenButton="1"/>
    <filterColumn colId="1" hiddenButton="1"/>
    <filterColumn colId="2" hiddenButton="1"/>
    <filterColumn colId="3" hiddenButton="1"/>
  </autoFilter>
  <tableColumns count="4">
    <tableColumn id="1" xr3:uid="{37FD1BA9-2CCE-45C3-89E2-35D8978DFAEE}" name="Candidate Name (Party)" totalsRowLabel="Total Votes by County" dataDxfId="1209" totalsRowDxfId="1208"/>
    <tableColumn id="4" xr3:uid="{E8896A5B-CA86-448B-B186-A3F7FBA69E5A}" name="Part of New York County Vote Results" totalsRowFunction="custom" dataDxfId="1207" totalsRowDxfId="1206">
      <totalsRowFormula>SUM(MemberOfAssemblyAssemblyDistrict75General[Part of New York County Vote Results])</totalsRowFormula>
    </tableColumn>
    <tableColumn id="3" xr3:uid="{D6B00045-2E2E-4595-B40A-C7CF192E7144}" name="Total Votes by Party" totalsRowFunction="custom" dataDxfId="1205" totalsRowDxfId="1204">
      <calculatedColumnFormula>MemberOfAssemblyAssemblyDistrict75General[[#This Row],[Part of New York County Vote Results]]</calculatedColumnFormula>
      <totalsRowFormula>SUM(MemberOfAssemblyAssemblyDistrict75General[Total Votes by Party])</totalsRowFormula>
    </tableColumn>
    <tableColumn id="2" xr3:uid="{1D1B8B1F-869D-48B4-80B2-C9ADFEC284A0}" name="Total Votes by Candidate" dataDxfId="1203" totalsRowDxfId="1202">
      <calculatedColumnFormula>SUM(MemberOfAssemblyAssemblyDistrict75General[[#This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6CD3917C-34CB-4230-979F-A8C10005FFAF}" name="MemberOfAssemblyAssemblyDistrict76General" displayName="MemberOfAssemblyAssemblyDistrict76General" ref="A2:D9" totalsRowCount="1" headerRowDxfId="1201" dataDxfId="1199" totalsRowDxfId="1197" headerRowBorderDxfId="1200" tableBorderDxfId="1198" totalsRowBorderDxfId="1196">
  <autoFilter ref="A2:D8" xr:uid="{E4C5F385-3618-4C3A-AA69-7444438E6F16}">
    <filterColumn colId="0" hiddenButton="1"/>
    <filterColumn colId="1" hiddenButton="1"/>
    <filterColumn colId="2" hiddenButton="1"/>
    <filterColumn colId="3" hiddenButton="1"/>
  </autoFilter>
  <tableColumns count="4">
    <tableColumn id="1" xr3:uid="{E6A63257-3AE8-49E6-A9E5-593DD4CB8A24}" name="Candidate Name (Party)" totalsRowLabel="Total Votes by County" dataDxfId="1195" totalsRowDxfId="1194"/>
    <tableColumn id="4" xr3:uid="{DF7CDBAF-D6F0-445E-9793-82A76F6D2D5C}" name="Part of New York County Vote Results" totalsRowFunction="custom" dataDxfId="1193" totalsRowDxfId="1192">
      <totalsRowFormula>SUM(MemberOfAssemblyAssemblyDistrict76General[Part of New York County Vote Results])</totalsRowFormula>
    </tableColumn>
    <tableColumn id="3" xr3:uid="{2663E715-94D1-4AA3-A886-B19273BAD386}" name="Total Votes by Party" totalsRowFunction="custom" dataDxfId="1191" totalsRowDxfId="1190">
      <calculatedColumnFormula>MemberOfAssemblyAssemblyDistrict76General[[#This Row],[Part of New York County Vote Results]]</calculatedColumnFormula>
      <totalsRowFormula>SUM(MemberOfAssemblyAssemblyDistrict76General[Total Votes by Party])</totalsRowFormula>
    </tableColumn>
    <tableColumn id="2" xr3:uid="{ACCC3A90-611B-44E7-A79D-662B82509863}" name="Total Votes by Candidate" dataDxfId="1189" totalsRowDxfId="1188"/>
  </tableColumns>
  <tableStyleInfo name="TableStyleMedium2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D1595BD7-E74A-4A8F-9596-14FB15DFC9D4}" name="MemberOfAssemblyAssemblyDistrict77General" displayName="MemberOfAssemblyAssemblyDistrict77General" ref="A2:D9" totalsRowCount="1" headerRowDxfId="1187" dataDxfId="1185" totalsRowDxfId="1183" headerRowBorderDxfId="1186" tableBorderDxfId="1184" totalsRowBorderDxfId="1182">
  <autoFilter ref="A2:D8" xr:uid="{D5902526-686A-44DC-97B7-8F01FD67572F}">
    <filterColumn colId="0" hiddenButton="1"/>
    <filterColumn colId="1" hiddenButton="1"/>
    <filterColumn colId="2" hiddenButton="1"/>
    <filterColumn colId="3" hiddenButton="1"/>
  </autoFilter>
  <tableColumns count="4">
    <tableColumn id="1" xr3:uid="{B74A0BFE-7CA9-4D52-8FBD-612E7E042B23}" name="Candidate Name (Party)" totalsRowLabel="Total Votes by County" dataDxfId="1181" totalsRowDxfId="1180"/>
    <tableColumn id="4" xr3:uid="{E8DD162D-8C32-4040-8BD3-5E989C0D3E54}" name="Part of Bronx County Vote Results" totalsRowFunction="custom" dataDxfId="1179" totalsRowDxfId="1178">
      <totalsRowFormula>SUM(MemberOfAssemblyAssemblyDistrict77General[Part of Bronx County Vote Results])</totalsRowFormula>
    </tableColumn>
    <tableColumn id="3" xr3:uid="{0B471A51-E0C0-48BB-90CC-1098F67F3890}" name="Total Votes by Party" totalsRowFunction="custom" dataDxfId="1177" totalsRowDxfId="1176">
      <calculatedColumnFormula>MemberOfAssemblyAssemblyDistrict77General[[#This Row],[Part of Bronx County Vote Results]]</calculatedColumnFormula>
      <totalsRowFormula>SUM(MemberOfAssemblyAssemblyDistrict77General[Total Votes by Party])</totalsRowFormula>
    </tableColumn>
    <tableColumn id="2" xr3:uid="{DC2BD842-54B7-4DB2-A721-4A10F0547464}" name="Total Votes by Candidate" dataDxfId="1175" totalsRowDxfId="1174"/>
  </tableColumns>
  <tableStyleInfo name="TableStyleMedium2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403CA37D-1147-45D7-BB33-738642774F68}" name="MemberOfAssemblyAssemblyDistrict78General" displayName="MemberOfAssemblyAssemblyDistrict78General" ref="A2:D8" totalsRowCount="1" headerRowDxfId="1173" dataDxfId="1171" totalsRowDxfId="1169" headerRowBorderDxfId="1172" tableBorderDxfId="1170" totalsRowBorderDxfId="1168">
  <autoFilter ref="A2:D7" xr:uid="{1C186A63-5704-4871-B9D8-63A1F2032F8D}">
    <filterColumn colId="0" hiddenButton="1"/>
    <filterColumn colId="1" hiddenButton="1"/>
    <filterColumn colId="2" hiddenButton="1"/>
    <filterColumn colId="3" hiddenButton="1"/>
  </autoFilter>
  <tableColumns count="4">
    <tableColumn id="1" xr3:uid="{75B118DB-D98F-4CC1-9192-0B72BFADC667}" name="Candidate Name (Party)" totalsRowLabel="Total Votes by County" dataDxfId="1167" totalsRowDxfId="1166"/>
    <tableColumn id="4" xr3:uid="{9D8A1AA2-6D3B-4BF1-9DC3-249E4F651721}" name="Part of Bronx County Vote Results" totalsRowFunction="custom" dataDxfId="1165" totalsRowDxfId="1164">
      <totalsRowFormula>SUM(MemberOfAssemblyAssemblyDistrict78General[Part of Bronx County Vote Results])</totalsRowFormula>
    </tableColumn>
    <tableColumn id="3" xr3:uid="{9AA4F867-D88F-4C65-834B-0578B2209BD2}" name="Total Votes by Party" totalsRowFunction="custom" dataDxfId="1163" totalsRowDxfId="1162">
      <calculatedColumnFormula>MemberOfAssemblyAssemblyDistrict78General[[#This Row],[Part of Bronx County Vote Results]]</calculatedColumnFormula>
      <totalsRowFormula>SUM(MemberOfAssemblyAssemblyDistrict78General[Total Votes by Party])</totalsRowFormula>
    </tableColumn>
    <tableColumn id="2" xr3:uid="{D54FB104-EDDB-4B67-B71E-A7602CF6D8F2}" name="Total Votes by Candidate" dataDxfId="1161" totalsRowDxfId="1160"/>
  </tableColumns>
  <tableStyleInfo name="TableStyleMedium2" showFirstColumn="0" showLastColumn="0" showRowStripes="0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EB042A58-589D-4341-A8F0-FC66A20D92E1}" name="MemberOfAssemblyAssemblyDistrict79General" displayName="MemberOfAssemblyAssemblyDistrict79General" ref="A2:D9" totalsRowCount="1" headerRowDxfId="1159" dataDxfId="1157" totalsRowDxfId="1155" headerRowBorderDxfId="1158" tableBorderDxfId="1156" totalsRowBorderDxfId="1154">
  <autoFilter ref="A2:D8" xr:uid="{81BBD529-E491-4025-BCA0-C38B200E086B}">
    <filterColumn colId="0" hiddenButton="1"/>
    <filterColumn colId="1" hiddenButton="1"/>
    <filterColumn colId="2" hiddenButton="1"/>
    <filterColumn colId="3" hiddenButton="1"/>
  </autoFilter>
  <tableColumns count="4">
    <tableColumn id="1" xr3:uid="{75ABA7CB-84F8-4DB3-B10E-00822D238297}" name="Candidate Name (Party)" totalsRowLabel="Total Votes by County" dataDxfId="1153" totalsRowDxfId="1152"/>
    <tableColumn id="4" xr3:uid="{013FDD26-5602-47E7-A453-912B8771D696}" name="Part of Bronx County Vote Results" totalsRowFunction="custom" dataDxfId="1151" totalsRowDxfId="1150">
      <totalsRowFormula>SUM(MemberOfAssemblyAssemblyDistrict79General[Part of Bronx County Vote Results])</totalsRowFormula>
    </tableColumn>
    <tableColumn id="3" xr3:uid="{4905C458-DFD1-4E76-B6C0-9A750358104E}" name="Total Votes by Party" totalsRowFunction="custom" dataDxfId="1149" totalsRowDxfId="1148">
      <calculatedColumnFormula>MemberOfAssemblyAssemblyDistrict79General[[#This Row],[Part of Bronx County Vote Results]]</calculatedColumnFormula>
      <totalsRowFormula>SUM(MemberOfAssemblyAssemblyDistrict79General[Total Votes by Party])</totalsRowFormula>
    </tableColumn>
    <tableColumn id="2" xr3:uid="{839A2981-B641-4A86-AF9F-519FA8E44B2A}" name="Total Votes by Candidate" dataDxfId="1147" totalsRowDxfId="1146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C97C49E9-0937-4739-B837-0CF79B6FBEBE}" name="MemberOfAssemblyAssemblyDistrict8General" displayName="MemberOfAssemblyAssemblyDistrict8General" ref="A2:D11" totalsRowCount="1" headerRowDxfId="2136" dataDxfId="2134" totalsRowDxfId="2132" headerRowBorderDxfId="2135" tableBorderDxfId="2133" totalsRowBorderDxfId="2131">
  <autoFilter ref="A2:D10" xr:uid="{2EB45D3F-D06A-4F7A-81D8-067FDDEBE90C}">
    <filterColumn colId="0" hiddenButton="1"/>
    <filterColumn colId="1" hiddenButton="1"/>
    <filterColumn colId="2" hiddenButton="1"/>
    <filterColumn colId="3" hiddenButton="1"/>
  </autoFilter>
  <tableColumns count="4">
    <tableColumn id="1" xr3:uid="{27D4A675-76FF-49BA-9684-3D0411EFC352}" name="Candidate Name (Party)" totalsRowLabel="Total Votes by County" dataDxfId="2130" totalsRowDxfId="2129"/>
    <tableColumn id="4" xr3:uid="{63579679-268A-409A-B465-C450B45B3CFF}" name="Part of Suffolk County Vote Results" totalsRowFunction="custom" dataDxfId="2128" totalsRowDxfId="2127">
      <totalsRowFormula>SUM(MemberOfAssemblyAssemblyDistrict8General[Part of Suffolk County Vote Results])</totalsRowFormula>
    </tableColumn>
    <tableColumn id="3" xr3:uid="{A8CF0D0D-EA72-4FB5-B0BB-2F301DFC5DF9}" name="Total Votes by Party" totalsRowFunction="custom" dataDxfId="2126" totalsRowDxfId="2125">
      <calculatedColumnFormula>MemberOfAssemblyAssemblyDistrict8General[[#This Row],[Part of Suffolk County Vote Results]]</calculatedColumnFormula>
      <totalsRowFormula>SUM(MemberOfAssemblyAssemblyDistrict8General[Total Votes by Party])</totalsRowFormula>
    </tableColumn>
    <tableColumn id="2" xr3:uid="{42362A10-24AF-40D7-AF9F-DA81E94B93AC}" name="Total Votes by Candidate" dataDxfId="2124" totalsRowDxfId="2123"/>
  </tableColumns>
  <tableStyleInfo name="TableStyleMedium2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DE2FA51A-7DE3-4FEC-B31E-EFDAC8509B99}" name="MemberOfAssemblyAssemblyDistrict80General" displayName="MemberOfAssemblyAssemblyDistrict80General" ref="A2:D9" totalsRowCount="1" headerRowDxfId="1145" dataDxfId="1143" totalsRowDxfId="1141" headerRowBorderDxfId="1144" tableBorderDxfId="1142" totalsRowBorderDxfId="1140">
  <autoFilter ref="A2:D8" xr:uid="{34869E17-FACC-4DEE-BEBD-AF2020546F5C}">
    <filterColumn colId="0" hiddenButton="1"/>
    <filterColumn colId="1" hiddenButton="1"/>
    <filterColumn colId="2" hiddenButton="1"/>
    <filterColumn colId="3" hiddenButton="1"/>
  </autoFilter>
  <tableColumns count="4">
    <tableColumn id="1" xr3:uid="{594A3CDC-629F-4BA2-A103-AF51CE52E055}" name="Candidate Name (Party)" totalsRowLabel="Total Votes by County" dataDxfId="1139" totalsRowDxfId="1138"/>
    <tableColumn id="4" xr3:uid="{5908CC7E-739D-4E06-9422-3042ABBE13D2}" name="Part of Bronx County Vote Results" totalsRowFunction="custom" dataDxfId="1137" totalsRowDxfId="1136">
      <totalsRowFormula>SUM(MemberOfAssemblyAssemblyDistrict80General[Part of Bronx County Vote Results])</totalsRowFormula>
    </tableColumn>
    <tableColumn id="3" xr3:uid="{F7BDA326-9F7A-47EE-B0CE-3AD28096B089}" name="Total Votes by Party" totalsRowFunction="custom" dataDxfId="1135" totalsRowDxfId="1134">
      <calculatedColumnFormula>MemberOfAssemblyAssemblyDistrict80General[[#This Row],[Part of Bronx County Vote Results]]</calculatedColumnFormula>
      <totalsRowFormula>SUM(MemberOfAssemblyAssemblyDistrict80General[Total Votes by Party])</totalsRowFormula>
    </tableColumn>
    <tableColumn id="2" xr3:uid="{1E945435-4097-448B-8579-7BFAC824A089}" name="Total Votes by Candidate" dataDxfId="1133" totalsRowDxfId="1132"/>
  </tableColumns>
  <tableStyleInfo name="TableStyleMedium2" showFirstColumn="0" showLastColumn="0" showRowStripes="0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07788026-7E29-4D81-9E8F-AACDB5E3FFB4}" name="MemberOfAssemblyAssemblyDistrict81General" displayName="MemberOfAssemblyAssemblyDistrict81General" ref="A2:D9" totalsRowCount="1" headerRowDxfId="1131" dataDxfId="1129" totalsRowDxfId="1127" headerRowBorderDxfId="1130" tableBorderDxfId="1128" totalsRowBorderDxfId="1126">
  <autoFilter ref="A2:D8" xr:uid="{F688E563-A249-421F-8710-78C49E88BC06}">
    <filterColumn colId="0" hiddenButton="1"/>
    <filterColumn colId="1" hiddenButton="1"/>
    <filterColumn colId="2" hiddenButton="1"/>
    <filterColumn colId="3" hiddenButton="1"/>
  </autoFilter>
  <tableColumns count="4">
    <tableColumn id="1" xr3:uid="{BF3820C7-F25A-466F-8FDC-AC902179430E}" name="Candidate Name (Party)" totalsRowLabel="Total Votes by County" dataDxfId="1125" totalsRowDxfId="1124"/>
    <tableColumn id="4" xr3:uid="{EC45BB6C-F6A8-499B-9EB1-3EC87F6314CD}" name="Part of Bronx County Vote Results" totalsRowFunction="custom" dataDxfId="1123" totalsRowDxfId="1122">
      <totalsRowFormula>SUM(MemberOfAssemblyAssemblyDistrict81General[Part of Bronx County Vote Results])</totalsRowFormula>
    </tableColumn>
    <tableColumn id="3" xr3:uid="{ABE97A7A-137B-450F-9389-234F093C09BF}" name="Total Votes by Party" totalsRowFunction="custom" dataDxfId="1121" totalsRowDxfId="1120">
      <calculatedColumnFormula>MemberOfAssemblyAssemblyDistrict81General[[#This Row],[Part of Bronx County Vote Results]]</calculatedColumnFormula>
      <totalsRowFormula>SUM(MemberOfAssemblyAssemblyDistrict81General[Total Votes by Party])</totalsRowFormula>
    </tableColumn>
    <tableColumn id="2" xr3:uid="{EC0AB2F2-5CFA-4D7A-954F-1A015917743A}" name="Total Votes by Candidate" dataDxfId="1119" totalsRowDxfId="1118"/>
  </tableColumns>
  <tableStyleInfo name="TableStyleMedium2" showFirstColumn="0" showLastColumn="0" showRowStripes="0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C426E513-75E1-4B68-A342-DBEC6C709958}" name="MemberOfAssemblyAssemblyDistrict82General" displayName="MemberOfAssemblyAssemblyDistrict82General" ref="A2:D9" totalsRowCount="1" headerRowDxfId="1117" dataDxfId="1115" totalsRowDxfId="1113" headerRowBorderDxfId="1116" tableBorderDxfId="1114" totalsRowBorderDxfId="1112">
  <autoFilter ref="A2:D8" xr:uid="{B76A93E2-1975-4BD7-8DD6-7CEB7D707669}">
    <filterColumn colId="0" hiddenButton="1"/>
    <filterColumn colId="1" hiddenButton="1"/>
    <filterColumn colId="2" hiddenButton="1"/>
    <filterColumn colId="3" hiddenButton="1"/>
  </autoFilter>
  <tableColumns count="4">
    <tableColumn id="1" xr3:uid="{0179E837-6427-4937-A651-AA14A9316651}" name="Candidate Name (Party)" totalsRowLabel="Total Votes by County" dataDxfId="1111" totalsRowDxfId="1110"/>
    <tableColumn id="4" xr3:uid="{78D69EF2-4129-4AF5-8266-7817A52E8583}" name="Part of Bronx County Vote Results" totalsRowFunction="custom" dataDxfId="1109" totalsRowDxfId="1108">
      <totalsRowFormula>SUM(MemberOfAssemblyAssemblyDistrict82General[Part of Bronx County Vote Results])</totalsRowFormula>
    </tableColumn>
    <tableColumn id="3" xr3:uid="{5C5E15B6-E771-4AB9-B7D1-F2887835C22B}" name="Total Votes by Party" totalsRowFunction="custom" dataDxfId="1107" totalsRowDxfId="1106">
      <calculatedColumnFormula>MemberOfAssemblyAssemblyDistrict82General[[#This Row],[Part of Bronx County Vote Results]]</calculatedColumnFormula>
      <totalsRowFormula>SUM(MemberOfAssemblyAssemblyDistrict82General[Total Votes by Party])</totalsRowFormula>
    </tableColumn>
    <tableColumn id="2" xr3:uid="{D9700640-9D78-4505-8FB2-BACE8D8166D6}" name="Total Votes by Candidate" dataDxfId="1105" totalsRowDxfId="1104"/>
  </tableColumns>
  <tableStyleInfo name="TableStyleMedium2" showFirstColumn="0" showLastColumn="0" showRowStripes="0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CDFEB943-28AB-4EFD-A8DA-03B938D70919}" name="MemberOfAssemblyAssemblyDistrict83General" displayName="MemberOfAssemblyAssemblyDistrict83General" ref="A2:D9" totalsRowCount="1" headerRowDxfId="1103" dataDxfId="1101" totalsRowDxfId="1099" headerRowBorderDxfId="1102" tableBorderDxfId="1100" totalsRowBorderDxfId="1098">
  <autoFilter ref="A2:D8" xr:uid="{3E26DF29-ABA1-4EAF-8B47-B7644EBFBFA0}">
    <filterColumn colId="0" hiddenButton="1"/>
    <filterColumn colId="1" hiddenButton="1"/>
    <filterColumn colId="2" hiddenButton="1"/>
    <filterColumn colId="3" hiddenButton="1"/>
  </autoFilter>
  <tableColumns count="4">
    <tableColumn id="1" xr3:uid="{8518B1BD-E9F6-4951-B568-F0854E8FC4F1}" name="Candidate Name (Party)" totalsRowLabel="Total Votes by County" dataDxfId="1097" totalsRowDxfId="1096"/>
    <tableColumn id="4" xr3:uid="{290E58F7-0D0F-48DA-AAD3-6576B374A9DB}" name="Part of Bronx County Vote Results" totalsRowFunction="custom" dataDxfId="1095" totalsRowDxfId="1094">
      <totalsRowFormula>SUM(MemberOfAssemblyAssemblyDistrict83General[Part of Bronx County Vote Results])</totalsRowFormula>
    </tableColumn>
    <tableColumn id="3" xr3:uid="{68259163-25D5-44FD-8CEE-EF7F2383CCB2}" name="Total Votes by Party" totalsRowFunction="custom" dataDxfId="1093" totalsRowDxfId="1092">
      <calculatedColumnFormula>MemberOfAssemblyAssemblyDistrict83General[[#This Row],[Part of Bronx County Vote Results]]</calculatedColumnFormula>
      <totalsRowFormula>SUM(MemberOfAssemblyAssemblyDistrict83General[Total Votes by Party])</totalsRowFormula>
    </tableColumn>
    <tableColumn id="2" xr3:uid="{7C726F44-6F2B-4833-8F17-938DA667A130}" name="Total Votes by Candidate" dataDxfId="1091" totalsRowDxfId="1090"/>
  </tableColumns>
  <tableStyleInfo name="TableStyleMedium2" showFirstColumn="0" showLastColumn="0" showRowStripes="0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410B21EA-01ED-4A21-9D43-3D3089CEA0C1}" name="MemberOfAssemblyAssemblyDistrict84General" displayName="MemberOfAssemblyAssemblyDistrict84General" ref="A2:D11" totalsRowCount="1" headerRowDxfId="1089" dataDxfId="1087" totalsRowDxfId="1085" headerRowBorderDxfId="1088" tableBorderDxfId="1086" totalsRowBorderDxfId="1084">
  <autoFilter ref="A2:D10" xr:uid="{047F2C91-73B1-462F-AD15-DB76F9BDD6BC}">
    <filterColumn colId="0" hiddenButton="1"/>
    <filterColumn colId="1" hiddenButton="1"/>
    <filterColumn colId="2" hiddenButton="1"/>
    <filterColumn colId="3" hiddenButton="1"/>
  </autoFilter>
  <tableColumns count="4">
    <tableColumn id="1" xr3:uid="{577FC3A7-86AF-4C9A-9A4B-309AAF44DB2B}" name="Candidate Name (Party)" totalsRowLabel="Total Votes by County" dataDxfId="1083" totalsRowDxfId="1082"/>
    <tableColumn id="4" xr3:uid="{9AF0C113-DCD8-4F4F-B078-AE5802086005}" name="Part of Bronx County Vote Results" totalsRowFunction="custom" dataDxfId="1081" totalsRowDxfId="1080">
      <totalsRowFormula>SUM(MemberOfAssemblyAssemblyDistrict84General[Part of Bronx County Vote Results])</totalsRowFormula>
    </tableColumn>
    <tableColumn id="3" xr3:uid="{A373CF48-E75C-4A4A-AFF2-516AE342503A}" name="Total Votes by Party" totalsRowFunction="custom" dataDxfId="1079" totalsRowDxfId="1078">
      <calculatedColumnFormula>MemberOfAssemblyAssemblyDistrict84General[[#This Row],[Part of Bronx County Vote Results]]</calculatedColumnFormula>
      <totalsRowFormula>SUM(MemberOfAssemblyAssemblyDistrict84General[Total Votes by Party])</totalsRowFormula>
    </tableColumn>
    <tableColumn id="2" xr3:uid="{E133F852-5468-47C0-89ED-A2073A8FC637}" name="Total Votes by Candidate" dataDxfId="1077" totalsRowDxfId="1076"/>
  </tableColumns>
  <tableStyleInfo name="TableStyleMedium2" showFirstColumn="0" showLastColumn="0" showRowStripes="0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120072D3-D63B-4417-AF15-5C84BBE11EFC}" name="MemberOfAssemblyAssemblyDistrict85General" displayName="MemberOfAssemblyAssemblyDistrict85General" ref="A2:D9" totalsRowCount="1" headerRowDxfId="1075" dataDxfId="1073" totalsRowDxfId="1071" headerRowBorderDxfId="1074" tableBorderDxfId="1072" totalsRowBorderDxfId="1070">
  <autoFilter ref="A2:D8" xr:uid="{CEB3E35A-3F54-4D50-A9AF-773FC7AF02B5}">
    <filterColumn colId="0" hiddenButton="1"/>
    <filterColumn colId="1" hiddenButton="1"/>
    <filterColumn colId="2" hiddenButton="1"/>
    <filterColumn colId="3" hiddenButton="1"/>
  </autoFilter>
  <tableColumns count="4">
    <tableColumn id="1" xr3:uid="{0671DCA2-E4F7-4F54-963A-1B9E1B04CF40}" name="Candidate Name (Party)" totalsRowLabel="Total Votes by County" dataDxfId="1069" totalsRowDxfId="1068"/>
    <tableColumn id="4" xr3:uid="{C8CF7DAD-E5F4-42B4-A722-0033C904E4E1}" name="Part of Bronx County Vote Results" totalsRowFunction="custom" dataDxfId="1067" totalsRowDxfId="1066">
      <totalsRowFormula>SUM(MemberOfAssemblyAssemblyDistrict85General[Part of Bronx County Vote Results])</totalsRowFormula>
    </tableColumn>
    <tableColumn id="3" xr3:uid="{7F1E2407-FBFA-4D66-BEF1-EC6C7DABF1B3}" name="Total Votes by Party" totalsRowFunction="custom" dataDxfId="1065" totalsRowDxfId="1064">
      <calculatedColumnFormula>MemberOfAssemblyAssemblyDistrict85General[[#This Row],[Part of Bronx County Vote Results]]</calculatedColumnFormula>
      <totalsRowFormula>SUM(MemberOfAssemblyAssemblyDistrict85General[Total Votes by Party])</totalsRowFormula>
    </tableColumn>
    <tableColumn id="2" xr3:uid="{A9628D7D-14D6-499C-A103-63B490236E1F}" name="Total Votes by Candidate" dataDxfId="1063" totalsRowDxfId="1062"/>
  </tableColumns>
  <tableStyleInfo name="TableStyleMedium2" showFirstColumn="0" showLastColumn="0" showRowStripes="0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5DA1E8BD-BCC5-4050-8369-9F548328E8E9}" name="MemberOfAssemblyAssemblyDistrict86General" displayName="MemberOfAssemblyAssemblyDistrict86General" ref="A2:D8" totalsRowCount="1" headerRowDxfId="1061" dataDxfId="1059" totalsRowDxfId="1057" headerRowBorderDxfId="1060" tableBorderDxfId="1058" totalsRowBorderDxfId="1056">
  <autoFilter ref="A2:D7" xr:uid="{2B5704FE-706F-47C3-959B-9BA0632CF0E7}">
    <filterColumn colId="0" hiddenButton="1"/>
    <filterColumn colId="1" hiddenButton="1"/>
    <filterColumn colId="2" hiddenButton="1"/>
    <filterColumn colId="3" hiddenButton="1"/>
  </autoFilter>
  <tableColumns count="4">
    <tableColumn id="1" xr3:uid="{804327D9-25E5-423D-978F-43DA94F80EE5}" name="Candidate Name (Party)" totalsRowLabel="Total Votes by County" dataDxfId="1055" totalsRowDxfId="1054"/>
    <tableColumn id="4" xr3:uid="{E4B5903D-05BE-4A98-A21A-17B2F63537D9}" name="Part of Bronx County Vote Results" totalsRowFunction="custom" dataDxfId="1053" totalsRowDxfId="1052">
      <totalsRowFormula>SUM(MemberOfAssemblyAssemblyDistrict86General[Part of Bronx County Vote Results])</totalsRowFormula>
    </tableColumn>
    <tableColumn id="3" xr3:uid="{1C40EEC7-FCFE-4A72-AA3A-4FBADE11BA3F}" name="Total Votes by Party" totalsRowFunction="custom" dataDxfId="1051" totalsRowDxfId="1050">
      <calculatedColumnFormula>MemberOfAssemblyAssemblyDistrict86General[[#This Row],[Part of Bronx County Vote Results]]</calculatedColumnFormula>
      <totalsRowFormula>SUM(MemberOfAssemblyAssemblyDistrict86General[Total Votes by Party])</totalsRowFormula>
    </tableColumn>
    <tableColumn id="2" xr3:uid="{FF73A46A-A2B7-4106-931A-E343FFE4E72D}" name="Total Votes by Candidate" dataDxfId="1049" totalsRowDxfId="1048"/>
  </tableColumns>
  <tableStyleInfo name="TableStyleMedium2" showFirstColumn="0" showLastColumn="0" showRowStripes="0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DEFDD25F-A497-4073-8B30-899FAC9FFBBD}" name="MemberOfAssemblyAssemblyDistrict87General" displayName="MemberOfAssemblyAssemblyDistrict87General" ref="A2:D11" totalsRowCount="1" headerRowDxfId="1047" dataDxfId="1045" totalsRowDxfId="1043" headerRowBorderDxfId="1046" tableBorderDxfId="1044" totalsRowBorderDxfId="1042">
  <autoFilter ref="A2:D10" xr:uid="{517D48A4-44D2-4D42-9D5F-B6FA55B3BDFE}">
    <filterColumn colId="0" hiddenButton="1"/>
    <filterColumn colId="1" hiddenButton="1"/>
    <filterColumn colId="2" hiddenButton="1"/>
    <filterColumn colId="3" hiddenButton="1"/>
  </autoFilter>
  <tableColumns count="4">
    <tableColumn id="1" xr3:uid="{5CEC1209-2FD0-4341-995D-EC6E952123F7}" name="Candidate Name (Party)" totalsRowLabel="Total Votes by County" dataDxfId="1041" totalsRowDxfId="1040"/>
    <tableColumn id="4" xr3:uid="{5ADF62C6-F005-4898-AB04-C0273B2D9620}" name="Part of Bronx County Vote Results" totalsRowFunction="custom" dataDxfId="1039" totalsRowDxfId="1038">
      <totalsRowFormula>SUM(MemberOfAssemblyAssemblyDistrict87General[Part of Bronx County Vote Results])</totalsRowFormula>
    </tableColumn>
    <tableColumn id="3" xr3:uid="{CE546932-CD04-4B3F-B45E-3DD491DAE237}" name="Total Votes by Party" totalsRowFunction="custom" dataDxfId="1037" totalsRowDxfId="1036">
      <calculatedColumnFormula>MemberOfAssemblyAssemblyDistrict87General[[#This Row],[Part of Bronx County Vote Results]]</calculatedColumnFormula>
      <totalsRowFormula>SUM(MemberOfAssemblyAssemblyDistrict87General[Total Votes by Party])</totalsRowFormula>
    </tableColumn>
    <tableColumn id="2" xr3:uid="{D5FB8B64-9ABD-4768-A8D5-B56FAFF95343}" name="Total Votes by Candidate" dataDxfId="1035" totalsRowDxfId="1034"/>
  </tableColumns>
  <tableStyleInfo name="TableStyleMedium2" showFirstColumn="0" showLastColumn="0" showRowStripes="0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BB5FB80D-1A5A-414B-9A0C-F8ECF84EB92B}" name="MemberOfAssemblyAssemblyDistrict88General" displayName="MemberOfAssemblyAssemblyDistrict88General" ref="A2:D9" totalsRowCount="1" headerRowDxfId="1033" dataDxfId="1031" totalsRowDxfId="1029" headerRowBorderDxfId="1032" tableBorderDxfId="1030" totalsRowBorderDxfId="1028">
  <autoFilter ref="A2:D8" xr:uid="{5222BB5E-8B89-464E-89E2-E688BB379254}">
    <filterColumn colId="0" hiddenButton="1"/>
    <filterColumn colId="1" hiddenButton="1"/>
    <filterColumn colId="2" hiddenButton="1"/>
    <filterColumn colId="3" hiddenButton="1"/>
  </autoFilter>
  <tableColumns count="4">
    <tableColumn id="1" xr3:uid="{92405377-9E0C-4E78-BDA9-530091D06186}" name="Candidate Name (Party)" totalsRowLabel="Total Votes by County" dataDxfId="1027" totalsRowDxfId="1026"/>
    <tableColumn id="4" xr3:uid="{36FC9A74-126C-47A2-AE2C-593C728F5482}" name="Part of Westchester County Vote Results" totalsRowFunction="custom" dataDxfId="1025" totalsRowDxfId="1024">
      <totalsRowFormula>SUM(MemberOfAssemblyAssemblyDistrict88General[Part of Westchester County Vote Results])</totalsRowFormula>
    </tableColumn>
    <tableColumn id="3" xr3:uid="{BFEC5971-65E9-4E8D-9020-5DF2967DD072}" name="Total Votes by Party" totalsRowFunction="custom" dataDxfId="1023" totalsRowDxfId="1022">
      <calculatedColumnFormula>MemberOfAssemblyAssemblyDistrict88General[[#This Row],[Part of Westchester County Vote Results]]</calculatedColumnFormula>
      <totalsRowFormula>SUM(MemberOfAssemblyAssemblyDistrict88General[Total Votes by Party])</totalsRowFormula>
    </tableColumn>
    <tableColumn id="2" xr3:uid="{0EAEA532-332B-464A-B786-8D0C74AC2250}" name="Total Votes by Candidate" dataDxfId="1021" totalsRowDxfId="1020">
      <calculatedColumnFormula>SUM(MemberOfAssemblyAssemblyDistrict88General[[#This Row],[Total Votes by Party]],C4,C5)</calculatedColumnFormula>
    </tableColumn>
  </tableColumns>
  <tableStyleInfo name="TableStyleMedium2" showFirstColumn="0" showLastColumn="0" showRowStripes="0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0DA93B16-A3FE-47EF-8ABF-4B88979069F9}" name="MemberOfAssemblyAssemblyDistrict89General" displayName="MemberOfAssemblyAssemblyDistrict89General" ref="A2:D7" totalsRowCount="1" headerRowDxfId="1019" dataDxfId="1017" totalsRowDxfId="1015" headerRowBorderDxfId="1018" tableBorderDxfId="1016" totalsRowBorderDxfId="1014">
  <autoFilter ref="A2:D6" xr:uid="{A9FD1674-D6E7-45DA-9FDE-95E5B1ED6D2B}">
    <filterColumn colId="0" hiddenButton="1"/>
    <filterColumn colId="1" hiddenButton="1"/>
    <filterColumn colId="2" hiddenButton="1"/>
    <filterColumn colId="3" hiddenButton="1"/>
  </autoFilter>
  <tableColumns count="4">
    <tableColumn id="1" xr3:uid="{A0D8C4FF-3057-4C60-A269-B97BD6B83F73}" name="Candidate Name (Party)" totalsRowLabel="Total Votes by County" dataDxfId="1013" totalsRowDxfId="1012"/>
    <tableColumn id="4" xr3:uid="{9AA0C870-E701-4820-AA8A-2AE8AF629102}" name="Part of Westchester County Vote Results" totalsRowFunction="custom" dataDxfId="1011" totalsRowDxfId="1010">
      <totalsRowFormula>SUM(MemberOfAssemblyAssemblyDistrict89General[Part of Westchester County Vote Results])</totalsRowFormula>
    </tableColumn>
    <tableColumn id="3" xr3:uid="{3E588B28-0FE7-4440-A5A1-1F9AB8EEEB6B}" name="Total Votes by Party" totalsRowFunction="custom" dataDxfId="1009" totalsRowDxfId="1008">
      <calculatedColumnFormula>MemberOfAssemblyAssemblyDistrict89General[[#This Row],[Part of Westchester County Vote Results]]</calculatedColumnFormula>
      <totalsRowFormula>SUM(MemberOfAssemblyAssemblyDistrict89General[Total Votes by Party])</totalsRowFormula>
    </tableColumn>
    <tableColumn id="2" xr3:uid="{2E0D4AAC-30D1-47C1-AB4B-EA0CE35AD4DB}" name="Total Votes by Candidate" dataDxfId="1007" totalsRowDxfId="1006">
      <calculatedColumnFormula>SUM(MemberOfAssemblyAssemblyDistrict89General[[#This Row],[Total Votes by Party]])</calculatedColumnFormula>
    </tableColumn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03E20DD4-1BDD-4C46-9225-0C2624C05F4B}" name="MemberOfAssemblyAssemblyDistrict9General" displayName="MemberOfAssemblyAssemblyDistrict9General" ref="A2:E12" totalsRowCount="1" headerRowDxfId="2122" dataDxfId="2120" totalsRowDxfId="2118" headerRowBorderDxfId="2121" tableBorderDxfId="2119" totalsRowBorderDxfId="2117">
  <autoFilter ref="A2:E11" xr:uid="{497AA758-8862-490B-A582-CE044EB3C62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C039DB1-1DCD-4A46-82A6-0C4322287469}" name="Candidate Name (Party)" totalsRowLabel="Total Votes by County" dataDxfId="2116" totalsRowDxfId="2115"/>
    <tableColumn id="2" xr3:uid="{730E3936-2855-46F8-B06A-7D9AF7F47E3A}" name="Part of Nassau County Vote Results" totalsRowFunction="custom" dataDxfId="2114" totalsRowDxfId="2113">
      <totalsRowFormula>SUM(MemberOfAssemblyAssemblyDistrict9General[Part of Nassau County Vote Results])</totalsRowFormula>
    </tableColumn>
    <tableColumn id="4" xr3:uid="{780EC229-FF16-4CBA-A536-15E97119F1E7}" name="Part of Suffolk County Vote Results" totalsRowFunction="custom" dataDxfId="2112" totalsRowDxfId="2111">
      <totalsRowFormula>SUM(MemberOfAssemblyAssemblyDistrict9General[Part of Suffolk County Vote Results])</totalsRowFormula>
    </tableColumn>
    <tableColumn id="3" xr3:uid="{4D8365BA-2593-45A5-AEE1-831C58848668}" name="Total Votes by Party" totalsRowFunction="custom" dataDxfId="2110" totalsRowDxfId="2109">
      <calculatedColumnFormula>SUM(MemberOfAssemblyAssemblyDistrict9General[[#This Row],[Part of Nassau County Vote Results]:[Part of Suffolk County Vote Results]])</calculatedColumnFormula>
      <totalsRowFormula>SUM(MemberOfAssemblyAssemblyDistrict9General[Total Votes by Party])</totalsRowFormula>
    </tableColumn>
    <tableColumn id="5" xr3:uid="{C1DD23AE-7C43-473C-AB4B-44A985AB40C3}" name="Total Votes by Candidate" dataDxfId="2108" totalsRowDxfId="2107">
      <calculatedColumnFormula>SUM(MemberOfAssemblyAssemblyDistrict9General[[#This Row],[Total Votes by Party]],D6)</calculatedColumnFormula>
    </tableColumn>
  </tableColumns>
  <tableStyleInfo name="TableStyleMedium2" showFirstColumn="0" showLastColumn="0" showRowStripes="0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DC80C261-1216-432D-B12E-84C6E7AFC1AE}" name="MemberOfAssemblyAssemblyDistrict90General" displayName="MemberOfAssemblyAssemblyDistrict90General" ref="A2:D8" totalsRowCount="1" headerRowDxfId="1005" dataDxfId="1003" totalsRowDxfId="1001" headerRowBorderDxfId="1004" tableBorderDxfId="1002" totalsRowBorderDxfId="1000">
  <autoFilter ref="A2:D7" xr:uid="{0AD0D9E1-FBC6-45BE-AB9F-3850A5A8348A}">
    <filterColumn colId="0" hiddenButton="1"/>
    <filterColumn colId="1" hiddenButton="1"/>
    <filterColumn colId="2" hiddenButton="1"/>
    <filterColumn colId="3" hiddenButton="1"/>
  </autoFilter>
  <tableColumns count="4">
    <tableColumn id="1" xr3:uid="{70731CFB-ADBD-40F4-8358-9BAFC3A507F3}" name="Candidate Name (Party)" totalsRowLabel="Total Votes by County" dataDxfId="999" totalsRowDxfId="998"/>
    <tableColumn id="4" xr3:uid="{07D612BD-EA37-40E7-9414-BEAC462D7D97}" name="Part of Westchester County Vote Results" totalsRowFunction="custom" dataDxfId="997" totalsRowDxfId="996">
      <totalsRowFormula>SUM(MemberOfAssemblyAssemblyDistrict90General[Part of Westchester County Vote Results])</totalsRowFormula>
    </tableColumn>
    <tableColumn id="3" xr3:uid="{FB1A23CB-2EB4-4D63-8E4E-384A3865BE7D}" name="Total Votes by Party" totalsRowFunction="custom" dataDxfId="995" totalsRowDxfId="994">
      <calculatedColumnFormula>MemberOfAssemblyAssemblyDistrict90General[[#This Row],[Part of Westchester County Vote Results]]</calculatedColumnFormula>
      <totalsRowFormula>SUM(MemberOfAssemblyAssemblyDistrict90General[Total Votes by Party])</totalsRowFormula>
    </tableColumn>
    <tableColumn id="2" xr3:uid="{26451166-9C47-4C5B-BB4D-79152DD50641}" name="Total Votes by Candidate" dataDxfId="993" totalsRowDxfId="992"/>
  </tableColumns>
  <tableStyleInfo name="TableStyleMedium2" showFirstColumn="0" showLastColumn="0" showRowStripes="0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2D749AD0-7A28-4DEE-837E-CE1D3C3BB828}" name="MemberOfAssemblyAssemblyDistrict91General" displayName="MemberOfAssemblyAssemblyDistrict91General" ref="A2:D9" totalsRowCount="1" headerRowDxfId="991" dataDxfId="989" totalsRowDxfId="987" headerRowBorderDxfId="990" tableBorderDxfId="988" totalsRowBorderDxfId="986">
  <autoFilter ref="A2:D8" xr:uid="{839267D8-4641-4BF3-971C-2C7A8148B1D5}">
    <filterColumn colId="0" hiddenButton="1"/>
    <filterColumn colId="1" hiddenButton="1"/>
    <filterColumn colId="2" hiddenButton="1"/>
    <filterColumn colId="3" hiddenButton="1"/>
  </autoFilter>
  <tableColumns count="4">
    <tableColumn id="1" xr3:uid="{B639F6F2-E292-4CEE-9385-CBD6B1C52AB0}" name="Candidate Name (Party)" totalsRowLabel="Total Votes by County" dataDxfId="985" totalsRowDxfId="984"/>
    <tableColumn id="4" xr3:uid="{BB6FE5DC-F968-4D65-A0F6-67A34BDA8C4E}" name="Part of Westchester County Vote Results" totalsRowFunction="custom" dataDxfId="983" totalsRowDxfId="982">
      <totalsRowFormula>SUM(MemberOfAssemblyAssemblyDistrict91General[Part of Westchester County Vote Results])</totalsRowFormula>
    </tableColumn>
    <tableColumn id="3" xr3:uid="{03CD5ECB-E50C-4E54-8B0E-A2D49D6A0DFA}" name="Total Votes by Party" totalsRowFunction="custom" dataDxfId="981" totalsRowDxfId="980">
      <calculatedColumnFormula>MemberOfAssemblyAssemblyDistrict91General[[#This Row],[Part of Westchester County Vote Results]]</calculatedColumnFormula>
      <totalsRowFormula>SUM(MemberOfAssemblyAssemblyDistrict91General[Total Votes by Party])</totalsRowFormula>
    </tableColumn>
    <tableColumn id="2" xr3:uid="{1C4AC6CF-845A-4FE0-986A-7E15EE61A92D}" name="Total Votes by Candidate" dataDxfId="979" totalsRowDxfId="978">
      <calculatedColumnFormula>SUM(MemberOfAssemblyAssemblyDistrict91General[[#This Row],[Total Votes by Party]],C4,C5)</calculatedColumnFormula>
    </tableColumn>
  </tableColumns>
  <tableStyleInfo name="TableStyleMedium2" showFirstColumn="0" showLastColumn="0" showRowStripes="0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F2FA2F18-1032-4282-A4DE-B6725ADBB40F}" name="MemberOfAssemblyAssemblyDistrict92General" displayName="MemberOfAssemblyAssemblyDistrict92General" ref="A2:D8" totalsRowCount="1" headerRowDxfId="977" dataDxfId="975" totalsRowDxfId="973" headerRowBorderDxfId="976" tableBorderDxfId="974" totalsRowBorderDxfId="972">
  <autoFilter ref="A2:D7" xr:uid="{10FE8981-0724-4C55-9706-64F4E23666C5}">
    <filterColumn colId="0" hiddenButton="1"/>
    <filterColumn colId="1" hiddenButton="1"/>
    <filterColumn colId="2" hiddenButton="1"/>
    <filterColumn colId="3" hiddenButton="1"/>
  </autoFilter>
  <tableColumns count="4">
    <tableColumn id="1" xr3:uid="{91198543-414A-4A61-BF6A-73644A564CF1}" name="Candidate Name (Party)" totalsRowLabel="Total Votes by County" dataDxfId="971" totalsRowDxfId="970"/>
    <tableColumn id="4" xr3:uid="{EBB6127A-5166-4DBE-A11C-D3CF5B931769}" name="Part of Westchester County Vote Results" totalsRowFunction="custom" dataDxfId="969" totalsRowDxfId="968">
      <totalsRowFormula>SUM(MemberOfAssemblyAssemblyDistrict92General[Part of Westchester County Vote Results])</totalsRowFormula>
    </tableColumn>
    <tableColumn id="3" xr3:uid="{0B2B7868-F740-4B2E-AB94-48EB06630BDA}" name="Total Votes by Party" totalsRowFunction="custom" dataDxfId="967" totalsRowDxfId="966">
      <calculatedColumnFormula>MemberOfAssemblyAssemblyDistrict92General[[#This Row],[Part of Westchester County Vote Results]]</calculatedColumnFormula>
      <totalsRowFormula>SUM(MemberOfAssemblyAssemblyDistrict92General[Total Votes by Party])</totalsRowFormula>
    </tableColumn>
    <tableColumn id="2" xr3:uid="{7A5D68CB-580E-4C60-9E64-921C3D0C5B4D}" name="Total Votes by Candidate" dataDxfId="965" totalsRowDxfId="964">
      <calculatedColumnFormula>SUM(MemberOfAssemblyAssemblyDistrict92General[[#This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9480A371-3F39-4BF4-B84A-2707CAF9E164}" name="MemberOfAssemblyAssemblyDistrict93General" displayName="MemberOfAssemblyAssemblyDistrict93General" ref="A2:D11" totalsRowCount="1" headerRowDxfId="963" dataDxfId="961" totalsRowDxfId="959" headerRowBorderDxfId="962" tableBorderDxfId="960" totalsRowBorderDxfId="958">
  <autoFilter ref="A2:D10" xr:uid="{D55BDE7E-2331-4939-833D-ACA4034F7547}">
    <filterColumn colId="0" hiddenButton="1"/>
    <filterColumn colId="1" hiddenButton="1"/>
    <filterColumn colId="2" hiddenButton="1"/>
    <filterColumn colId="3" hiddenButton="1"/>
  </autoFilter>
  <tableColumns count="4">
    <tableColumn id="1" xr3:uid="{51304B78-5BD7-4066-A8D9-A81C9E7C110C}" name="Candidate Name (Party)" totalsRowLabel="Total Votes by County" dataDxfId="957" totalsRowDxfId="956"/>
    <tableColumn id="4" xr3:uid="{9DB6FD3F-B674-413C-AEA4-B63EA5207B33}" name="Part of Westchester County Vote Results" totalsRowFunction="custom" dataDxfId="955" totalsRowDxfId="954">
      <totalsRowFormula>SUM(MemberOfAssemblyAssemblyDistrict93General[Part of Westchester County Vote Results])</totalsRowFormula>
    </tableColumn>
    <tableColumn id="3" xr3:uid="{EF1117D7-8980-420C-850F-E20B7C77C321}" name="Total Votes by Party" totalsRowFunction="custom" dataDxfId="953" totalsRowDxfId="952">
      <calculatedColumnFormula>MemberOfAssemblyAssemblyDistrict93General[[#This Row],[Part of Westchester County Vote Results]]</calculatedColumnFormula>
      <totalsRowFormula>SUM(MemberOfAssemblyAssemblyDistrict93General[Total Votes by Party])</totalsRowFormula>
    </tableColumn>
    <tableColumn id="2" xr3:uid="{C5BDE755-B52C-47C0-8877-C5A1C07FF816}" name="Total Votes by Candidate" dataDxfId="951" totalsRowDxfId="950"/>
  </tableColumns>
  <tableStyleInfo name="TableStyleMedium2" showFirstColumn="0" showLastColumn="0" showRowStripes="0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FBABD601-BB6E-46AF-A074-032A174B8801}" name="MemberOfAssemblyAssemblyDistrict94General" displayName="MemberOfAssemblyAssemblyDistrict94General" ref="A2:E12" totalsRowCount="1" headerRowDxfId="949" dataDxfId="947" totalsRowDxfId="945" headerRowBorderDxfId="948" tableBorderDxfId="946" totalsRowBorderDxfId="944">
  <autoFilter ref="A2:E11" xr:uid="{DED7A81C-DF94-495E-BD4D-90CA6090288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61A76C6-BE57-4061-AB70-77AC389D547C}" name="Candidate Name (Party)" totalsRowLabel="Total Votes by County" dataDxfId="943" totalsRowDxfId="942"/>
    <tableColumn id="2" xr3:uid="{C015B1BE-C077-421A-864D-7D8DF461BFD2}" name="Part of Putnam County Vote Results" totalsRowFunction="custom" dataDxfId="941" totalsRowDxfId="940">
      <totalsRowFormula>SUM(MemberOfAssemblyAssemblyDistrict94General[Part of Putnam County Vote Results])</totalsRowFormula>
    </tableColumn>
    <tableColumn id="4" xr3:uid="{5AD9B8E5-914B-4110-ACF0-1040C8E326E2}" name="Part of Westchester County Vote Results" totalsRowFunction="custom" dataDxfId="939" totalsRowDxfId="938">
      <totalsRowFormula>SUM(MemberOfAssemblyAssemblyDistrict94General[Part of Westchester County Vote Results])</totalsRowFormula>
    </tableColumn>
    <tableColumn id="3" xr3:uid="{2B9C0DB7-2F2D-4715-9A32-730A1E492888}" name="Total Votes by Party" totalsRowFunction="custom" dataDxfId="937" totalsRowDxfId="936">
      <calculatedColumnFormula>SUM(MemberOfAssemblyAssemblyDistrict94General[[#This Row],[Part of Putnam County Vote Results]:[Part of Westchester County Vote Results]])</calculatedColumnFormula>
      <totalsRowFormula>SUM(MemberOfAssemblyAssemblyDistrict94General[Total Votes by Party])</totalsRowFormula>
    </tableColumn>
    <tableColumn id="5" xr3:uid="{2EF70F7A-6209-4653-B1E8-5EE903ED0E02}" name="Total Votes by Candidate" dataDxfId="935" totalsRowDxfId="934"/>
  </tableColumns>
  <tableStyleInfo name="TableStyleMedium2" showFirstColumn="0" showLastColumn="0" showRowStripes="0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40248B98-4E46-4AEE-B5D4-28DA51932512}" name="MemberOfAssemblyAssemblyDistrict95General" displayName="MemberOfAssemblyAssemblyDistrict95General" ref="A2:E9" totalsRowCount="1" headerRowDxfId="933" dataDxfId="931" totalsRowDxfId="929" headerRowBorderDxfId="932" tableBorderDxfId="930" totalsRowBorderDxfId="928">
  <autoFilter ref="A2:E8" xr:uid="{6D7F6935-EB82-47B3-81C1-C37CF71DBB0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96563D-8653-4DC6-8887-51192179016B}" name="Candidate Name (Party)" totalsRowLabel="Total Votes by County" dataDxfId="927" totalsRowDxfId="926"/>
    <tableColumn id="2" xr3:uid="{9BF40CD4-C2DC-47E2-A966-036B95DCCEC6}" name="Part of Putnam County Vote Results" totalsRowFunction="custom" dataDxfId="925" totalsRowDxfId="924">
      <totalsRowFormula>SUM(MemberOfAssemblyAssemblyDistrict95General[Part of Putnam County Vote Results])</totalsRowFormula>
    </tableColumn>
    <tableColumn id="4" xr3:uid="{690150D7-8977-4AA2-B643-6B7A9FF66C5B}" name="Part of Westchester County Vote Results" totalsRowFunction="custom" dataDxfId="923" totalsRowDxfId="922">
      <totalsRowFormula>SUM(MemberOfAssemblyAssemblyDistrict95General[Part of Westchester County Vote Results])</totalsRowFormula>
    </tableColumn>
    <tableColumn id="3" xr3:uid="{03114B0F-2FD7-4C3D-B2BC-EA7C6AF1D352}" name="Total Votes by Party" totalsRowFunction="custom" dataDxfId="921" totalsRowDxfId="920">
      <calculatedColumnFormula>SUM(MemberOfAssemblyAssemblyDistrict95General[[#This Row],[Part of Putnam County Vote Results]:[Part of Westchester County Vote Results]])</calculatedColumnFormula>
      <totalsRowFormula>SUM(MemberOfAssemblyAssemblyDistrict95General[Total Votes by Party])</totalsRowFormula>
    </tableColumn>
    <tableColumn id="5" xr3:uid="{5908EB49-7FA7-44D2-9983-BCF19B94052D}" name="Total Votes by Candidate" dataDxfId="919" totalsRowDxfId="918"/>
  </tableColumns>
  <tableStyleInfo name="TableStyleMedium2" showFirstColumn="0" showLastColumn="0" showRowStripes="0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4FC1DBB0-AB6A-4CFC-8A16-F562354D30A6}" name="MemberOfAssemblyAssemblyDistrict96General" displayName="MemberOfAssemblyAssemblyDistrict96General" ref="A2:D9" totalsRowCount="1" headerRowDxfId="917" dataDxfId="915" totalsRowDxfId="913" headerRowBorderDxfId="916" tableBorderDxfId="914" totalsRowBorderDxfId="912">
  <autoFilter ref="A2:D8" xr:uid="{371FD33B-E0F1-4828-9D45-F6A7C6042C07}">
    <filterColumn colId="0" hiddenButton="1"/>
    <filterColumn colId="1" hiddenButton="1"/>
    <filterColumn colId="2" hiddenButton="1"/>
    <filterColumn colId="3" hiddenButton="1"/>
  </autoFilter>
  <tableColumns count="4">
    <tableColumn id="1" xr3:uid="{CB2D977A-FD00-43BA-8201-89AF6144277F}" name="Candidate Name (Party)" totalsRowLabel="Total Votes by County" dataDxfId="911" totalsRowDxfId="910"/>
    <tableColumn id="4" xr3:uid="{9E8476BB-C26C-485C-A1BA-E2FFF25C4176}" name="Part of Rockland County Vote Results" totalsRowFunction="custom" dataDxfId="909" totalsRowDxfId="908">
      <totalsRowFormula>SUM(MemberOfAssemblyAssemblyDistrict96General[Part of Rockland County Vote Results])</totalsRowFormula>
    </tableColumn>
    <tableColumn id="3" xr3:uid="{0A8ECCD3-FA7C-4410-8CED-7220757E4B3D}" name="Total Votes by Party" totalsRowFunction="custom" dataDxfId="907" totalsRowDxfId="906">
      <calculatedColumnFormula>MemberOfAssemblyAssemblyDistrict96General[[#This Row],[Part of Rockland County Vote Results]]</calculatedColumnFormula>
      <totalsRowFormula>SUM(MemberOfAssemblyAssemblyDistrict96General[Total Votes by Party])</totalsRowFormula>
    </tableColumn>
    <tableColumn id="2" xr3:uid="{0B02CA45-FC27-405E-AE9F-620B2C581D1A}" name="Total Votes by Candidate" dataDxfId="905" totalsRowDxfId="904">
      <calculatedColumnFormula>SUM(MemberOfAssemblyAssemblyDistrict96General[[#This Row],[Total Votes by Party]],C4,C5)</calculatedColumnFormula>
    </tableColumn>
  </tableColumns>
  <tableStyleInfo name="TableStyleMedium2" showFirstColumn="0" showLastColumn="0" showRowStripes="0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C8E1EF8A-D831-435B-9B03-801BA53B742C}" name="MemberOfAssemblyAssemblyDistrict97General" displayName="MemberOfAssemblyAssemblyDistrict97General" ref="A2:D11" totalsRowCount="1" headerRowDxfId="903" dataDxfId="901" totalsRowDxfId="899" headerRowBorderDxfId="902" tableBorderDxfId="900" totalsRowBorderDxfId="898">
  <autoFilter ref="A2:D10" xr:uid="{97B32511-51F3-4A1E-A166-F3369638BE7F}">
    <filterColumn colId="0" hiddenButton="1"/>
    <filterColumn colId="1" hiddenButton="1"/>
    <filterColumn colId="2" hiddenButton="1"/>
    <filterColumn colId="3" hiddenButton="1"/>
  </autoFilter>
  <tableColumns count="4">
    <tableColumn id="1" xr3:uid="{8A8C88DA-81C3-4423-A4A1-5101AFFBCF6A}" name="Candidate Name (Party)" totalsRowLabel="Total Votes by County" dataDxfId="897" totalsRowDxfId="896"/>
    <tableColumn id="4" xr3:uid="{17202AFB-2430-496B-A04B-29C6A342CF61}" name="Part of Rockland County Vote Results" totalsRowFunction="custom" dataDxfId="895" totalsRowDxfId="894">
      <totalsRowFormula>SUM(MemberOfAssemblyAssemblyDistrict97General[Part of Rockland County Vote Results])</totalsRowFormula>
    </tableColumn>
    <tableColumn id="3" xr3:uid="{4D244671-3A78-4652-850F-F3F2EE71CA65}" name="Total Votes by Party" totalsRowFunction="custom" dataDxfId="893" totalsRowDxfId="892">
      <calculatedColumnFormula>MemberOfAssemblyAssemblyDistrict97General[[#This Row],[Part of Rockland County Vote Results]]</calculatedColumnFormula>
      <totalsRowFormula>SUM(MemberOfAssemblyAssemblyDistrict97General[Total Votes by Party])</totalsRowFormula>
    </tableColumn>
    <tableColumn id="2" xr3:uid="{91BAF986-A24C-4FF8-97DE-A84A63C51F56}" name="Total Votes by Candidate" dataDxfId="891" totalsRowDxfId="890"/>
  </tableColumns>
  <tableStyleInfo name="TableStyleMedium2" showFirstColumn="0" showLastColumn="0" showRowStripes="0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02CDBE6E-59F2-43B0-8737-EEAF6AF30290}" name="MemberOfAssemblyAssemblyDistrict98General" displayName="MemberOfAssemblyAssemblyDistrict98General" ref="A2:E9" totalsRowCount="1" headerRowDxfId="889" dataDxfId="887" totalsRowDxfId="885" headerRowBorderDxfId="888" tableBorderDxfId="886" totalsRowBorderDxfId="884">
  <autoFilter ref="A2:E8" xr:uid="{50755AB1-F623-4EC1-9E7E-CC0ED57A25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E7D5B61-6DBE-4719-AEC9-CAC280811D52}" name="Candidate Name (Party)" totalsRowLabel="Total Votes by County" dataDxfId="883" totalsRowDxfId="882"/>
    <tableColumn id="2" xr3:uid="{8DCE4F82-902C-4DAF-A50E-939A4D51C23C}" name="Part of Orange County Vote Results" totalsRowFunction="custom" dataDxfId="881" totalsRowDxfId="880">
      <totalsRowFormula>SUM(MemberOfAssemblyAssemblyDistrict98General[Part of Orange County Vote Results])</totalsRowFormula>
    </tableColumn>
    <tableColumn id="4" xr3:uid="{211A07DE-5E03-4A13-8963-7233C0D08553}" name="Part of Rockland County Vote Results" totalsRowFunction="custom" dataDxfId="879" totalsRowDxfId="878">
      <totalsRowFormula>SUM(MemberOfAssemblyAssemblyDistrict98General[Part of Rockland County Vote Results])</totalsRowFormula>
    </tableColumn>
    <tableColumn id="3" xr3:uid="{7DC04A6D-7AB1-4C51-A913-6688C6B8682D}" name="Total Votes by Party" totalsRowFunction="custom" dataDxfId="877" totalsRowDxfId="876">
      <calculatedColumnFormula>SUM(MemberOfAssemblyAssemblyDistrict98General[[#This Row],[Part of Orange County Vote Results]:[Part of Rockland County Vote Results]])</calculatedColumnFormula>
      <totalsRowFormula>SUM(MemberOfAssemblyAssemblyDistrict98General[Total Votes by Party])</totalsRowFormula>
    </tableColumn>
    <tableColumn id="5" xr3:uid="{440B8255-D250-4947-8F14-39C47FBA6003}" name="Total Votes by Candidate" dataDxfId="875" totalsRowDxfId="874">
      <calculatedColumnFormula>SUM(D3,D4,D5)</calculatedColumnFormula>
    </tableColumn>
  </tableColumns>
  <tableStyleInfo name="TableStyleMedium2" showFirstColumn="0" showLastColumn="0" showRowStripes="0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8B994E3C-41FB-4E2D-A21F-1A017995B580}" name="MemberOfAssemblyAssemblyDistrict99General" displayName="MemberOfAssemblyAssemblyDistrict99General" ref="A2:E13" totalsRowCount="1" headerRowDxfId="873" dataDxfId="871" totalsRowDxfId="869" headerRowBorderDxfId="872" tableBorderDxfId="870" totalsRowBorderDxfId="868">
  <autoFilter ref="A2:E12" xr:uid="{7954D400-A973-4CA4-A173-A394218CD0D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AC3EF11-FF70-4E21-8323-78F2B1862668}" name="Candidate Name (Party)" totalsRowLabel="Total Votes by County" dataDxfId="867" totalsRowDxfId="866"/>
    <tableColumn id="2" xr3:uid="{79720CCE-82F4-44FA-BF93-95C2F96A066B}" name="Part of Orange County Vote Results" totalsRowFunction="custom" dataDxfId="865" totalsRowDxfId="864">
      <totalsRowFormula>SUM(MemberOfAssemblyAssemblyDistrict99General[Part of Orange County Vote Results])</totalsRowFormula>
    </tableColumn>
    <tableColumn id="4" xr3:uid="{E9C7A8F3-513E-42AD-8AEA-C493F74A775F}" name="Part of Rockland County Vote Results" totalsRowFunction="custom" dataDxfId="863" totalsRowDxfId="862">
      <totalsRowFormula>SUM(MemberOfAssemblyAssemblyDistrict99General[Part of Rockland County Vote Results])</totalsRowFormula>
    </tableColumn>
    <tableColumn id="3" xr3:uid="{972CA9B4-1A63-4DB8-9BDC-AA8BDD68A9ED}" name="Total Votes by Party" totalsRowFunction="custom" dataDxfId="861" totalsRowDxfId="860">
      <calculatedColumnFormula>SUM(MemberOfAssemblyAssemblyDistrict99General[[#This Row],[Part of Orange County Vote Results]:[Part of Rockland County Vote Results]])</calculatedColumnFormula>
      <totalsRowFormula>SUM(MemberOfAssemblyAssemblyDistrict99General[Total Votes by Party])</totalsRowFormula>
    </tableColumn>
    <tableColumn id="5" xr3:uid="{1DD93F5D-3BCC-4953-9CE0-D502B4C43FB8}" name="Total Votes by Candidate" dataDxfId="859" totalsRowDxfId="85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tabSelected="1" zoomScaleNormal="100"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30" t="s">
        <v>60</v>
      </c>
    </row>
    <row r="2" spans="1:4" ht="24.9" customHeight="1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61</v>
      </c>
      <c r="B3" s="21">
        <v>37230</v>
      </c>
      <c r="C3" s="9">
        <f>MemberOfAssemblyAssemblyDistrict1General[[#This Row],[Part of Suffolk County Vote Results]]</f>
        <v>37230</v>
      </c>
      <c r="D3" s="10">
        <f>SUM(MemberOfAssemblyAssemblyDistrict1General[[#This Row],[Total Votes by Party]],C6)</f>
        <v>38648</v>
      </c>
    </row>
    <row r="4" spans="1:4" ht="13.8" x14ac:dyDescent="0.3">
      <c r="A4" s="1" t="s">
        <v>62</v>
      </c>
      <c r="B4" s="21">
        <v>25238</v>
      </c>
      <c r="C4" s="9">
        <f>MemberOfAssemblyAssemblyDistrict1General[[#This Row],[Part of Suffolk County Vote Results]]</f>
        <v>25238</v>
      </c>
      <c r="D4" s="10">
        <f>SUM(MemberOfAssemblyAssemblyDistrict1General[[#This Row],[Total Votes by Party]],C5)</f>
        <v>28435</v>
      </c>
    </row>
    <row r="5" spans="1:4" ht="13.8" x14ac:dyDescent="0.3">
      <c r="A5" s="1" t="s">
        <v>63</v>
      </c>
      <c r="B5" s="21">
        <v>3197</v>
      </c>
      <c r="C5" s="9">
        <f>MemberOfAssemblyAssemblyDistrict1General[[#This Row],[Part of Suffolk County Vote Results]]</f>
        <v>3197</v>
      </c>
      <c r="D5" s="11"/>
    </row>
    <row r="6" spans="1:4" ht="13.8" x14ac:dyDescent="0.3">
      <c r="A6" s="1" t="s">
        <v>64</v>
      </c>
      <c r="B6" s="21">
        <v>1418</v>
      </c>
      <c r="C6" s="9">
        <f>MemberOfAssemblyAssemblyDistrict1General[[#This Row],[Part of Suffolk County Vote Results]]</f>
        <v>1418</v>
      </c>
      <c r="D6" s="11"/>
    </row>
    <row r="7" spans="1:4" ht="13.8" x14ac:dyDescent="0.3">
      <c r="A7" s="3" t="s">
        <v>0</v>
      </c>
      <c r="B7" s="21">
        <v>4854</v>
      </c>
      <c r="C7" s="9">
        <f>MemberOfAssemblyAssemblyDistrict1General[[#This Row],[Part of Suffolk County Vote Results]]</f>
        <v>4854</v>
      </c>
      <c r="D7" s="11"/>
    </row>
    <row r="8" spans="1:4" ht="13.8" x14ac:dyDescent="0.3">
      <c r="A8" s="3" t="s">
        <v>1</v>
      </c>
      <c r="B8" s="21">
        <v>17</v>
      </c>
      <c r="C8" s="9">
        <f>MemberOfAssemblyAssemblyDistrict1General[[#This Row],[Part of Suffolk County Vote Results]]</f>
        <v>17</v>
      </c>
      <c r="D8" s="11"/>
    </row>
    <row r="9" spans="1:4" ht="13.8" x14ac:dyDescent="0.3">
      <c r="A9" s="3" t="s">
        <v>6</v>
      </c>
      <c r="B9" s="21">
        <v>16</v>
      </c>
      <c r="C9" s="9">
        <f>MemberOfAssemblyAssemblyDistrict1General[[#This Row],[Part of Suffolk County Vote Results]]</f>
        <v>16</v>
      </c>
      <c r="D9" s="11"/>
    </row>
    <row r="10" spans="1:4" ht="13.8" x14ac:dyDescent="0.3">
      <c r="A10" s="13" t="s">
        <v>2</v>
      </c>
      <c r="B10" s="21">
        <f>SUM(MemberOfAssemblyAssemblyDistrict1General[Part of Suffolk County Vote Results])</f>
        <v>71970</v>
      </c>
      <c r="C10" s="9">
        <f>SUM(MemberOfAssemblyAssemblyDistrict1General[Total Votes by Party])</f>
        <v>71970</v>
      </c>
      <c r="D10" s="11"/>
    </row>
  </sheetData>
  <phoneticPr fontId="1" type="noConversion"/>
  <printOptions horizontalCentered="1"/>
  <pageMargins left="0" right="0" top="0.25" bottom="0.5" header="0.25" footer="0.25"/>
  <pageSetup paperSize="5" scale="90" orientation="landscape" r:id="rId1"/>
  <headerFooter alignWithMargins="0">
    <oddFooter>&amp;RPage &amp;P of &amp;N</oddFooter>
  </headerFooter>
  <rowBreaks count="34" manualBreakCount="34">
    <brk id="40" max="16383" man="1"/>
    <brk id="87" max="16383" man="1"/>
    <brk id="132" max="16383" man="1"/>
    <brk id="177" max="16383" man="1"/>
    <brk id="222" max="16383" man="1"/>
    <brk id="267" max="16383" man="1"/>
    <brk id="312" max="16383" man="1"/>
    <brk id="357" max="16383" man="1"/>
    <brk id="402" max="16383" man="1"/>
    <brk id="447" max="16383" man="1"/>
    <brk id="492" max="16383" man="1"/>
    <brk id="537" max="16383" man="1"/>
    <brk id="575" max="16383" man="1"/>
    <brk id="620" max="16383" man="1"/>
    <brk id="665" max="16383" man="1"/>
    <brk id="710" max="16383" man="1"/>
    <brk id="755" max="16383" man="1"/>
    <brk id="800" max="16383" man="1"/>
    <brk id="836" max="16383" man="1"/>
    <brk id="876" max="16383" man="1"/>
    <brk id="925" max="16383" man="1"/>
    <brk id="973" max="16383" man="1"/>
    <brk id="1008" max="16383" man="1"/>
    <brk id="1051" max="16383" man="1"/>
    <brk id="1098" max="16383" man="1"/>
    <brk id="1136" max="16383" man="1"/>
    <brk id="1182" max="16383" man="1"/>
    <brk id="1218" max="16383" man="1"/>
    <brk id="1257" max="16383" man="1"/>
    <brk id="1304" max="16383" man="1"/>
    <brk id="1340" max="16383" man="1"/>
    <brk id="1381" max="16383" man="1"/>
    <brk id="1424" max="16383" man="1"/>
    <brk id="1465" max="12" man="1"/>
  </row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E795-63A8-46D5-BBC2-61D78B0B1361}">
  <dimension ref="A1:D11"/>
  <sheetViews>
    <sheetView workbookViewId="0">
      <selection activeCell="B3" sqref="B3: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114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115</v>
      </c>
      <c r="B3" s="21">
        <v>34486</v>
      </c>
      <c r="C3" s="9">
        <f>MemberOfAssemblyAssemblyDistrict10General[[#This Row],[Part of Suffolk County Vote Results]]</f>
        <v>34486</v>
      </c>
      <c r="D3" s="10">
        <f>SUM(MemberOfAssemblyAssemblyDistrict10General[[#This Row],[Total Votes by Party]],C6,C7)</f>
        <v>36983</v>
      </c>
    </row>
    <row r="4" spans="1:4" ht="13.8" x14ac:dyDescent="0.3">
      <c r="A4" s="1" t="s">
        <v>116</v>
      </c>
      <c r="B4" s="21">
        <v>25507</v>
      </c>
      <c r="C4" s="9">
        <f>MemberOfAssemblyAssemblyDistrict10General[[#This Row],[Part of Suffolk County Vote Results]]</f>
        <v>25507</v>
      </c>
      <c r="D4" s="10">
        <f>SUM(MemberOfAssemblyAssemblyDistrict10General[[#This Row],[Total Votes by Party]],C5)</f>
        <v>28609</v>
      </c>
    </row>
    <row r="5" spans="1:4" ht="13.8" x14ac:dyDescent="0.3">
      <c r="A5" s="1" t="s">
        <v>117</v>
      </c>
      <c r="B5" s="21">
        <v>3102</v>
      </c>
      <c r="C5" s="9">
        <f>MemberOfAssemblyAssemblyDistrict10General[[#This Row],[Part of Suffolk County Vote Results]]</f>
        <v>3102</v>
      </c>
      <c r="D5" s="11"/>
    </row>
    <row r="6" spans="1:4" ht="13.8" x14ac:dyDescent="0.3">
      <c r="A6" s="1" t="s">
        <v>118</v>
      </c>
      <c r="B6" s="21">
        <v>1666</v>
      </c>
      <c r="C6" s="9">
        <f>MemberOfAssemblyAssemblyDistrict10General[[#This Row],[Part of Suffolk County Vote Results]]</f>
        <v>1666</v>
      </c>
      <c r="D6" s="11"/>
    </row>
    <row r="7" spans="1:4" ht="13.8" x14ac:dyDescent="0.3">
      <c r="A7" s="1" t="s">
        <v>119</v>
      </c>
      <c r="B7" s="21">
        <v>831</v>
      </c>
      <c r="C7" s="9">
        <f>MemberOfAssemblyAssemblyDistrict10General[[#This Row],[Part of Suffolk County Vote Results]]</f>
        <v>831</v>
      </c>
      <c r="D7" s="11"/>
    </row>
    <row r="8" spans="1:4" ht="13.8" x14ac:dyDescent="0.3">
      <c r="A8" s="3" t="s">
        <v>0</v>
      </c>
      <c r="B8" s="21">
        <v>4717</v>
      </c>
      <c r="C8" s="9">
        <f>MemberOfAssemblyAssemblyDistrict10General[[#This Row],[Part of Suffolk County Vote Results]]</f>
        <v>4717</v>
      </c>
      <c r="D8" s="11"/>
    </row>
    <row r="9" spans="1:4" ht="13.8" x14ac:dyDescent="0.3">
      <c r="A9" s="3" t="s">
        <v>1</v>
      </c>
      <c r="B9" s="21">
        <v>31</v>
      </c>
      <c r="C9" s="9">
        <f>MemberOfAssemblyAssemblyDistrict10General[[#This Row],[Part of Suffolk County Vote Results]]</f>
        <v>31</v>
      </c>
      <c r="D9" s="11"/>
    </row>
    <row r="10" spans="1:4" ht="13.8" x14ac:dyDescent="0.3">
      <c r="A10" s="3" t="s">
        <v>6</v>
      </c>
      <c r="B10" s="21">
        <v>13</v>
      </c>
      <c r="C10" s="9">
        <f>MemberOfAssemblyAssemblyDistrict10General[[#This Row],[Part of Suffolk County Vote Results]]</f>
        <v>13</v>
      </c>
      <c r="D10" s="11"/>
    </row>
    <row r="11" spans="1:4" ht="13.8" x14ac:dyDescent="0.3">
      <c r="A11" s="13" t="s">
        <v>2</v>
      </c>
      <c r="B11" s="21">
        <f>SUM(MemberOfAssemblyAssemblyDistrict10General[Part of Suffolk County Vote Results])</f>
        <v>70353</v>
      </c>
      <c r="C11" s="9">
        <f>SUM(MemberOfAssemblyAssemblyDistrict10General[Total Votes by Party])</f>
        <v>70353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03EC-B9C3-4BA8-818D-2D01A3D7EDA8}">
  <dimension ref="A1:E9"/>
  <sheetViews>
    <sheetView workbookViewId="0">
      <selection activeCell="C19" sqref="C19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464</v>
      </c>
    </row>
    <row r="2" spans="1:5" ht="27.6" x14ac:dyDescent="0.25">
      <c r="A2" s="5" t="s">
        <v>5</v>
      </c>
      <c r="B2" s="6" t="s">
        <v>47</v>
      </c>
      <c r="C2" s="6" t="s">
        <v>465</v>
      </c>
      <c r="D2" s="7" t="s">
        <v>3</v>
      </c>
      <c r="E2" s="8" t="s">
        <v>4</v>
      </c>
    </row>
    <row r="3" spans="1:5" ht="13.8" x14ac:dyDescent="0.3">
      <c r="A3" s="1" t="s">
        <v>466</v>
      </c>
      <c r="B3" s="2">
        <v>14533</v>
      </c>
      <c r="C3" s="21">
        <v>15320</v>
      </c>
      <c r="D3" s="9">
        <f>SUM(MemberOfAssemblyAssemblyDistrict100General[[#This Row],[Part of Orange County Vote Results]:[Part of Sullivan County Vote Results]])</f>
        <v>29853</v>
      </c>
      <c r="E3" s="10">
        <f t="shared" ref="E3" si="0">SUM(D3,D4,D5)</f>
        <v>37523</v>
      </c>
    </row>
    <row r="4" spans="1:5" ht="13.8" x14ac:dyDescent="0.3">
      <c r="A4" s="1" t="s">
        <v>467</v>
      </c>
      <c r="B4" s="2">
        <v>1801</v>
      </c>
      <c r="C4" s="21">
        <v>3472</v>
      </c>
      <c r="D4" s="9">
        <f>SUM(MemberOfAssemblyAssemblyDistrict100General[[#This Row],[Part of Orange County Vote Results]:[Part of Sullivan County Vote Results]])</f>
        <v>5273</v>
      </c>
      <c r="E4" s="11"/>
    </row>
    <row r="5" spans="1:5" ht="13.8" x14ac:dyDescent="0.3">
      <c r="A5" s="1" t="s">
        <v>468</v>
      </c>
      <c r="B5" s="2">
        <v>721</v>
      </c>
      <c r="C5" s="21">
        <v>1676</v>
      </c>
      <c r="D5" s="9">
        <f>SUM(MemberOfAssemblyAssemblyDistrict100General[[#This Row],[Part of Orange County Vote Results]:[Part of Sullivan County Vote Results]])</f>
        <v>2397</v>
      </c>
      <c r="E5" s="11"/>
    </row>
    <row r="6" spans="1:5" ht="13.8" x14ac:dyDescent="0.3">
      <c r="A6" s="3" t="s">
        <v>0</v>
      </c>
      <c r="B6" s="2">
        <v>8616</v>
      </c>
      <c r="C6" s="21">
        <v>12591</v>
      </c>
      <c r="D6" s="9">
        <f>SUM(MemberOfAssemblyAssemblyDistrict100General[[#This Row],[Part of Orange County Vote Results]:[Part of Sullivan County Vote Results]])</f>
        <v>21207</v>
      </c>
      <c r="E6" s="11"/>
    </row>
    <row r="7" spans="1:5" ht="13.8" x14ac:dyDescent="0.3">
      <c r="A7" s="3" t="s">
        <v>1</v>
      </c>
      <c r="B7" s="2">
        <v>0</v>
      </c>
      <c r="C7" s="21">
        <v>19</v>
      </c>
      <c r="D7" s="9">
        <f>SUM(MemberOfAssemblyAssemblyDistrict100General[[#This Row],[Part of Orange County Vote Results]:[Part of Sullivan County Vote Results]])</f>
        <v>19</v>
      </c>
      <c r="E7" s="11"/>
    </row>
    <row r="8" spans="1:5" ht="13.8" x14ac:dyDescent="0.3">
      <c r="A8" s="3" t="s">
        <v>6</v>
      </c>
      <c r="B8" s="2">
        <v>101</v>
      </c>
      <c r="C8" s="21">
        <v>97</v>
      </c>
      <c r="D8" s="9">
        <f>SUM(MemberOfAssemblyAssemblyDistrict100General[[#This Row],[Part of Orange County Vote Results]:[Part of Sullivan County Vote Results]])</f>
        <v>198</v>
      </c>
      <c r="E8" s="11"/>
    </row>
    <row r="9" spans="1:5" ht="13.8" x14ac:dyDescent="0.3">
      <c r="A9" s="13" t="s">
        <v>2</v>
      </c>
      <c r="B9" s="2">
        <f>SUM(MemberOfAssemblyAssemblyDistrict100General[Part of Orange County Vote Results])</f>
        <v>25772</v>
      </c>
      <c r="C9" s="2">
        <f>SUM(MemberOfAssemblyAssemblyDistrict100General[Part of Sullivan County Vote Results])</f>
        <v>33175</v>
      </c>
      <c r="D9" s="9">
        <f>SUM(MemberOfAssemblyAssemblyDistrict100General[Total Votes by Party])</f>
        <v>58947</v>
      </c>
      <c r="E9" s="11"/>
    </row>
  </sheetData>
  <pageMargins left="0.7" right="0.7" top="0.75" bottom="0.75" header="0.3" footer="0.3"/>
  <tableParts count="1">
    <tablePart r:id="rId1"/>
  </tablePart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ECCB-A6FE-4EE5-82E6-F0283B5FE2B1}">
  <dimension ref="A1:J12"/>
  <sheetViews>
    <sheetView workbookViewId="0">
      <pane xSplit="1" topLeftCell="B1" activePane="topRight" state="frozen"/>
      <selection pane="topRight" activeCell="E16" sqref="E16"/>
    </sheetView>
  </sheetViews>
  <sheetFormatPr defaultRowHeight="13.2" x14ac:dyDescent="0.25"/>
  <cols>
    <col min="1" max="1" width="25.5546875" customWidth="1"/>
    <col min="2" max="10" width="20.5546875" customWidth="1"/>
    <col min="11" max="12" width="23.5546875" customWidth="1"/>
  </cols>
  <sheetData>
    <row r="1" spans="1:10" ht="18" x14ac:dyDescent="0.25">
      <c r="A1" s="31" t="s">
        <v>469</v>
      </c>
      <c r="B1" s="31"/>
      <c r="C1" s="31"/>
      <c r="D1" s="31"/>
      <c r="E1" s="31"/>
      <c r="F1" s="31"/>
      <c r="G1" s="31"/>
    </row>
    <row r="2" spans="1:10" ht="27.6" x14ac:dyDescent="0.25">
      <c r="A2" s="5" t="s">
        <v>5</v>
      </c>
      <c r="B2" s="6" t="s">
        <v>50</v>
      </c>
      <c r="C2" s="6" t="s">
        <v>40</v>
      </c>
      <c r="D2" s="6" t="s">
        <v>56</v>
      </c>
      <c r="E2" s="6" t="s">
        <v>47</v>
      </c>
      <c r="F2" s="6" t="s">
        <v>470</v>
      </c>
      <c r="G2" s="6" t="s">
        <v>465</v>
      </c>
      <c r="H2" s="6" t="s">
        <v>48</v>
      </c>
      <c r="I2" s="7" t="s">
        <v>3</v>
      </c>
      <c r="J2" s="8" t="s">
        <v>4</v>
      </c>
    </row>
    <row r="3" spans="1:10" ht="13.8" x14ac:dyDescent="0.3">
      <c r="A3" s="1" t="s">
        <v>471</v>
      </c>
      <c r="B3" s="2">
        <v>2249</v>
      </c>
      <c r="C3" s="2">
        <v>3024</v>
      </c>
      <c r="D3" s="2">
        <v>4861</v>
      </c>
      <c r="E3" s="2">
        <v>5514</v>
      </c>
      <c r="F3" s="2">
        <v>1130</v>
      </c>
      <c r="G3" s="21">
        <v>557</v>
      </c>
      <c r="H3" s="2">
        <v>4008</v>
      </c>
      <c r="I3" s="9">
        <f>SUM(MemberOfAssemblyAssemblyDistrict101General[[#This Row],[Part of Delaware County Vote Results]:[Part of Ulster County Vote Results]])</f>
        <v>21343</v>
      </c>
      <c r="J3" s="10">
        <f>SUM(MemberOfAssemblyAssemblyDistrict101General[[#This Row],[Total Votes by Party]],I6)</f>
        <v>23253</v>
      </c>
    </row>
    <row r="4" spans="1:10" ht="13.8" x14ac:dyDescent="0.3">
      <c r="A4" s="1" t="s">
        <v>472</v>
      </c>
      <c r="B4" s="2">
        <v>3017</v>
      </c>
      <c r="C4" s="2">
        <v>6410</v>
      </c>
      <c r="D4" s="2">
        <v>7411</v>
      </c>
      <c r="E4" s="2">
        <v>7483</v>
      </c>
      <c r="F4" s="2">
        <v>1671</v>
      </c>
      <c r="G4" s="21">
        <v>979</v>
      </c>
      <c r="H4" s="2">
        <v>5460</v>
      </c>
      <c r="I4" s="9">
        <f>SUM(MemberOfAssemblyAssemblyDistrict101General[[#This Row],[Part of Delaware County Vote Results]:[Part of Ulster County Vote Results]])</f>
        <v>32431</v>
      </c>
      <c r="J4" s="10">
        <f>SUM(MemberOfAssemblyAssemblyDistrict101General[[#This Row],[Total Votes by Party]],I5,I8)</f>
        <v>36620</v>
      </c>
    </row>
    <row r="5" spans="1:10" ht="13.8" x14ac:dyDescent="0.3">
      <c r="A5" s="1" t="s">
        <v>473</v>
      </c>
      <c r="B5" s="2">
        <v>192</v>
      </c>
      <c r="C5" s="2">
        <v>605</v>
      </c>
      <c r="D5" s="2">
        <v>725</v>
      </c>
      <c r="E5" s="2">
        <v>959</v>
      </c>
      <c r="F5" s="2">
        <v>96</v>
      </c>
      <c r="G5" s="21">
        <v>141</v>
      </c>
      <c r="H5" s="2">
        <v>468</v>
      </c>
      <c r="I5" s="9">
        <f>SUM(MemberOfAssemblyAssemblyDistrict101General[[#This Row],[Part of Delaware County Vote Results]:[Part of Ulster County Vote Results]])</f>
        <v>3186</v>
      </c>
      <c r="J5" s="11"/>
    </row>
    <row r="6" spans="1:10" ht="13.8" x14ac:dyDescent="0.3">
      <c r="A6" s="1" t="s">
        <v>474</v>
      </c>
      <c r="B6" s="2">
        <v>218</v>
      </c>
      <c r="C6" s="2">
        <v>267</v>
      </c>
      <c r="D6" s="2">
        <v>431</v>
      </c>
      <c r="E6" s="2">
        <v>376</v>
      </c>
      <c r="F6" s="2">
        <v>93</v>
      </c>
      <c r="G6" s="21">
        <v>61</v>
      </c>
      <c r="H6" s="2">
        <v>464</v>
      </c>
      <c r="I6" s="9">
        <f>SUM(MemberOfAssemblyAssemblyDistrict101General[[#This Row],[Part of Delaware County Vote Results]:[Part of Ulster County Vote Results]])</f>
        <v>1910</v>
      </c>
      <c r="J6" s="11"/>
    </row>
    <row r="7" spans="1:10" ht="13.8" x14ac:dyDescent="0.3">
      <c r="A7" s="1" t="s">
        <v>475</v>
      </c>
      <c r="B7" s="2">
        <v>96</v>
      </c>
      <c r="C7" s="2">
        <v>201</v>
      </c>
      <c r="D7" s="2">
        <v>214</v>
      </c>
      <c r="E7" s="2">
        <v>289</v>
      </c>
      <c r="F7" s="2">
        <v>61</v>
      </c>
      <c r="G7" s="21">
        <v>21</v>
      </c>
      <c r="H7" s="2">
        <v>271</v>
      </c>
      <c r="I7" s="9">
        <f>SUM(MemberOfAssemblyAssemblyDistrict101General[[#This Row],[Part of Delaware County Vote Results]:[Part of Ulster County Vote Results]])</f>
        <v>1153</v>
      </c>
      <c r="J7" s="10">
        <f>SUM(MemberOfAssemblyAssemblyDistrict101General[[#This Row],[Total Votes by Party]])</f>
        <v>1153</v>
      </c>
    </row>
    <row r="8" spans="1:10" ht="13.8" x14ac:dyDescent="0.3">
      <c r="A8" s="1" t="s">
        <v>476</v>
      </c>
      <c r="B8" s="2">
        <v>90</v>
      </c>
      <c r="C8" s="2">
        <v>160</v>
      </c>
      <c r="D8" s="2">
        <v>389</v>
      </c>
      <c r="E8" s="2">
        <v>144</v>
      </c>
      <c r="F8" s="2">
        <v>32</v>
      </c>
      <c r="G8" s="21">
        <v>35</v>
      </c>
      <c r="H8" s="2">
        <v>153</v>
      </c>
      <c r="I8" s="9">
        <f>SUM(MemberOfAssemblyAssemblyDistrict101General[[#This Row],[Part of Delaware County Vote Results]:[Part of Ulster County Vote Results]])</f>
        <v>1003</v>
      </c>
      <c r="J8" s="11"/>
    </row>
    <row r="9" spans="1:10" ht="13.8" x14ac:dyDescent="0.3">
      <c r="A9" s="3" t="s">
        <v>0</v>
      </c>
      <c r="B9" s="2">
        <v>263</v>
      </c>
      <c r="C9" s="2">
        <v>968</v>
      </c>
      <c r="D9" s="2">
        <v>879</v>
      </c>
      <c r="E9" s="2">
        <v>1385</v>
      </c>
      <c r="F9" s="2">
        <v>200</v>
      </c>
      <c r="G9" s="21">
        <v>162</v>
      </c>
      <c r="H9" s="2">
        <v>504</v>
      </c>
      <c r="I9" s="9">
        <f>SUM(MemberOfAssemblyAssemblyDistrict101General[[#This Row],[Part of Delaware County Vote Results]:[Part of Ulster County Vote Results]])</f>
        <v>4361</v>
      </c>
      <c r="J9" s="11"/>
    </row>
    <row r="10" spans="1:10" ht="13.8" x14ac:dyDescent="0.3">
      <c r="A10" s="3" t="s">
        <v>1</v>
      </c>
      <c r="B10" s="2">
        <v>0</v>
      </c>
      <c r="C10" s="2">
        <v>10</v>
      </c>
      <c r="D10" s="2">
        <v>1</v>
      </c>
      <c r="E10" s="2">
        <v>0</v>
      </c>
      <c r="F10" s="2">
        <v>0</v>
      </c>
      <c r="G10" s="21">
        <v>1</v>
      </c>
      <c r="H10" s="2">
        <v>6</v>
      </c>
      <c r="I10" s="9">
        <f>SUM(MemberOfAssemblyAssemblyDistrict101General[[#This Row],[Part of Delaware County Vote Results]:[Part of Ulster County Vote Results]])</f>
        <v>18</v>
      </c>
      <c r="J10" s="11"/>
    </row>
    <row r="11" spans="1:10" ht="13.8" x14ac:dyDescent="0.3">
      <c r="A11" s="3" t="s">
        <v>6</v>
      </c>
      <c r="B11" s="2">
        <v>2</v>
      </c>
      <c r="C11" s="2">
        <v>1</v>
      </c>
      <c r="D11" s="2">
        <v>10</v>
      </c>
      <c r="E11" s="2">
        <v>3</v>
      </c>
      <c r="F11" s="2">
        <v>6</v>
      </c>
      <c r="G11" s="21">
        <v>0</v>
      </c>
      <c r="H11" s="2">
        <v>2</v>
      </c>
      <c r="I11" s="9">
        <f>SUM(MemberOfAssemblyAssemblyDistrict101General[[#This Row],[Part of Delaware County Vote Results]:[Part of Ulster County Vote Results]])</f>
        <v>24</v>
      </c>
      <c r="J11" s="11"/>
    </row>
    <row r="12" spans="1:10" ht="13.8" x14ac:dyDescent="0.3">
      <c r="A12" s="13" t="s">
        <v>2</v>
      </c>
      <c r="B12" s="2">
        <f>SUM(MemberOfAssemblyAssemblyDistrict101General[Part of Delaware County Vote Results])</f>
        <v>6127</v>
      </c>
      <c r="C12" s="2">
        <f>SUM(MemberOfAssemblyAssemblyDistrict101General[Part of Herkimer County Vote Results])</f>
        <v>11646</v>
      </c>
      <c r="D12" s="2">
        <f>SUM(MemberOfAssemblyAssemblyDistrict101General[Part of Oneida County Vote Results])</f>
        <v>14921</v>
      </c>
      <c r="E12" s="2">
        <f>SUM(MemberOfAssemblyAssemblyDistrict101General[Part of Orange County Vote Results])</f>
        <v>16153</v>
      </c>
      <c r="F12" s="2">
        <f>SUM(MemberOfAssemblyAssemblyDistrict101General[Part of Otsego County Vote Results])</f>
        <v>3289</v>
      </c>
      <c r="G12" s="2">
        <f>SUM(MemberOfAssemblyAssemblyDistrict101General[Part of Sullivan County Vote Results])</f>
        <v>1957</v>
      </c>
      <c r="H12" s="2">
        <f>SUM(MemberOfAssemblyAssemblyDistrict101General[Part of Ulster County Vote Results])</f>
        <v>11336</v>
      </c>
      <c r="I12" s="9">
        <f>SUM(MemberOfAssemblyAssemblyDistrict101General[Total Votes by Party])</f>
        <v>65429</v>
      </c>
      <c r="J12" s="11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9FA9-B53C-4489-8F65-F9793F8BAEB3}">
  <dimension ref="A1:J10"/>
  <sheetViews>
    <sheetView workbookViewId="0">
      <pane xSplit="1" topLeftCell="B1" activePane="topRight" state="frozen"/>
      <selection pane="topRight" activeCell="H14" sqref="H14"/>
    </sheetView>
  </sheetViews>
  <sheetFormatPr defaultRowHeight="13.2" x14ac:dyDescent="0.25"/>
  <cols>
    <col min="1" max="1" width="25.5546875" customWidth="1"/>
    <col min="2" max="10" width="20.5546875" customWidth="1"/>
    <col min="11" max="12" width="23.5546875" customWidth="1"/>
  </cols>
  <sheetData>
    <row r="1" spans="1:10" ht="18" x14ac:dyDescent="0.25">
      <c r="A1" s="31" t="s">
        <v>477</v>
      </c>
      <c r="B1" s="31"/>
      <c r="C1" s="31"/>
      <c r="D1" s="31"/>
      <c r="E1" s="31"/>
      <c r="F1" s="31"/>
      <c r="G1" s="31"/>
      <c r="H1" s="31"/>
    </row>
    <row r="2" spans="1:10" ht="27.6" x14ac:dyDescent="0.25">
      <c r="A2" s="5" t="s">
        <v>5</v>
      </c>
      <c r="B2" s="6" t="s">
        <v>29</v>
      </c>
      <c r="C2" s="6" t="s">
        <v>30</v>
      </c>
      <c r="D2" s="6" t="s">
        <v>52</v>
      </c>
      <c r="E2" s="6" t="s">
        <v>478</v>
      </c>
      <c r="F2" s="6" t="s">
        <v>50</v>
      </c>
      <c r="G2" s="6" t="s">
        <v>470</v>
      </c>
      <c r="H2" s="6" t="s">
        <v>48</v>
      </c>
      <c r="I2" s="7" t="s">
        <v>3</v>
      </c>
      <c r="J2" s="8" t="s">
        <v>4</v>
      </c>
    </row>
    <row r="3" spans="1:10" ht="13.8" x14ac:dyDescent="0.3">
      <c r="A3" s="1" t="s">
        <v>479</v>
      </c>
      <c r="B3" s="2">
        <v>8582</v>
      </c>
      <c r="C3" s="2">
        <v>4169</v>
      </c>
      <c r="D3" s="2">
        <v>2332</v>
      </c>
      <c r="E3" s="2">
        <v>973</v>
      </c>
      <c r="F3" s="2">
        <v>2292</v>
      </c>
      <c r="G3" s="2">
        <v>743</v>
      </c>
      <c r="H3" s="2">
        <v>5186</v>
      </c>
      <c r="I3" s="9">
        <f>SUM(MemberOfAssemblyAssemblyDistrict102General[[#This Row],[Greene County Vote Results]:[Part of Ulster County Vote Results]])</f>
        <v>24277</v>
      </c>
      <c r="J3" s="10">
        <f>SUM(MemberOfAssemblyAssemblyDistrict102General[[#This Row],[Total Votes by Party]])</f>
        <v>24277</v>
      </c>
    </row>
    <row r="4" spans="1:10" ht="13.8" x14ac:dyDescent="0.3">
      <c r="A4" s="1" t="s">
        <v>480</v>
      </c>
      <c r="B4" s="2">
        <v>13453</v>
      </c>
      <c r="C4" s="2">
        <v>9672</v>
      </c>
      <c r="D4" s="2">
        <v>3399</v>
      </c>
      <c r="E4" s="2">
        <v>1198</v>
      </c>
      <c r="F4" s="2">
        <v>3184</v>
      </c>
      <c r="G4" s="2">
        <v>1389</v>
      </c>
      <c r="H4" s="2">
        <v>4176</v>
      </c>
      <c r="I4" s="9">
        <f>SUM(MemberOfAssemblyAssemblyDistrict102General[[#This Row],[Greene County Vote Results]:[Part of Ulster County Vote Results]])</f>
        <v>36471</v>
      </c>
      <c r="J4" s="10">
        <f>SUM(MemberOfAssemblyAssemblyDistrict102General[[#This Row],[Total Votes by Party]],I5,I6)</f>
        <v>42316</v>
      </c>
    </row>
    <row r="5" spans="1:10" ht="13.8" x14ac:dyDescent="0.3">
      <c r="A5" s="1" t="s">
        <v>481</v>
      </c>
      <c r="B5" s="2">
        <v>1709</v>
      </c>
      <c r="C5" s="2">
        <v>1033</v>
      </c>
      <c r="D5" s="2">
        <v>651</v>
      </c>
      <c r="E5" s="2">
        <v>149</v>
      </c>
      <c r="F5" s="2">
        <v>209</v>
      </c>
      <c r="G5" s="2">
        <v>111</v>
      </c>
      <c r="H5" s="2">
        <v>599</v>
      </c>
      <c r="I5" s="9">
        <f>SUM(MemberOfAssemblyAssemblyDistrict102General[[#This Row],[Greene County Vote Results]:[Part of Ulster County Vote Results]])</f>
        <v>4461</v>
      </c>
      <c r="J5" s="11"/>
    </row>
    <row r="6" spans="1:10" ht="13.8" x14ac:dyDescent="0.3">
      <c r="A6" s="1" t="s">
        <v>482</v>
      </c>
      <c r="B6" s="2">
        <v>395</v>
      </c>
      <c r="C6" s="2">
        <v>366</v>
      </c>
      <c r="D6" s="2">
        <v>132</v>
      </c>
      <c r="E6" s="2">
        <v>35</v>
      </c>
      <c r="F6" s="2">
        <v>115</v>
      </c>
      <c r="G6" s="2">
        <v>47</v>
      </c>
      <c r="H6" s="2">
        <v>294</v>
      </c>
      <c r="I6" s="9">
        <f>SUM(MemberOfAssemblyAssemblyDistrict102General[[#This Row],[Greene County Vote Results]:[Part of Ulster County Vote Results]])</f>
        <v>1384</v>
      </c>
      <c r="J6" s="11"/>
    </row>
    <row r="7" spans="1:10" ht="13.8" x14ac:dyDescent="0.3">
      <c r="A7" s="3" t="s">
        <v>0</v>
      </c>
      <c r="B7" s="2">
        <v>1099</v>
      </c>
      <c r="C7" s="2">
        <v>542</v>
      </c>
      <c r="D7" s="2">
        <v>317</v>
      </c>
      <c r="E7" s="2">
        <v>89</v>
      </c>
      <c r="F7" s="2">
        <v>253</v>
      </c>
      <c r="G7" s="2">
        <v>160</v>
      </c>
      <c r="H7" s="2">
        <v>666</v>
      </c>
      <c r="I7" s="9">
        <f>SUM(MemberOfAssemblyAssemblyDistrict102General[[#This Row],[Greene County Vote Results]:[Part of Ulster County Vote Results]])</f>
        <v>3126</v>
      </c>
      <c r="J7" s="11"/>
    </row>
    <row r="8" spans="1:10" ht="13.8" x14ac:dyDescent="0.3">
      <c r="A8" s="3" t="s">
        <v>1</v>
      </c>
      <c r="B8" s="2">
        <v>12</v>
      </c>
      <c r="C8" s="2">
        <v>7</v>
      </c>
      <c r="D8" s="2">
        <v>2</v>
      </c>
      <c r="E8" s="2">
        <v>2</v>
      </c>
      <c r="F8" s="2">
        <v>0</v>
      </c>
      <c r="G8" s="2">
        <v>0</v>
      </c>
      <c r="H8" s="2">
        <v>0</v>
      </c>
      <c r="I8" s="9">
        <f>SUM(MemberOfAssemblyAssemblyDistrict102General[[#This Row],[Greene County Vote Results]:[Part of Ulster County Vote Results]])</f>
        <v>23</v>
      </c>
      <c r="J8" s="11"/>
    </row>
    <row r="9" spans="1:10" ht="13.8" x14ac:dyDescent="0.3">
      <c r="A9" s="3" t="s">
        <v>6</v>
      </c>
      <c r="B9" s="2">
        <v>5</v>
      </c>
      <c r="C9" s="2">
        <v>21</v>
      </c>
      <c r="D9" s="2">
        <v>1</v>
      </c>
      <c r="E9" s="2">
        <v>1</v>
      </c>
      <c r="F9" s="2">
        <v>0</v>
      </c>
      <c r="G9" s="2">
        <v>1</v>
      </c>
      <c r="H9" s="2">
        <v>15</v>
      </c>
      <c r="I9" s="9">
        <f>SUM(MemberOfAssemblyAssemblyDistrict102General[[#This Row],[Greene County Vote Results]:[Part of Ulster County Vote Results]])</f>
        <v>44</v>
      </c>
      <c r="J9" s="11"/>
    </row>
    <row r="10" spans="1:10" ht="13.8" x14ac:dyDescent="0.3">
      <c r="A10" s="13" t="s">
        <v>2</v>
      </c>
      <c r="B10" s="2">
        <f>SUM(MemberOfAssemblyAssemblyDistrict102General[Greene County Vote Results])</f>
        <v>25255</v>
      </c>
      <c r="C10" s="2">
        <f>SUM(MemberOfAssemblyAssemblyDistrict102General[Schoharie County Vote Results])</f>
        <v>15810</v>
      </c>
      <c r="D10" s="2">
        <f>SUM(MemberOfAssemblyAssemblyDistrict102General[Part of Albany County Vote Results])</f>
        <v>6834</v>
      </c>
      <c r="E10" s="2">
        <f>SUM(MemberOfAssemblyAssemblyDistrict102General[Part of Columbia County Vote Results])</f>
        <v>2447</v>
      </c>
      <c r="F10" s="2">
        <f>SUM(MemberOfAssemblyAssemblyDistrict102General[Part of Delaware County Vote Results])</f>
        <v>6053</v>
      </c>
      <c r="G10" s="2">
        <f>SUM(MemberOfAssemblyAssemblyDistrict102General[Part of Otsego County Vote Results])</f>
        <v>2451</v>
      </c>
      <c r="H10" s="2">
        <f>SUM(MemberOfAssemblyAssemblyDistrict102General[Part of Ulster County Vote Results])</f>
        <v>10936</v>
      </c>
      <c r="I10" s="9">
        <f>SUM(MemberOfAssemblyAssemblyDistrict102General[Total Votes by Party])</f>
        <v>69786</v>
      </c>
      <c r="J10" s="11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AD44-3636-4B54-8EF0-5744489C2C6A}">
  <dimension ref="A1:E11"/>
  <sheetViews>
    <sheetView workbookViewId="0">
      <selection activeCell="A18" sqref="A18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483</v>
      </c>
    </row>
    <row r="2" spans="1:5" ht="27.6" x14ac:dyDescent="0.25">
      <c r="A2" s="5" t="s">
        <v>5</v>
      </c>
      <c r="B2" s="6" t="s">
        <v>28</v>
      </c>
      <c r="C2" s="6" t="s">
        <v>48</v>
      </c>
      <c r="D2" s="7" t="s">
        <v>3</v>
      </c>
      <c r="E2" s="8" t="s">
        <v>4</v>
      </c>
    </row>
    <row r="3" spans="1:5" ht="13.8" x14ac:dyDescent="0.3">
      <c r="A3" s="1" t="s">
        <v>484</v>
      </c>
      <c r="B3" s="21">
        <v>6388</v>
      </c>
      <c r="C3" s="2">
        <v>35600</v>
      </c>
      <c r="D3" s="9">
        <f>SUM(MemberOfAssemblyAssemblyDistrict103General[[#This Row],[Part of Dutchess County Vote Results]:[Part of Ulster County Vote Results]])</f>
        <v>41988</v>
      </c>
      <c r="E3" s="10">
        <f>SUM(MemberOfAssemblyAssemblyDistrict103General[[#This Row],[Total Votes by Party]],D6,D7)</f>
        <v>51234</v>
      </c>
    </row>
    <row r="4" spans="1:5" ht="13.8" x14ac:dyDescent="0.3">
      <c r="A4" s="3" t="s">
        <v>485</v>
      </c>
      <c r="B4" s="21">
        <v>2849</v>
      </c>
      <c r="C4" s="2">
        <v>16787</v>
      </c>
      <c r="D4" s="9">
        <f>SUM(MemberOfAssemblyAssemblyDistrict103General[[#This Row],[Part of Dutchess County Vote Results]:[Part of Ulster County Vote Results]])</f>
        <v>19636</v>
      </c>
      <c r="E4" s="10">
        <f>SUM(MemberOfAssemblyAssemblyDistrict103General[[#This Row],[Total Votes by Party]],D5)</f>
        <v>22040</v>
      </c>
    </row>
    <row r="5" spans="1:5" ht="13.8" x14ac:dyDescent="0.3">
      <c r="A5" s="3" t="s">
        <v>486</v>
      </c>
      <c r="B5" s="21">
        <v>354</v>
      </c>
      <c r="C5" s="2">
        <v>2050</v>
      </c>
      <c r="D5" s="9">
        <f>SUM(MemberOfAssemblyAssemblyDistrict103General[[#This Row],[Part of Dutchess County Vote Results]:[Part of Ulster County Vote Results]])</f>
        <v>2404</v>
      </c>
      <c r="E5" s="14"/>
    </row>
    <row r="6" spans="1:5" ht="13.8" x14ac:dyDescent="0.3">
      <c r="A6" s="3" t="s">
        <v>487</v>
      </c>
      <c r="B6" s="21">
        <v>891</v>
      </c>
      <c r="C6" s="2">
        <v>7326</v>
      </c>
      <c r="D6" s="9">
        <f>SUM(MemberOfAssemblyAssemblyDistrict103General[[#This Row],[Part of Dutchess County Vote Results]:[Part of Ulster County Vote Results]])</f>
        <v>8217</v>
      </c>
      <c r="E6" s="14"/>
    </row>
    <row r="7" spans="1:5" ht="13.8" x14ac:dyDescent="0.3">
      <c r="A7" s="1" t="s">
        <v>488</v>
      </c>
      <c r="B7" s="21">
        <v>125</v>
      </c>
      <c r="C7" s="2">
        <v>904</v>
      </c>
      <c r="D7" s="9">
        <f>SUM(MemberOfAssemblyAssemblyDistrict103General[[#This Row],[Part of Dutchess County Vote Results]:[Part of Ulster County Vote Results]])</f>
        <v>1029</v>
      </c>
      <c r="E7" s="11"/>
    </row>
    <row r="8" spans="1:5" ht="13.8" x14ac:dyDescent="0.3">
      <c r="A8" s="3" t="s">
        <v>0</v>
      </c>
      <c r="B8" s="21">
        <v>560</v>
      </c>
      <c r="C8" s="2">
        <v>2282</v>
      </c>
      <c r="D8" s="9">
        <f>SUM(MemberOfAssemblyAssemblyDistrict103General[[#This Row],[Part of Dutchess County Vote Results]:[Part of Ulster County Vote Results]])</f>
        <v>2842</v>
      </c>
      <c r="E8" s="11"/>
    </row>
    <row r="9" spans="1:5" ht="13.8" x14ac:dyDescent="0.3">
      <c r="A9" s="3" t="s">
        <v>1</v>
      </c>
      <c r="B9" s="21">
        <f>3+2</f>
        <v>5</v>
      </c>
      <c r="C9" s="2">
        <v>26</v>
      </c>
      <c r="D9" s="9">
        <f>SUM(MemberOfAssemblyAssemblyDistrict103General[[#This Row],[Part of Dutchess County Vote Results]:[Part of Ulster County Vote Results]])</f>
        <v>31</v>
      </c>
      <c r="E9" s="11"/>
    </row>
    <row r="10" spans="1:5" ht="13.8" x14ac:dyDescent="0.3">
      <c r="A10" s="3" t="s">
        <v>6</v>
      </c>
      <c r="B10" s="21">
        <v>2</v>
      </c>
      <c r="C10" s="2">
        <v>60</v>
      </c>
      <c r="D10" s="9">
        <f>SUM(MemberOfAssemblyAssemblyDistrict103General[[#This Row],[Part of Dutchess County Vote Results]:[Part of Ulster County Vote Results]])</f>
        <v>62</v>
      </c>
      <c r="E10" s="11"/>
    </row>
    <row r="11" spans="1:5" ht="13.8" x14ac:dyDescent="0.3">
      <c r="A11" s="13" t="s">
        <v>2</v>
      </c>
      <c r="B11" s="21">
        <f>SUM(MemberOfAssemblyAssemblyDistrict103General[Part of Dutchess County Vote Results])</f>
        <v>11174</v>
      </c>
      <c r="C11" s="2">
        <f>SUM(MemberOfAssemblyAssemblyDistrict103General[Part of Ulster County Vote Results])</f>
        <v>65035</v>
      </c>
      <c r="D11" s="9">
        <f>SUM(MemberOfAssemblyAssemblyDistrict103General[Total Votes by Party])</f>
        <v>76209</v>
      </c>
      <c r="E11" s="11"/>
    </row>
  </sheetData>
  <pageMargins left="0.7" right="0.7" top="0.75" bottom="0.75" header="0.3" footer="0.3"/>
  <tableParts count="1">
    <tablePart r:id="rId1"/>
  </tableParts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7F02-E97A-4DC8-8BD5-ECB4589C3162}">
  <dimension ref="A1:F10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489</v>
      </c>
    </row>
    <row r="2" spans="1:6" ht="27.6" x14ac:dyDescent="0.25">
      <c r="A2" s="5" t="s">
        <v>5</v>
      </c>
      <c r="B2" s="6" t="s">
        <v>28</v>
      </c>
      <c r="C2" s="6" t="s">
        <v>47</v>
      </c>
      <c r="D2" s="6" t="s">
        <v>48</v>
      </c>
      <c r="E2" s="7" t="s">
        <v>3</v>
      </c>
      <c r="F2" s="8" t="s">
        <v>4</v>
      </c>
    </row>
    <row r="3" spans="1:6" ht="13.8" x14ac:dyDescent="0.3">
      <c r="A3" s="1" t="s">
        <v>490</v>
      </c>
      <c r="B3" s="2">
        <v>11324</v>
      </c>
      <c r="C3" s="2">
        <v>11883</v>
      </c>
      <c r="D3" s="2">
        <v>4682</v>
      </c>
      <c r="E3" s="9">
        <f>SUM(MemberOfAssemblyAssemblyDistrict104General[[#This Row],[Part of Dutchess County Vote Results]:[Part of Ulster County Vote Results]])</f>
        <v>27889</v>
      </c>
      <c r="F3" s="10">
        <f>SUM(MemberOfAssemblyAssemblyDistrict104General[[#This Row],[Total Votes by Party]],E6)</f>
        <v>30908</v>
      </c>
    </row>
    <row r="4" spans="1:6" ht="13.8" x14ac:dyDescent="0.3">
      <c r="A4" s="1" t="s">
        <v>491</v>
      </c>
      <c r="B4" s="2">
        <v>3571</v>
      </c>
      <c r="C4" s="2">
        <v>7157</v>
      </c>
      <c r="D4" s="2">
        <v>4545</v>
      </c>
      <c r="E4" s="9">
        <f>SUM(MemberOfAssemblyAssemblyDistrict104General[[#This Row],[Part of Dutchess County Vote Results]:[Part of Ulster County Vote Results]])</f>
        <v>15273</v>
      </c>
      <c r="F4" s="10">
        <f>SUM(MemberOfAssemblyAssemblyDistrict104General[[#This Row],[Total Votes by Party]],E5)</f>
        <v>17099</v>
      </c>
    </row>
    <row r="5" spans="1:6" ht="13.8" x14ac:dyDescent="0.3">
      <c r="A5" s="3" t="s">
        <v>492</v>
      </c>
      <c r="B5" s="2">
        <v>583</v>
      </c>
      <c r="C5" s="2">
        <v>819</v>
      </c>
      <c r="D5" s="2">
        <v>424</v>
      </c>
      <c r="E5" s="9">
        <f>SUM(MemberOfAssemblyAssemblyDistrict104General[[#This Row],[Part of Dutchess County Vote Results]:[Part of Ulster County Vote Results]])</f>
        <v>1826</v>
      </c>
      <c r="F5" s="14"/>
    </row>
    <row r="6" spans="1:6" ht="13.8" x14ac:dyDescent="0.3">
      <c r="A6" s="1" t="s">
        <v>493</v>
      </c>
      <c r="B6" s="2">
        <v>1392</v>
      </c>
      <c r="C6" s="2">
        <v>1009</v>
      </c>
      <c r="D6" s="2">
        <v>618</v>
      </c>
      <c r="E6" s="9">
        <f>SUM(MemberOfAssemblyAssemblyDistrict104General[[#This Row],[Part of Dutchess County Vote Results]:[Part of Ulster County Vote Results]])</f>
        <v>3019</v>
      </c>
      <c r="F6" s="11"/>
    </row>
    <row r="7" spans="1:6" ht="13.8" x14ac:dyDescent="0.3">
      <c r="A7" s="3" t="s">
        <v>0</v>
      </c>
      <c r="B7" s="2">
        <v>1634</v>
      </c>
      <c r="C7" s="2">
        <v>1832</v>
      </c>
      <c r="D7" s="2">
        <v>573</v>
      </c>
      <c r="E7" s="9">
        <f>SUM(MemberOfAssemblyAssemblyDistrict104General[[#This Row],[Part of Dutchess County Vote Results]:[Part of Ulster County Vote Results]])</f>
        <v>4039</v>
      </c>
      <c r="F7" s="11"/>
    </row>
    <row r="8" spans="1:6" ht="13.8" x14ac:dyDescent="0.3">
      <c r="A8" s="3" t="s">
        <v>1</v>
      </c>
      <c r="B8" s="2">
        <v>12</v>
      </c>
      <c r="C8" s="2">
        <v>0</v>
      </c>
      <c r="D8" s="2">
        <v>1</v>
      </c>
      <c r="E8" s="9">
        <f>SUM(MemberOfAssemblyAssemblyDistrict104General[[#This Row],[Part of Dutchess County Vote Results]:[Part of Ulster County Vote Results]])</f>
        <v>13</v>
      </c>
      <c r="F8" s="11"/>
    </row>
    <row r="9" spans="1:6" ht="13.8" x14ac:dyDescent="0.3">
      <c r="A9" s="3" t="s">
        <v>6</v>
      </c>
      <c r="B9" s="2">
        <v>11</v>
      </c>
      <c r="C9" s="2">
        <v>13</v>
      </c>
      <c r="D9" s="2">
        <v>9</v>
      </c>
      <c r="E9" s="9">
        <f>SUM(MemberOfAssemblyAssemblyDistrict104General[[#This Row],[Part of Dutchess County Vote Results]:[Part of Ulster County Vote Results]])</f>
        <v>33</v>
      </c>
      <c r="F9" s="11"/>
    </row>
    <row r="10" spans="1:6" ht="13.8" x14ac:dyDescent="0.3">
      <c r="A10" s="13" t="s">
        <v>2</v>
      </c>
      <c r="B10" s="2">
        <f>SUM(MemberOfAssemblyAssemblyDistrict104General[Part of Dutchess County Vote Results])</f>
        <v>18527</v>
      </c>
      <c r="C10" s="2">
        <f>SUM(MemberOfAssemblyAssemblyDistrict104General[Part of Orange County Vote Results])</f>
        <v>22713</v>
      </c>
      <c r="D10" s="2">
        <f>SUM(MemberOfAssemblyAssemblyDistrict104General[Part of Ulster County Vote Results])</f>
        <v>10852</v>
      </c>
      <c r="E10" s="9">
        <f>SUM(MemberOfAssemblyAssemblyDistrict104General[Total Votes by Party])</f>
        <v>52092</v>
      </c>
      <c r="F10" s="11"/>
    </row>
  </sheetData>
  <pageMargins left="0.7" right="0.7" top="0.75" bottom="0.75" header="0.3" footer="0.3"/>
  <tableParts count="1">
    <tablePart r:id="rId1"/>
  </tableParts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08C0-FF92-4931-90E8-75A5F904C691}">
  <dimension ref="A1:D11"/>
  <sheetViews>
    <sheetView topLeftCell="A2" workbookViewId="0">
      <selection activeCell="D16" sqref="D1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494</v>
      </c>
    </row>
    <row r="2" spans="1:4" ht="27.6" x14ac:dyDescent="0.25">
      <c r="A2" s="5" t="s">
        <v>5</v>
      </c>
      <c r="B2" s="6" t="s">
        <v>28</v>
      </c>
      <c r="C2" s="7" t="s">
        <v>3</v>
      </c>
      <c r="D2" s="8" t="s">
        <v>4</v>
      </c>
    </row>
    <row r="3" spans="1:4" ht="13.8" x14ac:dyDescent="0.3">
      <c r="A3" s="1" t="s">
        <v>495</v>
      </c>
      <c r="B3" s="2">
        <v>27507</v>
      </c>
      <c r="C3" s="9">
        <f>MemberOfAssemblyAssemblyDistrict105General[[#This Row],[Part of Dutchess County Vote Results]]</f>
        <v>27507</v>
      </c>
      <c r="D3" s="10">
        <f>SUM(MemberOfAssemblyAssemblyDistrict105General[[#This Row],[Total Votes by Party]],C6)</f>
        <v>29688</v>
      </c>
    </row>
    <row r="4" spans="1:4" ht="13.8" x14ac:dyDescent="0.3">
      <c r="A4" s="1" t="s">
        <v>496</v>
      </c>
      <c r="B4" s="2">
        <v>33924</v>
      </c>
      <c r="C4" s="9">
        <f>MemberOfAssemblyAssemblyDistrict105General[[#This Row],[Part of Dutchess County Vote Results]]</f>
        <v>33924</v>
      </c>
      <c r="D4" s="10">
        <f>SUM(MemberOfAssemblyAssemblyDistrict105General[[#This Row],[Total Votes by Party]],C5,C7)</f>
        <v>39374</v>
      </c>
    </row>
    <row r="5" spans="1:4" ht="13.8" x14ac:dyDescent="0.3">
      <c r="A5" s="1" t="s">
        <v>497</v>
      </c>
      <c r="B5" s="2">
        <v>4554</v>
      </c>
      <c r="C5" s="9">
        <f>MemberOfAssemblyAssemblyDistrict105General[[#This Row],[Part of Dutchess County Vote Results]]</f>
        <v>4554</v>
      </c>
      <c r="D5" s="11"/>
    </row>
    <row r="6" spans="1:4" ht="13.8" x14ac:dyDescent="0.3">
      <c r="A6" s="1" t="s">
        <v>498</v>
      </c>
      <c r="B6" s="2">
        <v>2181</v>
      </c>
      <c r="C6" s="9">
        <f>MemberOfAssemblyAssemblyDistrict105General[[#This Row],[Part of Dutchess County Vote Results]]</f>
        <v>2181</v>
      </c>
      <c r="D6" s="11"/>
    </row>
    <row r="7" spans="1:4" ht="13.8" x14ac:dyDescent="0.3">
      <c r="A7" s="1" t="s">
        <v>499</v>
      </c>
      <c r="B7" s="2">
        <v>896</v>
      </c>
      <c r="C7" s="9">
        <f>MemberOfAssemblyAssemblyDistrict105General[[#This Row],[Part of Dutchess County Vote Results]]</f>
        <v>896</v>
      </c>
      <c r="D7" s="11"/>
    </row>
    <row r="8" spans="1:4" ht="13.8" x14ac:dyDescent="0.3">
      <c r="A8" s="3" t="s">
        <v>0</v>
      </c>
      <c r="B8" s="2">
        <v>4967</v>
      </c>
      <c r="C8" s="9">
        <f>MemberOfAssemblyAssemblyDistrict105General[[#This Row],[Part of Dutchess County Vote Results]]</f>
        <v>4967</v>
      </c>
      <c r="D8" s="11"/>
    </row>
    <row r="9" spans="1:4" ht="13.8" x14ac:dyDescent="0.3">
      <c r="A9" s="3" t="s">
        <v>1</v>
      </c>
      <c r="B9" s="2">
        <f>28+7</f>
        <v>35</v>
      </c>
      <c r="C9" s="9">
        <f>MemberOfAssemblyAssemblyDistrict105General[[#This Row],[Part of Dutchess County Vote Results]]</f>
        <v>35</v>
      </c>
      <c r="D9" s="11"/>
    </row>
    <row r="10" spans="1:4" ht="13.8" x14ac:dyDescent="0.3">
      <c r="A10" s="3" t="s">
        <v>6</v>
      </c>
      <c r="B10" s="2">
        <v>20</v>
      </c>
      <c r="C10" s="9">
        <f>MemberOfAssemblyAssemblyDistrict105General[[#This Row],[Part of Dutchess County Vote Results]]</f>
        <v>20</v>
      </c>
      <c r="D10" s="11"/>
    </row>
    <row r="11" spans="1:4" ht="13.8" x14ac:dyDescent="0.3">
      <c r="A11" s="13" t="s">
        <v>2</v>
      </c>
      <c r="B11" s="2">
        <f>SUM(MemberOfAssemblyAssemblyDistrict105General[Part of Dutchess County Vote Results])</f>
        <v>74084</v>
      </c>
      <c r="C11" s="9">
        <f>SUM(MemberOfAssemblyAssemblyDistrict105General[Total Votes by Party])</f>
        <v>74084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9ED5-8BD7-4F80-B87C-DA574C410E3A}">
  <dimension ref="A1:E12"/>
  <sheetViews>
    <sheetView workbookViewId="0">
      <selection activeCell="C19" sqref="C19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500</v>
      </c>
    </row>
    <row r="2" spans="1:5" ht="27.6" x14ac:dyDescent="0.25">
      <c r="A2" s="5" t="s">
        <v>5</v>
      </c>
      <c r="B2" s="6" t="s">
        <v>478</v>
      </c>
      <c r="C2" s="6" t="s">
        <v>28</v>
      </c>
      <c r="D2" s="7" t="s">
        <v>3</v>
      </c>
      <c r="E2" s="8" t="s">
        <v>4</v>
      </c>
    </row>
    <row r="3" spans="1:5" ht="13.8" x14ac:dyDescent="0.3">
      <c r="A3" s="1" t="s">
        <v>501</v>
      </c>
      <c r="B3" s="2">
        <v>10072</v>
      </c>
      <c r="C3" s="2">
        <v>22776</v>
      </c>
      <c r="D3" s="9">
        <f>SUM(MemberOfAssemblyAssemblyDistrict106General[[#This Row],[Part of Columbia County Vote Results]:[Part of Dutchess County Vote Results]])</f>
        <v>32848</v>
      </c>
      <c r="E3" s="10">
        <f>SUM(MemberOfAssemblyAssemblyDistrict106General[[#This Row],[Total Votes by Party]],D6,D8)</f>
        <v>37189</v>
      </c>
    </row>
    <row r="4" spans="1:5" ht="13.8" x14ac:dyDescent="0.3">
      <c r="A4" s="1" t="s">
        <v>502</v>
      </c>
      <c r="B4" s="2">
        <v>7060</v>
      </c>
      <c r="C4" s="2">
        <v>16952</v>
      </c>
      <c r="D4" s="9">
        <f>SUM(MemberOfAssemblyAssemblyDistrict106General[[#This Row],[Part of Columbia County Vote Results]:[Part of Dutchess County Vote Results]])</f>
        <v>24012</v>
      </c>
      <c r="E4" s="10">
        <f>SUM(MemberOfAssemblyAssemblyDistrict106General[[#This Row],[Total Votes by Party]],D5,D7)</f>
        <v>27405</v>
      </c>
    </row>
    <row r="5" spans="1:5" ht="13.8" x14ac:dyDescent="0.3">
      <c r="A5" s="1" t="s">
        <v>503</v>
      </c>
      <c r="B5" s="2">
        <v>691</v>
      </c>
      <c r="C5" s="2">
        <v>2177</v>
      </c>
      <c r="D5" s="9">
        <f>SUM(MemberOfAssemblyAssemblyDistrict106General[[#This Row],[Part of Columbia County Vote Results]:[Part of Dutchess County Vote Results]])</f>
        <v>2868</v>
      </c>
      <c r="E5" s="11"/>
    </row>
    <row r="6" spans="1:5" ht="13.8" x14ac:dyDescent="0.3">
      <c r="A6" s="1" t="s">
        <v>504</v>
      </c>
      <c r="B6" s="2">
        <v>1561</v>
      </c>
      <c r="C6" s="2">
        <v>2002</v>
      </c>
      <c r="D6" s="9">
        <f>SUM(MemberOfAssemblyAssemblyDistrict106General[[#This Row],[Part of Columbia County Vote Results]:[Part of Dutchess County Vote Results]])</f>
        <v>3563</v>
      </c>
      <c r="E6" s="11"/>
    </row>
    <row r="7" spans="1:5" ht="13.8" x14ac:dyDescent="0.3">
      <c r="A7" s="1" t="s">
        <v>505</v>
      </c>
      <c r="B7" s="2">
        <v>200</v>
      </c>
      <c r="C7" s="2">
        <v>325</v>
      </c>
      <c r="D7" s="9">
        <f>SUM(MemberOfAssemblyAssemblyDistrict106General[[#This Row],[Part of Columbia County Vote Results]:[Part of Dutchess County Vote Results]])</f>
        <v>525</v>
      </c>
      <c r="E7" s="11"/>
    </row>
    <row r="8" spans="1:5" ht="13.8" x14ac:dyDescent="0.3">
      <c r="A8" s="1" t="s">
        <v>506</v>
      </c>
      <c r="B8" s="2">
        <v>242</v>
      </c>
      <c r="C8" s="2">
        <v>536</v>
      </c>
      <c r="D8" s="9">
        <f>SUM(MemberOfAssemblyAssemblyDistrict106General[[#This Row],[Part of Columbia County Vote Results]:[Part of Dutchess County Vote Results]])</f>
        <v>778</v>
      </c>
      <c r="E8" s="11"/>
    </row>
    <row r="9" spans="1:5" ht="13.8" x14ac:dyDescent="0.3">
      <c r="A9" s="3" t="s">
        <v>0</v>
      </c>
      <c r="B9" s="2">
        <v>574</v>
      </c>
      <c r="C9" s="2">
        <v>2789</v>
      </c>
      <c r="D9" s="9">
        <f>SUM(MemberOfAssemblyAssemblyDistrict106General[[#This Row],[Part of Columbia County Vote Results]:[Part of Dutchess County Vote Results]])</f>
        <v>3363</v>
      </c>
      <c r="E9" s="11"/>
    </row>
    <row r="10" spans="1:5" ht="13.8" x14ac:dyDescent="0.3">
      <c r="A10" s="3" t="s">
        <v>1</v>
      </c>
      <c r="B10" s="2">
        <v>12</v>
      </c>
      <c r="C10" s="2">
        <f>15+4</f>
        <v>19</v>
      </c>
      <c r="D10" s="9">
        <f>SUM(MemberOfAssemblyAssemblyDistrict106General[[#This Row],[Part of Columbia County Vote Results]:[Part of Dutchess County Vote Results]])</f>
        <v>31</v>
      </c>
      <c r="E10" s="11"/>
    </row>
    <row r="11" spans="1:5" ht="13.8" x14ac:dyDescent="0.3">
      <c r="A11" s="3" t="s">
        <v>6</v>
      </c>
      <c r="B11" s="2">
        <v>3</v>
      </c>
      <c r="C11" s="2">
        <v>6</v>
      </c>
      <c r="D11" s="9">
        <f>SUM(MemberOfAssemblyAssemblyDistrict106General[[#This Row],[Part of Columbia County Vote Results]:[Part of Dutchess County Vote Results]])</f>
        <v>9</v>
      </c>
      <c r="E11" s="11"/>
    </row>
    <row r="12" spans="1:5" ht="13.8" x14ac:dyDescent="0.3">
      <c r="A12" s="13" t="s">
        <v>2</v>
      </c>
      <c r="B12" s="2">
        <f>SUM(MemberOfAssemblyAssemblyDistrict106General[Part of Columbia County Vote Results])</f>
        <v>20415</v>
      </c>
      <c r="C12" s="2">
        <f>SUM(MemberOfAssemblyAssemblyDistrict106General[Part of Dutchess County Vote Results])</f>
        <v>47582</v>
      </c>
      <c r="D12" s="9">
        <f>SUM(MemberOfAssemblyAssemblyDistrict106General[Total Votes by Party])</f>
        <v>67997</v>
      </c>
      <c r="E12" s="11"/>
    </row>
  </sheetData>
  <pageMargins left="0.7" right="0.7" top="0.75" bottom="0.75" header="0.3" footer="0.3"/>
  <tableParts count="1">
    <tablePart r:id="rId1"/>
  </tablePart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4671-98C7-4A94-981E-979FD6389EEE}">
  <dimension ref="A1:F12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507</v>
      </c>
    </row>
    <row r="2" spans="1:6" ht="27.6" x14ac:dyDescent="0.25">
      <c r="A2" s="5" t="s">
        <v>5</v>
      </c>
      <c r="B2" s="6" t="s">
        <v>478</v>
      </c>
      <c r="C2" s="6" t="s">
        <v>32</v>
      </c>
      <c r="D2" s="6" t="s">
        <v>51</v>
      </c>
      <c r="E2" s="7" t="s">
        <v>3</v>
      </c>
      <c r="F2" s="8" t="s">
        <v>4</v>
      </c>
    </row>
    <row r="3" spans="1:6" ht="13.8" x14ac:dyDescent="0.3">
      <c r="A3" s="1" t="s">
        <v>508</v>
      </c>
      <c r="B3" s="2">
        <v>5977</v>
      </c>
      <c r="C3" s="2">
        <v>21264</v>
      </c>
      <c r="D3" s="2">
        <v>1094</v>
      </c>
      <c r="E3" s="9">
        <f>SUM(MemberOfAssemblyAssemblyDistrict107General[[#This Row],[Part of Columbia County Vote Results]:[Part of Washington County Vote Results]])</f>
        <v>28335</v>
      </c>
      <c r="F3" s="10">
        <f>SUM(MemberOfAssemblyAssemblyDistrict107General[[#This Row],[Total Votes by Party]],E6)</f>
        <v>31983</v>
      </c>
    </row>
    <row r="4" spans="1:6" ht="13.8" x14ac:dyDescent="0.3">
      <c r="A4" s="1" t="s">
        <v>509</v>
      </c>
      <c r="B4" s="2">
        <v>4711</v>
      </c>
      <c r="C4" s="2">
        <v>26691</v>
      </c>
      <c r="D4" s="2">
        <v>1240</v>
      </c>
      <c r="E4" s="9">
        <f>SUM(MemberOfAssemblyAssemblyDistrict107General[[#This Row],[Part of Columbia County Vote Results]:[Part of Washington County Vote Results]])</f>
        <v>32642</v>
      </c>
      <c r="F4" s="10">
        <f>SUM(MemberOfAssemblyAssemblyDistrict107General[[#This Row],[Total Votes by Party]],E5,E8)</f>
        <v>38517</v>
      </c>
    </row>
    <row r="5" spans="1:6" ht="13.8" x14ac:dyDescent="0.3">
      <c r="A5" s="1" t="s">
        <v>510</v>
      </c>
      <c r="B5" s="2">
        <v>559</v>
      </c>
      <c r="C5" s="2">
        <v>3481</v>
      </c>
      <c r="D5" s="2">
        <v>176</v>
      </c>
      <c r="E5" s="9">
        <f>SUM(MemberOfAssemblyAssemblyDistrict107General[[#This Row],[Part of Columbia County Vote Results]:[Part of Washington County Vote Results]])</f>
        <v>4216</v>
      </c>
      <c r="F5" s="11"/>
    </row>
    <row r="6" spans="1:6" ht="13.8" x14ac:dyDescent="0.3">
      <c r="A6" s="1" t="s">
        <v>511</v>
      </c>
      <c r="B6" s="2">
        <v>858</v>
      </c>
      <c r="C6" s="2">
        <v>2663</v>
      </c>
      <c r="D6" s="2">
        <v>127</v>
      </c>
      <c r="E6" s="9">
        <f>SUM(MemberOfAssemblyAssemblyDistrict107General[[#This Row],[Part of Columbia County Vote Results]:[Part of Washington County Vote Results]])</f>
        <v>3648</v>
      </c>
      <c r="F6" s="11"/>
    </row>
    <row r="7" spans="1:6" ht="13.8" x14ac:dyDescent="0.3">
      <c r="A7" s="1" t="s">
        <v>512</v>
      </c>
      <c r="B7" s="2">
        <v>73</v>
      </c>
      <c r="C7" s="2">
        <v>577</v>
      </c>
      <c r="D7" s="2">
        <v>22</v>
      </c>
      <c r="E7" s="9">
        <f>SUM(MemberOfAssemblyAssemblyDistrict107General[[#This Row],[Part of Columbia County Vote Results]:[Part of Washington County Vote Results]])</f>
        <v>672</v>
      </c>
      <c r="F7" s="10">
        <f>SUM(MemberOfAssemblyAssemblyDistrict107General[[#This Row],[Total Votes by Party]])</f>
        <v>672</v>
      </c>
    </row>
    <row r="8" spans="1:6" ht="13.8" x14ac:dyDescent="0.3">
      <c r="A8" s="1" t="s">
        <v>513</v>
      </c>
      <c r="B8" s="2">
        <v>264</v>
      </c>
      <c r="C8" s="2">
        <v>1356</v>
      </c>
      <c r="D8" s="2">
        <v>39</v>
      </c>
      <c r="E8" s="9">
        <f>SUM(MemberOfAssemblyAssemblyDistrict107General[[#This Row],[Part of Columbia County Vote Results]:[Part of Washington County Vote Results]])</f>
        <v>1659</v>
      </c>
      <c r="F8" s="11"/>
    </row>
    <row r="9" spans="1:6" ht="13.8" x14ac:dyDescent="0.3">
      <c r="A9" s="3" t="s">
        <v>0</v>
      </c>
      <c r="B9" s="2">
        <v>323</v>
      </c>
      <c r="C9" s="2">
        <v>2162</v>
      </c>
      <c r="D9" s="2">
        <v>71</v>
      </c>
      <c r="E9" s="9">
        <f>SUM(MemberOfAssemblyAssemblyDistrict107General[[#This Row],[Part of Columbia County Vote Results]:[Part of Washington County Vote Results]])</f>
        <v>2556</v>
      </c>
      <c r="F9" s="11"/>
    </row>
    <row r="10" spans="1:6" ht="13.8" x14ac:dyDescent="0.3">
      <c r="A10" s="3" t="s">
        <v>1</v>
      </c>
      <c r="B10" s="2">
        <v>2</v>
      </c>
      <c r="C10" s="2">
        <v>0</v>
      </c>
      <c r="D10" s="2">
        <v>2</v>
      </c>
      <c r="E10" s="9">
        <f>SUM(MemberOfAssemblyAssemblyDistrict107General[[#This Row],[Part of Columbia County Vote Results]:[Part of Washington County Vote Results]])</f>
        <v>4</v>
      </c>
      <c r="F10" s="11"/>
    </row>
    <row r="11" spans="1:6" ht="13.8" x14ac:dyDescent="0.3">
      <c r="A11" s="3" t="s">
        <v>6</v>
      </c>
      <c r="B11" s="2">
        <v>6</v>
      </c>
      <c r="C11" s="2">
        <v>13</v>
      </c>
      <c r="D11" s="2">
        <v>2</v>
      </c>
      <c r="E11" s="9">
        <f>SUM(MemberOfAssemblyAssemblyDistrict107General[[#This Row],[Part of Columbia County Vote Results]:[Part of Washington County Vote Results]])</f>
        <v>21</v>
      </c>
      <c r="F11" s="11"/>
    </row>
    <row r="12" spans="1:6" ht="13.8" x14ac:dyDescent="0.3">
      <c r="A12" s="13" t="s">
        <v>2</v>
      </c>
      <c r="B12" s="2">
        <f>SUM(MemberOfAssemblyAssemblyDistrict107General[Part of Columbia County Vote Results])</f>
        <v>12773</v>
      </c>
      <c r="C12" s="2">
        <f>SUM(MemberOfAssemblyAssemblyDistrict107General[Part of Rensselaer County Vote Results])</f>
        <v>58207</v>
      </c>
      <c r="D12" s="2">
        <f>SUM(MemberOfAssemblyAssemblyDistrict107General[Part of Washington County Vote Results])</f>
        <v>2773</v>
      </c>
      <c r="E12" s="9">
        <f>SUM(MemberOfAssemblyAssemblyDistrict107General[Total Votes by Party])</f>
        <v>73753</v>
      </c>
      <c r="F12" s="11"/>
    </row>
  </sheetData>
  <pageMargins left="0.7" right="0.7" top="0.75" bottom="0.75" header="0.3" footer="0.3"/>
  <tableParts count="1">
    <tablePart r:id="rId1"/>
  </tableParts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3FF1-AF50-490B-803D-63324CBA37EB}">
  <dimension ref="A1:F11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514</v>
      </c>
    </row>
    <row r="2" spans="1:6" ht="27.6" x14ac:dyDescent="0.25">
      <c r="A2" s="5" t="s">
        <v>5</v>
      </c>
      <c r="B2" s="6" t="s">
        <v>52</v>
      </c>
      <c r="C2" s="6" t="s">
        <v>32</v>
      </c>
      <c r="D2" s="6" t="s">
        <v>33</v>
      </c>
      <c r="E2" s="7" t="s">
        <v>3</v>
      </c>
      <c r="F2" s="8" t="s">
        <v>4</v>
      </c>
    </row>
    <row r="3" spans="1:6" ht="13.8" x14ac:dyDescent="0.3">
      <c r="A3" s="1" t="s">
        <v>515</v>
      </c>
      <c r="B3" s="2">
        <v>15966</v>
      </c>
      <c r="C3" s="2">
        <v>11693</v>
      </c>
      <c r="D3" s="2">
        <v>2226</v>
      </c>
      <c r="E3" s="9">
        <f>SUM(MemberOfAssemblyAssemblyDistrict108General[[#This Row],[Part of Albany County Vote Results]:[Part of Saratoga County Vote Results]])</f>
        <v>29885</v>
      </c>
      <c r="F3" s="10">
        <f>SUM(MemberOfAssemblyAssemblyDistrict108General[[#This Row],[Total Votes by Party]],E7)</f>
        <v>31508</v>
      </c>
    </row>
    <row r="4" spans="1:6" ht="13.8" x14ac:dyDescent="0.3">
      <c r="A4" s="3" t="s">
        <v>516</v>
      </c>
      <c r="B4" s="2">
        <v>3784</v>
      </c>
      <c r="C4" s="2">
        <v>5552</v>
      </c>
      <c r="D4" s="2">
        <v>1461</v>
      </c>
      <c r="E4" s="9">
        <f>SUM(MemberOfAssemblyAssemblyDistrict108General[[#This Row],[Part of Albany County Vote Results]:[Part of Saratoga County Vote Results]])</f>
        <v>10797</v>
      </c>
      <c r="F4" s="10">
        <f>SUM(MemberOfAssemblyAssemblyDistrict108General[[#This Row],[Total Votes by Party]],E5)</f>
        <v>12342</v>
      </c>
    </row>
    <row r="5" spans="1:6" ht="13.8" x14ac:dyDescent="0.3">
      <c r="A5" s="3" t="s">
        <v>517</v>
      </c>
      <c r="B5" s="2">
        <v>425</v>
      </c>
      <c r="C5" s="2">
        <v>921</v>
      </c>
      <c r="D5" s="2">
        <v>199</v>
      </c>
      <c r="E5" s="9">
        <f>SUM(MemberOfAssemblyAssemblyDistrict108General[[#This Row],[Part of Albany County Vote Results]:[Part of Saratoga County Vote Results]])</f>
        <v>1545</v>
      </c>
      <c r="F5" s="14"/>
    </row>
    <row r="6" spans="1:6" ht="13.8" x14ac:dyDescent="0.3">
      <c r="A6" s="3" t="s">
        <v>518</v>
      </c>
      <c r="B6" s="2">
        <v>2479</v>
      </c>
      <c r="C6" s="2">
        <v>1605</v>
      </c>
      <c r="D6" s="2">
        <v>149</v>
      </c>
      <c r="E6" s="9">
        <f>SUM(MemberOfAssemblyAssemblyDistrict108General[[#This Row],[Part of Albany County Vote Results]:[Part of Saratoga County Vote Results]])</f>
        <v>4233</v>
      </c>
      <c r="F6" s="10">
        <f>SUM(MemberOfAssemblyAssemblyDistrict108General[[#This Row],[Total Votes by Party]])</f>
        <v>4233</v>
      </c>
    </row>
    <row r="7" spans="1:6" ht="13.8" x14ac:dyDescent="0.3">
      <c r="A7" s="1" t="s">
        <v>519</v>
      </c>
      <c r="B7" s="2">
        <v>614</v>
      </c>
      <c r="C7" s="2">
        <v>844</v>
      </c>
      <c r="D7" s="2">
        <v>165</v>
      </c>
      <c r="E7" s="9">
        <f>SUM(MemberOfAssemblyAssemblyDistrict108General[[#This Row],[Part of Albany County Vote Results]:[Part of Saratoga County Vote Results]])</f>
        <v>1623</v>
      </c>
      <c r="F7" s="11"/>
    </row>
    <row r="8" spans="1:6" ht="13.8" x14ac:dyDescent="0.3">
      <c r="A8" s="3" t="s">
        <v>0</v>
      </c>
      <c r="B8" s="2">
        <v>1748</v>
      </c>
      <c r="C8" s="2">
        <v>1133</v>
      </c>
      <c r="D8" s="2">
        <v>184</v>
      </c>
      <c r="E8" s="9">
        <f>SUM(MemberOfAssemblyAssemblyDistrict108General[[#This Row],[Part of Albany County Vote Results]:[Part of Saratoga County Vote Results]])</f>
        <v>3065</v>
      </c>
      <c r="F8" s="11"/>
    </row>
    <row r="9" spans="1:6" ht="13.8" x14ac:dyDescent="0.3">
      <c r="A9" s="3" t="s">
        <v>1</v>
      </c>
      <c r="B9" s="2">
        <v>82</v>
      </c>
      <c r="C9" s="2">
        <v>0</v>
      </c>
      <c r="D9" s="2">
        <v>4</v>
      </c>
      <c r="E9" s="9">
        <f>SUM(MemberOfAssemblyAssemblyDistrict108General[[#This Row],[Part of Albany County Vote Results]:[Part of Saratoga County Vote Results]])</f>
        <v>86</v>
      </c>
      <c r="F9" s="11"/>
    </row>
    <row r="10" spans="1:6" ht="13.8" x14ac:dyDescent="0.3">
      <c r="A10" s="3" t="s">
        <v>6</v>
      </c>
      <c r="B10" s="2">
        <v>19</v>
      </c>
      <c r="C10" s="2">
        <v>7</v>
      </c>
      <c r="D10" s="2">
        <v>1</v>
      </c>
      <c r="E10" s="9">
        <f>SUM(MemberOfAssemblyAssemblyDistrict108General[[#This Row],[Part of Albany County Vote Results]:[Part of Saratoga County Vote Results]])</f>
        <v>27</v>
      </c>
      <c r="F10" s="11"/>
    </row>
    <row r="11" spans="1:6" ht="13.8" x14ac:dyDescent="0.3">
      <c r="A11" s="13" t="s">
        <v>2</v>
      </c>
      <c r="B11" s="2">
        <f>SUM(MemberOfAssemblyAssemblyDistrict108General[Part of Albany County Vote Results])</f>
        <v>25117</v>
      </c>
      <c r="C11" s="2">
        <f>SUM(MemberOfAssemblyAssemblyDistrict108General[Part of Rensselaer County Vote Results])</f>
        <v>21755</v>
      </c>
      <c r="D11" s="2">
        <f>SUM(MemberOfAssemblyAssemblyDistrict108General[Part of Saratoga County Vote Results])</f>
        <v>4389</v>
      </c>
      <c r="E11" s="9">
        <f>SUM(MemberOfAssemblyAssemblyDistrict108General[Total Votes by Party])</f>
        <v>51261</v>
      </c>
      <c r="F11" s="11"/>
    </row>
  </sheetData>
  <pageMargins left="0.7" right="0.7" top="0.75" bottom="0.75" header="0.3" footer="0.3"/>
  <tableParts count="1">
    <tablePart r:id="rId1"/>
  </tableParts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10CF-94E7-4878-B8C2-03FB56E42B2C}">
  <dimension ref="A1:D11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520</v>
      </c>
    </row>
    <row r="2" spans="1:4" ht="27.6" x14ac:dyDescent="0.25">
      <c r="A2" s="5" t="s">
        <v>5</v>
      </c>
      <c r="B2" s="6" t="s">
        <v>52</v>
      </c>
      <c r="C2" s="7" t="s">
        <v>3</v>
      </c>
      <c r="D2" s="8" t="s">
        <v>4</v>
      </c>
    </row>
    <row r="3" spans="1:4" ht="13.8" x14ac:dyDescent="0.3">
      <c r="A3" s="1" t="s">
        <v>521</v>
      </c>
      <c r="B3" s="2">
        <v>46152</v>
      </c>
      <c r="C3" s="9">
        <f>MemberOfAssemblyAssemblyDistrict109General[[#This Row],[Part of Albany County Vote Results]]</f>
        <v>46152</v>
      </c>
      <c r="D3" s="10">
        <f>SUM(MemberOfAssemblyAssemblyDistrict109General[[#This Row],[Total Votes by Party]],C7)</f>
        <v>48395</v>
      </c>
    </row>
    <row r="4" spans="1:4" ht="13.8" x14ac:dyDescent="0.3">
      <c r="A4" s="1" t="s">
        <v>522</v>
      </c>
      <c r="B4" s="2">
        <v>17185</v>
      </c>
      <c r="C4" s="9">
        <f>MemberOfAssemblyAssemblyDistrict109General[[#This Row],[Part of Albany County Vote Results]]</f>
        <v>17185</v>
      </c>
      <c r="D4" s="10">
        <f>SUM(MemberOfAssemblyAssemblyDistrict109General[[#This Row],[Total Votes by Party]],C5,C6)</f>
        <v>20282</v>
      </c>
    </row>
    <row r="5" spans="1:4" ht="13.8" x14ac:dyDescent="0.3">
      <c r="A5" s="1" t="s">
        <v>523</v>
      </c>
      <c r="B5" s="2">
        <v>2401</v>
      </c>
      <c r="C5" s="9">
        <f>MemberOfAssemblyAssemblyDistrict109General[[#This Row],[Part of Albany County Vote Results]]</f>
        <v>2401</v>
      </c>
      <c r="D5" s="11"/>
    </row>
    <row r="6" spans="1:4" ht="13.8" x14ac:dyDescent="0.3">
      <c r="A6" s="1" t="s">
        <v>524</v>
      </c>
      <c r="B6" s="2">
        <v>696</v>
      </c>
      <c r="C6" s="9">
        <f>MemberOfAssemblyAssemblyDistrict109General[[#This Row],[Part of Albany County Vote Results]]</f>
        <v>696</v>
      </c>
      <c r="D6" s="11"/>
    </row>
    <row r="7" spans="1:4" ht="13.8" x14ac:dyDescent="0.3">
      <c r="A7" s="1" t="s">
        <v>525</v>
      </c>
      <c r="B7" s="2">
        <v>2243</v>
      </c>
      <c r="C7" s="9">
        <f>MemberOfAssemblyAssemblyDistrict109General[[#This Row],[Part of Albany County Vote Results]]</f>
        <v>2243</v>
      </c>
      <c r="D7" s="11"/>
    </row>
    <row r="8" spans="1:4" ht="13.8" x14ac:dyDescent="0.3">
      <c r="A8" s="3" t="s">
        <v>0</v>
      </c>
      <c r="B8" s="2">
        <v>3562</v>
      </c>
      <c r="C8" s="9">
        <f>MemberOfAssemblyAssemblyDistrict109General[[#This Row],[Part of Albany County Vote Results]]</f>
        <v>3562</v>
      </c>
      <c r="D8" s="11"/>
    </row>
    <row r="9" spans="1:4" ht="13.8" x14ac:dyDescent="0.3">
      <c r="A9" s="3" t="s">
        <v>1</v>
      </c>
      <c r="B9" s="2">
        <v>22</v>
      </c>
      <c r="C9" s="9">
        <f>MemberOfAssemblyAssemblyDistrict109General[[#This Row],[Part of Albany County Vote Results]]</f>
        <v>22</v>
      </c>
      <c r="D9" s="11"/>
    </row>
    <row r="10" spans="1:4" ht="13.8" x14ac:dyDescent="0.3">
      <c r="A10" s="3" t="s">
        <v>6</v>
      </c>
      <c r="B10" s="2">
        <v>96</v>
      </c>
      <c r="C10" s="9">
        <f>MemberOfAssemblyAssemblyDistrict109General[[#This Row],[Part of Albany County Vote Results]]</f>
        <v>96</v>
      </c>
      <c r="D10" s="11"/>
    </row>
    <row r="11" spans="1:4" ht="13.8" x14ac:dyDescent="0.3">
      <c r="A11" s="13" t="s">
        <v>2</v>
      </c>
      <c r="B11" s="2">
        <f>SUM(MemberOfAssemblyAssemblyDistrict109General[Part of Albany County Vote Results])</f>
        <v>72357</v>
      </c>
      <c r="C11" s="9">
        <f>SUM(MemberOfAssemblyAssemblyDistrict109General[Total Votes by Party])</f>
        <v>72357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F5B4-9CD9-4DF2-8BC1-595D3704A459}">
  <dimension ref="A1:D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120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121</v>
      </c>
      <c r="B3" s="21">
        <v>29439</v>
      </c>
      <c r="C3" s="9">
        <f>MemberOfAssemblyAssemblyDistrict11General[[#This Row],[Part of Suffolk County Vote Results]]</f>
        <v>29439</v>
      </c>
      <c r="D3" s="10">
        <f>SUM(MemberOfAssemblyAssemblyDistrict11General[[#This Row],[Total Votes by Party]],C6)</f>
        <v>30313</v>
      </c>
    </row>
    <row r="4" spans="1:4" ht="13.8" x14ac:dyDescent="0.3">
      <c r="A4" s="1" t="s">
        <v>122</v>
      </c>
      <c r="B4" s="21">
        <v>18391</v>
      </c>
      <c r="C4" s="9">
        <f>MemberOfAssemblyAssemblyDistrict11General[[#This Row],[Part of Suffolk County Vote Results]]</f>
        <v>18391</v>
      </c>
      <c r="D4" s="10">
        <f>SUM(MemberOfAssemblyAssemblyDistrict11General[[#This Row],[Total Votes by Party]],C5)</f>
        <v>20561</v>
      </c>
    </row>
    <row r="5" spans="1:4" ht="13.8" x14ac:dyDescent="0.3">
      <c r="A5" s="1" t="s">
        <v>123</v>
      </c>
      <c r="B5" s="21">
        <v>2170</v>
      </c>
      <c r="C5" s="9">
        <f>MemberOfAssemblyAssemblyDistrict11General[[#This Row],[Part of Suffolk County Vote Results]]</f>
        <v>2170</v>
      </c>
      <c r="D5" s="11"/>
    </row>
    <row r="6" spans="1:4" ht="13.8" x14ac:dyDescent="0.3">
      <c r="A6" s="1" t="s">
        <v>124</v>
      </c>
      <c r="B6" s="21">
        <v>874</v>
      </c>
      <c r="C6" s="9">
        <f>MemberOfAssemblyAssemblyDistrict11General[[#This Row],[Part of Suffolk County Vote Results]]</f>
        <v>874</v>
      </c>
      <c r="D6" s="11"/>
    </row>
    <row r="7" spans="1:4" ht="13.8" x14ac:dyDescent="0.3">
      <c r="A7" s="3" t="s">
        <v>0</v>
      </c>
      <c r="B7" s="21">
        <v>4619</v>
      </c>
      <c r="C7" s="9">
        <f>MemberOfAssemblyAssemblyDistrict11General[[#This Row],[Part of Suffolk County Vote Results]]</f>
        <v>4619</v>
      </c>
      <c r="D7" s="11"/>
    </row>
    <row r="8" spans="1:4" ht="13.8" x14ac:dyDescent="0.3">
      <c r="A8" s="3" t="s">
        <v>1</v>
      </c>
      <c r="B8" s="21">
        <v>7</v>
      </c>
      <c r="C8" s="9">
        <f>MemberOfAssemblyAssemblyDistrict11General[[#This Row],[Part of Suffolk County Vote Results]]</f>
        <v>7</v>
      </c>
      <c r="D8" s="11"/>
    </row>
    <row r="9" spans="1:4" ht="13.8" x14ac:dyDescent="0.3">
      <c r="A9" s="3" t="s">
        <v>6</v>
      </c>
      <c r="B9" s="21">
        <v>16</v>
      </c>
      <c r="C9" s="9">
        <f>MemberOfAssemblyAssemblyDistrict11General[[#This Row],[Part of Suffolk County Vote Results]]</f>
        <v>16</v>
      </c>
      <c r="D9" s="11"/>
    </row>
    <row r="10" spans="1:4" ht="13.8" x14ac:dyDescent="0.3">
      <c r="A10" s="13" t="s">
        <v>2</v>
      </c>
      <c r="B10" s="21">
        <f>SUM(MemberOfAssemblyAssemblyDistrict11General[Part of Suffolk County Vote Results])</f>
        <v>55516</v>
      </c>
      <c r="C10" s="9">
        <f>SUM(MemberOfAssemblyAssemblyDistrict11General[Total Votes by Party])</f>
        <v>55516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8D20-9294-42BF-A747-FC9313114ED3}">
  <dimension ref="A1:E11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526</v>
      </c>
    </row>
    <row r="2" spans="1:5" ht="27.6" x14ac:dyDescent="0.25">
      <c r="A2" s="5" t="s">
        <v>5</v>
      </c>
      <c r="B2" s="6" t="s">
        <v>52</v>
      </c>
      <c r="C2" s="6" t="s">
        <v>55</v>
      </c>
      <c r="D2" s="7" t="s">
        <v>3</v>
      </c>
      <c r="E2" s="8" t="s">
        <v>4</v>
      </c>
    </row>
    <row r="3" spans="1:5" ht="13.8" x14ac:dyDescent="0.3">
      <c r="A3" s="1" t="s">
        <v>527</v>
      </c>
      <c r="B3" s="2">
        <v>23892</v>
      </c>
      <c r="C3" s="2">
        <v>14164</v>
      </c>
      <c r="D3" s="9">
        <f>SUM(MemberOfAssemblyAssemblyDistrict110General[[#This Row],[Part of Albany County Vote Results]:[Part of Schenectady County Vote Results]])</f>
        <v>38056</v>
      </c>
      <c r="E3" s="10">
        <f>SUM(MemberOfAssemblyAssemblyDistrict110General[[#This Row],[Total Votes by Party]],D6,D7)</f>
        <v>43043</v>
      </c>
    </row>
    <row r="4" spans="1:5" ht="13.8" x14ac:dyDescent="0.3">
      <c r="A4" s="1" t="s">
        <v>528</v>
      </c>
      <c r="B4" s="2">
        <v>15927</v>
      </c>
      <c r="C4" s="2">
        <v>6838</v>
      </c>
      <c r="D4" s="9">
        <f>SUM(MemberOfAssemblyAssemblyDistrict110General[[#This Row],[Part of Albany County Vote Results]:[Part of Schenectady County Vote Results]])</f>
        <v>22765</v>
      </c>
      <c r="E4" s="10">
        <f>SUM(MemberOfAssemblyAssemblyDistrict110General[[#This Row],[Total Votes by Party]],D5)</f>
        <v>25625</v>
      </c>
    </row>
    <row r="5" spans="1:5" ht="13.8" x14ac:dyDescent="0.3">
      <c r="A5" s="1" t="s">
        <v>529</v>
      </c>
      <c r="B5" s="2">
        <v>1670</v>
      </c>
      <c r="C5" s="2">
        <v>1190</v>
      </c>
      <c r="D5" s="9">
        <f>SUM(MemberOfAssemblyAssemblyDistrict110General[[#This Row],[Part of Albany County Vote Results]:[Part of Schenectady County Vote Results]])</f>
        <v>2860</v>
      </c>
      <c r="E5" s="11"/>
    </row>
    <row r="6" spans="1:5" ht="13.8" x14ac:dyDescent="0.3">
      <c r="A6" s="1" t="s">
        <v>530</v>
      </c>
      <c r="B6" s="2">
        <v>2272</v>
      </c>
      <c r="C6" s="2">
        <v>1382</v>
      </c>
      <c r="D6" s="9">
        <f>SUM(MemberOfAssemblyAssemblyDistrict110General[[#This Row],[Part of Albany County Vote Results]:[Part of Schenectady County Vote Results]])</f>
        <v>3654</v>
      </c>
      <c r="E6" s="11"/>
    </row>
    <row r="7" spans="1:5" ht="13.8" x14ac:dyDescent="0.3">
      <c r="A7" s="1" t="s">
        <v>531</v>
      </c>
      <c r="B7" s="2">
        <v>862</v>
      </c>
      <c r="C7" s="2">
        <v>471</v>
      </c>
      <c r="D7" s="9">
        <f>SUM(MemberOfAssemblyAssemblyDistrict110General[[#This Row],[Part of Albany County Vote Results]:[Part of Schenectady County Vote Results]])</f>
        <v>1333</v>
      </c>
      <c r="E7" s="11"/>
    </row>
    <row r="8" spans="1:5" ht="13.8" x14ac:dyDescent="0.3">
      <c r="A8" s="3" t="s">
        <v>0</v>
      </c>
      <c r="B8" s="2">
        <v>1803</v>
      </c>
      <c r="C8" s="2">
        <v>1282</v>
      </c>
      <c r="D8" s="9">
        <f>SUM(MemberOfAssemblyAssemblyDistrict110General[[#This Row],[Part of Albany County Vote Results]:[Part of Schenectady County Vote Results]])</f>
        <v>3085</v>
      </c>
      <c r="E8" s="11"/>
    </row>
    <row r="9" spans="1:5" ht="13.8" x14ac:dyDescent="0.3">
      <c r="A9" s="3" t="s">
        <v>1</v>
      </c>
      <c r="B9" s="2">
        <v>19</v>
      </c>
      <c r="C9" s="2">
        <v>12</v>
      </c>
      <c r="D9" s="9">
        <f>SUM(MemberOfAssemblyAssemblyDistrict110General[[#This Row],[Part of Albany County Vote Results]:[Part of Schenectady County Vote Results]])</f>
        <v>31</v>
      </c>
      <c r="E9" s="11"/>
    </row>
    <row r="10" spans="1:5" ht="13.8" x14ac:dyDescent="0.3">
      <c r="A10" s="3" t="s">
        <v>6</v>
      </c>
      <c r="B10" s="2">
        <v>52</v>
      </c>
      <c r="C10" s="2">
        <v>43</v>
      </c>
      <c r="D10" s="9">
        <f>SUM(MemberOfAssemblyAssemblyDistrict110General[[#This Row],[Part of Albany County Vote Results]:[Part of Schenectady County Vote Results]])</f>
        <v>95</v>
      </c>
      <c r="E10" s="11"/>
    </row>
    <row r="11" spans="1:5" ht="13.8" x14ac:dyDescent="0.3">
      <c r="A11" s="13" t="s">
        <v>2</v>
      </c>
      <c r="B11" s="2">
        <f>SUM(MemberOfAssemblyAssemblyDistrict110General[Part of Albany County Vote Results])</f>
        <v>46497</v>
      </c>
      <c r="C11" s="2">
        <f>SUM(MemberOfAssemblyAssemblyDistrict110General[Part of Schenectady County Vote Results])</f>
        <v>25382</v>
      </c>
      <c r="D11" s="9">
        <f>SUM(MemberOfAssemblyAssemblyDistrict110General[Total Votes by Party])</f>
        <v>71879</v>
      </c>
      <c r="E11" s="11"/>
    </row>
  </sheetData>
  <pageMargins left="0.7" right="0.7" top="0.75" bottom="0.75" header="0.3" footer="0.3"/>
  <tableParts count="1">
    <tablePart r:id="rId1"/>
  </tableParts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23D-A7AF-4B78-AE05-5B8C84558722}">
  <dimension ref="A1:F10"/>
  <sheetViews>
    <sheetView workbookViewId="0">
      <selection activeCell="C2" sqref="C2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532</v>
      </c>
    </row>
    <row r="2" spans="1:6" ht="27.6" x14ac:dyDescent="0.25">
      <c r="A2" s="5" t="s">
        <v>5</v>
      </c>
      <c r="B2" s="6" t="s">
        <v>54</v>
      </c>
      <c r="C2" s="6" t="s">
        <v>52</v>
      </c>
      <c r="D2" s="6" t="s">
        <v>55</v>
      </c>
      <c r="E2" s="7" t="s">
        <v>3</v>
      </c>
      <c r="F2" s="8" t="s">
        <v>4</v>
      </c>
    </row>
    <row r="3" spans="1:6" ht="13.8" x14ac:dyDescent="0.3">
      <c r="A3" s="1" t="s">
        <v>533</v>
      </c>
      <c r="B3" s="20">
        <v>9314</v>
      </c>
      <c r="C3" s="2">
        <v>1458</v>
      </c>
      <c r="D3" s="2">
        <v>16276</v>
      </c>
      <c r="E3" s="9">
        <f>SUM(MemberOfAssemblyAssemblyDistrict111General[[#This Row],[Montgomery County Vote Results]:[Part of Schenectady County Vote Results]])</f>
        <v>27048</v>
      </c>
      <c r="F3" s="10">
        <f>SUM(MemberOfAssemblyAssemblyDistrict111General[[#This Row],[Total Votes by Party]],E5,E6)</f>
        <v>32917</v>
      </c>
    </row>
    <row r="4" spans="1:6" ht="13.8" x14ac:dyDescent="0.3">
      <c r="A4" s="1" t="s">
        <v>534</v>
      </c>
      <c r="B4" s="20">
        <v>8844</v>
      </c>
      <c r="C4" s="2">
        <v>1489</v>
      </c>
      <c r="D4" s="2">
        <v>11488</v>
      </c>
      <c r="E4" s="9">
        <f>SUM(MemberOfAssemblyAssemblyDistrict111General[[#This Row],[Montgomery County Vote Results]:[Part of Schenectady County Vote Results]])</f>
        <v>21821</v>
      </c>
      <c r="F4" s="10">
        <f>SUM(MemberOfAssemblyAssemblyDistrict111General[[#This Row],[Total Votes by Party]])</f>
        <v>21821</v>
      </c>
    </row>
    <row r="5" spans="1:6" ht="13.8" x14ac:dyDescent="0.3">
      <c r="A5" s="1" t="s">
        <v>535</v>
      </c>
      <c r="B5" s="20">
        <v>1859</v>
      </c>
      <c r="C5" s="2">
        <v>314</v>
      </c>
      <c r="D5" s="2">
        <v>2440</v>
      </c>
      <c r="E5" s="9">
        <f>SUM(MemberOfAssemblyAssemblyDistrict111General[[#This Row],[Montgomery County Vote Results]:[Part of Schenectady County Vote Results]])</f>
        <v>4613</v>
      </c>
      <c r="F5" s="11"/>
    </row>
    <row r="6" spans="1:6" ht="13.8" x14ac:dyDescent="0.3">
      <c r="A6" s="1" t="s">
        <v>536</v>
      </c>
      <c r="B6" s="20">
        <v>469</v>
      </c>
      <c r="C6" s="2">
        <v>78</v>
      </c>
      <c r="D6" s="2">
        <v>709</v>
      </c>
      <c r="E6" s="9">
        <f>SUM(MemberOfAssemblyAssemblyDistrict111General[[#This Row],[Montgomery County Vote Results]:[Part of Schenectady County Vote Results]])</f>
        <v>1256</v>
      </c>
      <c r="F6" s="11"/>
    </row>
    <row r="7" spans="1:6" ht="13.8" x14ac:dyDescent="0.3">
      <c r="A7" s="3" t="s">
        <v>0</v>
      </c>
      <c r="B7" s="20">
        <v>737</v>
      </c>
      <c r="C7" s="2">
        <v>96</v>
      </c>
      <c r="D7" s="2">
        <v>1185</v>
      </c>
      <c r="E7" s="9">
        <f>SUM(MemberOfAssemblyAssemblyDistrict111General[[#This Row],[Montgomery County Vote Results]:[Part of Schenectady County Vote Results]])</f>
        <v>2018</v>
      </c>
      <c r="F7" s="11"/>
    </row>
    <row r="8" spans="1:6" ht="13.8" x14ac:dyDescent="0.3">
      <c r="A8" s="3" t="s">
        <v>1</v>
      </c>
      <c r="B8" s="20">
        <v>9</v>
      </c>
      <c r="C8" s="2">
        <v>0</v>
      </c>
      <c r="D8" s="2">
        <v>51</v>
      </c>
      <c r="E8" s="9">
        <f>SUM(MemberOfAssemblyAssemblyDistrict111General[[#This Row],[Montgomery County Vote Results]:[Part of Schenectady County Vote Results]])</f>
        <v>60</v>
      </c>
      <c r="F8" s="11"/>
    </row>
    <row r="9" spans="1:6" ht="13.8" x14ac:dyDescent="0.3">
      <c r="A9" s="3" t="s">
        <v>6</v>
      </c>
      <c r="B9" s="20">
        <v>14</v>
      </c>
      <c r="C9" s="2">
        <v>2</v>
      </c>
      <c r="D9" s="2">
        <v>30</v>
      </c>
      <c r="E9" s="9">
        <f>SUM(MemberOfAssemblyAssemblyDistrict111General[[#This Row],[Montgomery County Vote Results]:[Part of Schenectady County Vote Results]])</f>
        <v>46</v>
      </c>
      <c r="F9" s="11"/>
    </row>
    <row r="10" spans="1:6" ht="13.8" x14ac:dyDescent="0.3">
      <c r="A10" s="13" t="s">
        <v>2</v>
      </c>
      <c r="B10" s="20">
        <f>SUM(MemberOfAssemblyAssemblyDistrict111General[Montgomery County Vote Results])</f>
        <v>21246</v>
      </c>
      <c r="C10" s="2">
        <f>SUM(MemberOfAssemblyAssemblyDistrict111General[Part of Albany County Vote Results])</f>
        <v>3437</v>
      </c>
      <c r="D10" s="2">
        <f>SUM(MemberOfAssemblyAssemblyDistrict111General[Part of Schenectady County Vote Results])</f>
        <v>32179</v>
      </c>
      <c r="E10" s="9">
        <f>SUM(MemberOfAssemblyAssemblyDistrict111General[Total Votes by Party])</f>
        <v>56862</v>
      </c>
      <c r="F10" s="11"/>
    </row>
  </sheetData>
  <pageMargins left="0.7" right="0.7" top="0.75" bottom="0.75" header="0.3" footer="0.3"/>
  <tableParts count="1">
    <tablePart r:id="rId1"/>
  </tablePart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E9F6-6F96-40C3-996D-9C043E4CCEC3}">
  <dimension ref="A1:E11"/>
  <sheetViews>
    <sheetView workbookViewId="0">
      <selection activeCell="C11" sqref="C11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537</v>
      </c>
    </row>
    <row r="2" spans="1:5" ht="27.6" x14ac:dyDescent="0.25">
      <c r="A2" s="5" t="s">
        <v>5</v>
      </c>
      <c r="B2" s="6" t="s">
        <v>33</v>
      </c>
      <c r="C2" s="6" t="s">
        <v>55</v>
      </c>
      <c r="D2" s="7" t="s">
        <v>3</v>
      </c>
      <c r="E2" s="8" t="s">
        <v>4</v>
      </c>
    </row>
    <row r="3" spans="1:5" ht="13.8" x14ac:dyDescent="0.3">
      <c r="A3" s="1" t="s">
        <v>538</v>
      </c>
      <c r="B3" s="2">
        <v>24339</v>
      </c>
      <c r="C3" s="2">
        <v>6528</v>
      </c>
      <c r="D3" s="9">
        <f>SUM(MemberOfAssemblyAssemblyDistrict112General[[#This Row],[Part of Saratoga County Vote Results]:[Part of Schenectady County Vote Results]])</f>
        <v>30867</v>
      </c>
      <c r="E3" s="10">
        <f>SUM(MemberOfAssemblyAssemblyDistrict112General[[#This Row],[Total Votes by Party]],D6)</f>
        <v>33750</v>
      </c>
    </row>
    <row r="4" spans="1:5" ht="13.8" x14ac:dyDescent="0.3">
      <c r="A4" s="1" t="s">
        <v>539</v>
      </c>
      <c r="B4" s="2">
        <v>31320</v>
      </c>
      <c r="C4" s="2">
        <v>7818</v>
      </c>
      <c r="D4" s="9">
        <f>SUM(MemberOfAssemblyAssemblyDistrict112General[[#This Row],[Part of Saratoga County Vote Results]:[Part of Schenectady County Vote Results]])</f>
        <v>39138</v>
      </c>
      <c r="E4" s="10">
        <f>SUM(MemberOfAssemblyAssemblyDistrict112General[[#This Row],[Total Votes by Party]],D5,D7)</f>
        <v>46189</v>
      </c>
    </row>
    <row r="5" spans="1:5" ht="13.8" x14ac:dyDescent="0.3">
      <c r="A5" s="1" t="s">
        <v>540</v>
      </c>
      <c r="B5" s="2">
        <v>3962</v>
      </c>
      <c r="C5" s="2">
        <v>1318</v>
      </c>
      <c r="D5" s="9">
        <f>SUM(MemberOfAssemblyAssemblyDistrict112General[[#This Row],[Part of Saratoga County Vote Results]:[Part of Schenectady County Vote Results]])</f>
        <v>5280</v>
      </c>
      <c r="E5" s="11"/>
    </row>
    <row r="6" spans="1:5" ht="13.8" x14ac:dyDescent="0.3">
      <c r="A6" s="3" t="s">
        <v>541</v>
      </c>
      <c r="B6" s="2">
        <v>2259</v>
      </c>
      <c r="C6" s="2">
        <v>624</v>
      </c>
      <c r="D6" s="9">
        <f>SUM(MemberOfAssemblyAssemblyDistrict112General[[#This Row],[Part of Saratoga County Vote Results]:[Part of Schenectady County Vote Results]])</f>
        <v>2883</v>
      </c>
      <c r="E6" s="14"/>
    </row>
    <row r="7" spans="1:5" ht="13.8" x14ac:dyDescent="0.3">
      <c r="A7" s="1" t="s">
        <v>542</v>
      </c>
      <c r="B7" s="2">
        <v>1356</v>
      </c>
      <c r="C7" s="2">
        <v>415</v>
      </c>
      <c r="D7" s="9">
        <f>SUM(MemberOfAssemblyAssemblyDistrict112General[[#This Row],[Part of Saratoga County Vote Results]:[Part of Schenectady County Vote Results]])</f>
        <v>1771</v>
      </c>
      <c r="E7" s="11"/>
    </row>
    <row r="8" spans="1:5" ht="13.8" x14ac:dyDescent="0.3">
      <c r="A8" s="3" t="s">
        <v>0</v>
      </c>
      <c r="B8" s="2">
        <v>2592</v>
      </c>
      <c r="C8" s="2">
        <v>869</v>
      </c>
      <c r="D8" s="9">
        <f>SUM(MemberOfAssemblyAssemblyDistrict112General[[#This Row],[Part of Saratoga County Vote Results]:[Part of Schenectady County Vote Results]])</f>
        <v>3461</v>
      </c>
      <c r="E8" s="11"/>
    </row>
    <row r="9" spans="1:5" ht="13.8" x14ac:dyDescent="0.3">
      <c r="A9" s="3" t="s">
        <v>1</v>
      </c>
      <c r="B9" s="2">
        <v>11</v>
      </c>
      <c r="C9" s="2">
        <v>8</v>
      </c>
      <c r="D9" s="9">
        <f>SUM(MemberOfAssemblyAssemblyDistrict112General[[#This Row],[Part of Saratoga County Vote Results]:[Part of Schenectady County Vote Results]])</f>
        <v>19</v>
      </c>
      <c r="E9" s="11"/>
    </row>
    <row r="10" spans="1:5" ht="13.8" x14ac:dyDescent="0.3">
      <c r="A10" s="3" t="s">
        <v>6</v>
      </c>
      <c r="B10" s="2">
        <v>23</v>
      </c>
      <c r="C10" s="2">
        <v>5</v>
      </c>
      <c r="D10" s="9">
        <f>SUM(MemberOfAssemblyAssemblyDistrict112General[[#This Row],[Part of Saratoga County Vote Results]:[Part of Schenectady County Vote Results]])</f>
        <v>28</v>
      </c>
      <c r="E10" s="11"/>
    </row>
    <row r="11" spans="1:5" ht="13.8" x14ac:dyDescent="0.3">
      <c r="A11" s="13" t="s">
        <v>2</v>
      </c>
      <c r="B11" s="2">
        <f>SUM(MemberOfAssemblyAssemblyDistrict112General[Part of Saratoga County Vote Results])</f>
        <v>65862</v>
      </c>
      <c r="C11" s="2">
        <f>SUM(MemberOfAssemblyAssemblyDistrict112General[Part of Schenectady County Vote Results])</f>
        <v>17585</v>
      </c>
      <c r="D11" s="9">
        <f>SUM(MemberOfAssemblyAssemblyDistrict112General[Total Votes by Party])</f>
        <v>83447</v>
      </c>
      <c r="E11" s="11"/>
    </row>
  </sheetData>
  <pageMargins left="0.7" right="0.7" top="0.75" bottom="0.75" header="0.3" footer="0.3"/>
  <tableParts count="1">
    <tablePart r:id="rId1"/>
  </tableParts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ACC-F666-4E76-A30B-0324C0558C3B}">
  <dimension ref="A1:E11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543</v>
      </c>
    </row>
    <row r="2" spans="1:5" ht="27.6" x14ac:dyDescent="0.25">
      <c r="A2" s="5" t="s">
        <v>5</v>
      </c>
      <c r="B2" s="6" t="s">
        <v>33</v>
      </c>
      <c r="C2" s="6" t="s">
        <v>51</v>
      </c>
      <c r="D2" s="7" t="s">
        <v>3</v>
      </c>
      <c r="E2" s="8" t="s">
        <v>4</v>
      </c>
    </row>
    <row r="3" spans="1:5" ht="13.8" x14ac:dyDescent="0.3">
      <c r="A3" s="1" t="s">
        <v>544</v>
      </c>
      <c r="B3" s="2">
        <v>30164</v>
      </c>
      <c r="C3" s="2">
        <v>7908</v>
      </c>
      <c r="D3" s="9">
        <f>SUM(MemberOfAssemblyAssemblyDistrict113General[[#This Row],[Part of Saratoga County Vote Results]:[Part of Washington County Vote Results]])</f>
        <v>38072</v>
      </c>
      <c r="E3" s="10">
        <f>SUM(MemberOfAssemblyAssemblyDistrict113General[[#This Row],[Total Votes by Party]],D6,D7)</f>
        <v>40173</v>
      </c>
    </row>
    <row r="4" spans="1:5" ht="13.8" x14ac:dyDescent="0.3">
      <c r="A4" s="1" t="s">
        <v>545</v>
      </c>
      <c r="B4" s="2">
        <v>21749</v>
      </c>
      <c r="C4" s="2">
        <v>7464</v>
      </c>
      <c r="D4" s="9">
        <f>SUM(MemberOfAssemblyAssemblyDistrict113General[[#This Row],[Part of Saratoga County Vote Results]:[Part of Washington County Vote Results]])</f>
        <v>29213</v>
      </c>
      <c r="E4" s="10">
        <f>SUM(MemberOfAssemblyAssemblyDistrict113General[[#This Row],[Total Votes by Party]],D5)</f>
        <v>32726</v>
      </c>
    </row>
    <row r="5" spans="1:5" ht="13.8" x14ac:dyDescent="0.3">
      <c r="A5" s="1" t="s">
        <v>546</v>
      </c>
      <c r="B5" s="2">
        <v>2623</v>
      </c>
      <c r="C5" s="2">
        <v>890</v>
      </c>
      <c r="D5" s="9">
        <f>SUM(MemberOfAssemblyAssemblyDistrict113General[[#This Row],[Part of Saratoga County Vote Results]:[Part of Washington County Vote Results]])</f>
        <v>3513</v>
      </c>
      <c r="E5" s="11"/>
    </row>
    <row r="6" spans="1:5" ht="13.8" x14ac:dyDescent="0.3">
      <c r="A6" s="1" t="s">
        <v>547</v>
      </c>
      <c r="B6" s="2">
        <v>1480</v>
      </c>
      <c r="C6" s="2">
        <v>533</v>
      </c>
      <c r="D6" s="9">
        <f>SUM(MemberOfAssemblyAssemblyDistrict113General[[#This Row],[Part of Saratoga County Vote Results]:[Part of Washington County Vote Results]])</f>
        <v>2013</v>
      </c>
      <c r="E6" s="11"/>
    </row>
    <row r="7" spans="1:5" ht="13.8" x14ac:dyDescent="0.3">
      <c r="A7" s="1" t="s">
        <v>548</v>
      </c>
      <c r="B7" s="2">
        <v>60</v>
      </c>
      <c r="C7" s="2">
        <v>28</v>
      </c>
      <c r="D7" s="9">
        <f>SUM(MemberOfAssemblyAssemblyDistrict113General[[#This Row],[Part of Saratoga County Vote Results]:[Part of Washington County Vote Results]])</f>
        <v>88</v>
      </c>
      <c r="E7" s="11"/>
    </row>
    <row r="8" spans="1:5" ht="13.8" x14ac:dyDescent="0.3">
      <c r="A8" s="3" t="s">
        <v>0</v>
      </c>
      <c r="B8" s="2">
        <v>1769</v>
      </c>
      <c r="C8" s="2">
        <v>449</v>
      </c>
      <c r="D8" s="9">
        <f>SUM(MemberOfAssemblyAssemblyDistrict113General[[#This Row],[Part of Saratoga County Vote Results]:[Part of Washington County Vote Results]])</f>
        <v>2218</v>
      </c>
      <c r="E8" s="11"/>
    </row>
    <row r="9" spans="1:5" ht="13.8" x14ac:dyDescent="0.3">
      <c r="A9" s="3" t="s">
        <v>1</v>
      </c>
      <c r="B9" s="2">
        <v>24</v>
      </c>
      <c r="C9" s="2">
        <v>17</v>
      </c>
      <c r="D9" s="9">
        <f>SUM(MemberOfAssemblyAssemblyDistrict113General[[#This Row],[Part of Saratoga County Vote Results]:[Part of Washington County Vote Results]])</f>
        <v>41</v>
      </c>
      <c r="E9" s="11"/>
    </row>
    <row r="10" spans="1:5" ht="13.8" x14ac:dyDescent="0.3">
      <c r="A10" s="3" t="s">
        <v>6</v>
      </c>
      <c r="B10" s="2">
        <v>21</v>
      </c>
      <c r="C10" s="2">
        <v>6</v>
      </c>
      <c r="D10" s="9">
        <f>SUM(MemberOfAssemblyAssemblyDistrict113General[[#This Row],[Part of Saratoga County Vote Results]:[Part of Washington County Vote Results]])</f>
        <v>27</v>
      </c>
      <c r="E10" s="11"/>
    </row>
    <row r="11" spans="1:5" ht="13.8" x14ac:dyDescent="0.3">
      <c r="A11" s="13" t="s">
        <v>2</v>
      </c>
      <c r="B11" s="2">
        <f>SUM(MemberOfAssemblyAssemblyDistrict113General[Part of Saratoga County Vote Results])</f>
        <v>57890</v>
      </c>
      <c r="C11" s="2">
        <f>SUM(MemberOfAssemblyAssemblyDistrict113General[Part of Washington County Vote Results])</f>
        <v>17295</v>
      </c>
      <c r="D11" s="9">
        <f>SUM(MemberOfAssemblyAssemblyDistrict113General[Total Votes by Party])</f>
        <v>75185</v>
      </c>
      <c r="E11" s="11"/>
    </row>
  </sheetData>
  <pageMargins left="0.7" right="0.7" top="0.75" bottom="0.75" header="0.3" footer="0.3"/>
  <tableParts count="1">
    <tablePart r:id="rId1"/>
  </tableParts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4A6B-DA82-4174-A8B6-475D24D54918}">
  <dimension ref="A1:G12"/>
  <sheetViews>
    <sheetView workbookViewId="0">
      <selection activeCell="D12" sqref="D12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30" t="s">
        <v>549</v>
      </c>
    </row>
    <row r="2" spans="1:7" ht="27.6" x14ac:dyDescent="0.25">
      <c r="A2" s="5" t="s">
        <v>5</v>
      </c>
      <c r="B2" s="6" t="s">
        <v>35</v>
      </c>
      <c r="C2" s="6" t="s">
        <v>39</v>
      </c>
      <c r="D2" s="6" t="s">
        <v>33</v>
      </c>
      <c r="E2" s="6" t="s">
        <v>51</v>
      </c>
      <c r="F2" s="7" t="s">
        <v>3</v>
      </c>
      <c r="G2" s="8" t="s">
        <v>4</v>
      </c>
    </row>
    <row r="3" spans="1:7" ht="13.8" x14ac:dyDescent="0.3">
      <c r="A3" s="1" t="s">
        <v>550</v>
      </c>
      <c r="B3" s="2">
        <v>7679</v>
      </c>
      <c r="C3" s="2">
        <v>14265</v>
      </c>
      <c r="D3" s="2">
        <v>1340</v>
      </c>
      <c r="E3" s="2">
        <v>2303</v>
      </c>
      <c r="F3" s="9">
        <f>SUM(MemberOfAssemblyAssemblyDistrict114General[[#This Row],[Essex County Vote Results]:[Part of Washington County Vote Results]])</f>
        <v>25587</v>
      </c>
      <c r="G3" s="10">
        <f>SUM(MemberOfAssemblyAssemblyDistrict114General[[#This Row],[Total Votes by Party]],F6)</f>
        <v>28021</v>
      </c>
    </row>
    <row r="4" spans="1:7" ht="13.8" x14ac:dyDescent="0.3">
      <c r="A4" s="1" t="s">
        <v>551</v>
      </c>
      <c r="B4" s="2">
        <v>8869</v>
      </c>
      <c r="C4" s="2">
        <v>16724</v>
      </c>
      <c r="D4" s="2">
        <v>3299</v>
      </c>
      <c r="E4" s="2">
        <v>4865</v>
      </c>
      <c r="F4" s="9">
        <f>SUM(MemberOfAssemblyAssemblyDistrict114General[[#This Row],[Essex County Vote Results]:[Part of Washington County Vote Results]])</f>
        <v>33757</v>
      </c>
      <c r="G4" s="10">
        <f>SUM(MemberOfAssemblyAssemblyDistrict114General[[#This Row],[Total Votes by Party]],F5,F7)</f>
        <v>37581</v>
      </c>
    </row>
    <row r="5" spans="1:7" ht="13.8" x14ac:dyDescent="0.3">
      <c r="A5" s="1" t="s">
        <v>552</v>
      </c>
      <c r="B5" s="2">
        <v>668</v>
      </c>
      <c r="C5" s="2">
        <v>1631</v>
      </c>
      <c r="D5" s="2">
        <v>303</v>
      </c>
      <c r="E5" s="2">
        <v>351</v>
      </c>
      <c r="F5" s="9">
        <f>SUM(MemberOfAssemblyAssemblyDistrict114General[[#This Row],[Essex County Vote Results]:[Part of Washington County Vote Results]])</f>
        <v>2953</v>
      </c>
      <c r="G5" s="14"/>
    </row>
    <row r="6" spans="1:7" ht="13.8" x14ac:dyDescent="0.3">
      <c r="A6" s="3" t="s">
        <v>553</v>
      </c>
      <c r="B6" s="2">
        <v>677</v>
      </c>
      <c r="C6" s="2">
        <v>1424</v>
      </c>
      <c r="D6" s="2">
        <v>112</v>
      </c>
      <c r="E6" s="2">
        <v>221</v>
      </c>
      <c r="F6" s="9">
        <f>SUM(MemberOfAssemblyAssemblyDistrict114General[[#This Row],[Essex County Vote Results]:[Part of Washington County Vote Results]])</f>
        <v>2434</v>
      </c>
      <c r="G6" s="14"/>
    </row>
    <row r="7" spans="1:7" ht="13.8" x14ac:dyDescent="0.3">
      <c r="A7" s="3" t="s">
        <v>554</v>
      </c>
      <c r="B7" s="2">
        <v>218</v>
      </c>
      <c r="C7" s="2">
        <v>495</v>
      </c>
      <c r="D7" s="2">
        <v>77</v>
      </c>
      <c r="E7" s="2">
        <v>81</v>
      </c>
      <c r="F7" s="9">
        <f>SUM(MemberOfAssemblyAssemblyDistrict114General[[#This Row],[Essex County Vote Results]:[Part of Washington County Vote Results]])</f>
        <v>871</v>
      </c>
      <c r="G7" s="14"/>
    </row>
    <row r="8" spans="1:7" ht="13.8" x14ac:dyDescent="0.3">
      <c r="A8" s="1" t="s">
        <v>555</v>
      </c>
      <c r="B8" s="2">
        <v>100</v>
      </c>
      <c r="C8" s="2">
        <v>454</v>
      </c>
      <c r="D8" s="2">
        <v>32</v>
      </c>
      <c r="E8" s="2">
        <v>44</v>
      </c>
      <c r="F8" s="9">
        <f>SUM(MemberOfAssemblyAssemblyDistrict114General[[#This Row],[Essex County Vote Results]:[Part of Washington County Vote Results]])</f>
        <v>630</v>
      </c>
      <c r="G8" s="10">
        <f>SUM(MemberOfAssemblyAssemblyDistrict114General[[#This Row],[Total Votes by Party]])</f>
        <v>630</v>
      </c>
    </row>
    <row r="9" spans="1:7" ht="13.8" x14ac:dyDescent="0.3">
      <c r="A9" s="3" t="s">
        <v>0</v>
      </c>
      <c r="B9" s="2">
        <v>1240</v>
      </c>
      <c r="C9" s="2">
        <v>1253</v>
      </c>
      <c r="D9" s="2">
        <v>250</v>
      </c>
      <c r="E9" s="2">
        <v>306</v>
      </c>
      <c r="F9" s="9">
        <f>SUM(MemberOfAssemblyAssemblyDistrict114General[[#This Row],[Essex County Vote Results]:[Part of Washington County Vote Results]])</f>
        <v>3049</v>
      </c>
      <c r="G9" s="11"/>
    </row>
    <row r="10" spans="1:7" ht="13.8" x14ac:dyDescent="0.3">
      <c r="A10" s="3" t="s">
        <v>1</v>
      </c>
      <c r="B10" s="2">
        <v>11</v>
      </c>
      <c r="C10" s="2">
        <v>15</v>
      </c>
      <c r="D10" s="2">
        <v>2</v>
      </c>
      <c r="E10" s="2">
        <v>4</v>
      </c>
      <c r="F10" s="9">
        <f>SUM(MemberOfAssemblyAssemblyDistrict114General[[#This Row],[Essex County Vote Results]:[Part of Washington County Vote Results]])</f>
        <v>32</v>
      </c>
      <c r="G10" s="11"/>
    </row>
    <row r="11" spans="1:7" ht="13.8" x14ac:dyDescent="0.3">
      <c r="A11" s="3" t="s">
        <v>6</v>
      </c>
      <c r="B11" s="2">
        <v>8</v>
      </c>
      <c r="C11" s="2">
        <v>16</v>
      </c>
      <c r="D11" s="2">
        <v>0</v>
      </c>
      <c r="E11" s="2">
        <v>1</v>
      </c>
      <c r="F11" s="9">
        <f>SUM(MemberOfAssemblyAssemblyDistrict114General[[#This Row],[Essex County Vote Results]:[Part of Washington County Vote Results]])</f>
        <v>25</v>
      </c>
      <c r="G11" s="11"/>
    </row>
    <row r="12" spans="1:7" ht="13.8" x14ac:dyDescent="0.3">
      <c r="A12" s="13" t="s">
        <v>2</v>
      </c>
      <c r="B12" s="2">
        <f>SUM(MemberOfAssemblyAssemblyDistrict114General[Essex County Vote Results])</f>
        <v>19470</v>
      </c>
      <c r="C12" s="2">
        <f>SUM(MemberOfAssemblyAssemblyDistrict114General[Warren County Vote Results])</f>
        <v>36277</v>
      </c>
      <c r="D12" s="2">
        <f>SUM(MemberOfAssemblyAssemblyDistrict114General[Part of Saratoga County Vote Results])</f>
        <v>5415</v>
      </c>
      <c r="E12" s="2">
        <f>SUM(MemberOfAssemblyAssemblyDistrict114General[Part of Washington County Vote Results])</f>
        <v>8176</v>
      </c>
      <c r="F12" s="9">
        <f>SUM(MemberOfAssemblyAssemblyDistrict114General[Total Votes by Party])</f>
        <v>69338</v>
      </c>
      <c r="G12" s="11"/>
    </row>
  </sheetData>
  <pageMargins left="0.7" right="0.7" top="0.75" bottom="0.75" header="0.3" footer="0.3"/>
  <tableParts count="1">
    <tablePart r:id="rId1"/>
  </tableParts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8431-60DF-439A-A04B-66BC10D7C053}">
  <dimension ref="A1:F9"/>
  <sheetViews>
    <sheetView workbookViewId="0">
      <selection activeCell="B9" sqref="B9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556</v>
      </c>
    </row>
    <row r="2" spans="1:6" ht="27.6" x14ac:dyDescent="0.25">
      <c r="A2" s="5" t="s">
        <v>5</v>
      </c>
      <c r="B2" s="6" t="s">
        <v>34</v>
      </c>
      <c r="C2" s="6" t="s">
        <v>36</v>
      </c>
      <c r="D2" s="6" t="s">
        <v>53</v>
      </c>
      <c r="E2" s="7" t="s">
        <v>3</v>
      </c>
      <c r="F2" s="8" t="s">
        <v>4</v>
      </c>
    </row>
    <row r="3" spans="1:6" ht="13.8" x14ac:dyDescent="0.3">
      <c r="A3" s="1" t="s">
        <v>557</v>
      </c>
      <c r="B3" s="2">
        <v>20345</v>
      </c>
      <c r="C3" s="2">
        <v>10949</v>
      </c>
      <c r="D3" s="2">
        <v>971</v>
      </c>
      <c r="E3" s="9">
        <f>SUM(MemberOfAssemblyAssemblyDistrict115General[[#This Row],[Clinton County Vote Results]:[Part of St. Lawrence County Vote Results]])</f>
        <v>32265</v>
      </c>
      <c r="F3" s="10">
        <f>SUM(MemberOfAssemblyAssemblyDistrict115General[[#This Row],[Total Votes by Party]],E4,E5)</f>
        <v>43090</v>
      </c>
    </row>
    <row r="4" spans="1:6" ht="13.8" x14ac:dyDescent="0.3">
      <c r="A4" s="1" t="s">
        <v>558</v>
      </c>
      <c r="B4" s="2">
        <v>4290</v>
      </c>
      <c r="C4" s="2">
        <v>2378</v>
      </c>
      <c r="D4" s="2">
        <v>262</v>
      </c>
      <c r="E4" s="9">
        <f>SUM(MemberOfAssemblyAssemblyDistrict115General[[#This Row],[Clinton County Vote Results]:[Part of St. Lawrence County Vote Results]])</f>
        <v>6930</v>
      </c>
      <c r="F4" s="11"/>
    </row>
    <row r="5" spans="1:6" ht="13.8" x14ac:dyDescent="0.3">
      <c r="A5" s="1" t="s">
        <v>559</v>
      </c>
      <c r="B5" s="2">
        <v>2435</v>
      </c>
      <c r="C5" s="2">
        <v>1336</v>
      </c>
      <c r="D5" s="2">
        <v>124</v>
      </c>
      <c r="E5" s="9">
        <f>SUM(MemberOfAssemblyAssemblyDistrict115General[[#This Row],[Clinton County Vote Results]:[Part of St. Lawrence County Vote Results]])</f>
        <v>3895</v>
      </c>
      <c r="F5" s="11"/>
    </row>
    <row r="6" spans="1:6" ht="13.8" x14ac:dyDescent="0.3">
      <c r="A6" s="3" t="s">
        <v>0</v>
      </c>
      <c r="B6" s="2">
        <v>7112</v>
      </c>
      <c r="C6" s="2">
        <v>4601</v>
      </c>
      <c r="D6" s="2">
        <v>1143</v>
      </c>
      <c r="E6" s="9">
        <f>SUM(MemberOfAssemblyAssemblyDistrict115General[[#This Row],[Clinton County Vote Results]:[Part of St. Lawrence County Vote Results]])</f>
        <v>12856</v>
      </c>
      <c r="F6" s="11"/>
    </row>
    <row r="7" spans="1:6" ht="13.8" x14ac:dyDescent="0.3">
      <c r="A7" s="3" t="s">
        <v>1</v>
      </c>
      <c r="B7" s="2">
        <v>2</v>
      </c>
      <c r="C7" s="2">
        <v>4</v>
      </c>
      <c r="D7" s="2">
        <v>0</v>
      </c>
      <c r="E7" s="9">
        <f>SUM(MemberOfAssemblyAssemblyDistrict115General[[#This Row],[Clinton County Vote Results]:[Part of St. Lawrence County Vote Results]])</f>
        <v>6</v>
      </c>
      <c r="F7" s="11"/>
    </row>
    <row r="8" spans="1:6" ht="13.8" x14ac:dyDescent="0.3">
      <c r="A8" s="3" t="s">
        <v>6</v>
      </c>
      <c r="B8" s="2">
        <v>151</v>
      </c>
      <c r="C8" s="2">
        <v>79</v>
      </c>
      <c r="D8" s="2">
        <v>6</v>
      </c>
      <c r="E8" s="9">
        <f>SUM(MemberOfAssemblyAssemblyDistrict115General[[#This Row],[Clinton County Vote Results]:[Part of St. Lawrence County Vote Results]])</f>
        <v>236</v>
      </c>
      <c r="F8" s="11"/>
    </row>
    <row r="9" spans="1:6" ht="13.8" x14ac:dyDescent="0.3">
      <c r="A9" s="13" t="s">
        <v>2</v>
      </c>
      <c r="B9" s="2">
        <f>SUM(MemberOfAssemblyAssemblyDistrict115General[Clinton County Vote Results])</f>
        <v>34335</v>
      </c>
      <c r="C9" s="2">
        <f>SUM(MemberOfAssemblyAssemblyDistrict115General[Franklin County Vote Results])</f>
        <v>19347</v>
      </c>
      <c r="D9" s="2">
        <f>SUM(MemberOfAssemblyAssemblyDistrict115General[Part of St. Lawrence County Vote Results])</f>
        <v>2506</v>
      </c>
      <c r="E9" s="9">
        <f>SUM(MemberOfAssemblyAssemblyDistrict115General[Total Votes by Party])</f>
        <v>56188</v>
      </c>
      <c r="F9" s="11"/>
    </row>
  </sheetData>
  <pageMargins left="0.7" right="0.7" top="0.75" bottom="0.75" header="0.3" footer="0.3"/>
  <tableParts count="1">
    <tablePart r:id="rId1"/>
  </tableParts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6251-E5CF-4CB7-AEBD-0A6ED75F0046}">
  <dimension ref="A1:E10"/>
  <sheetViews>
    <sheetView workbookViewId="0">
      <selection activeCell="B10" sqref="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560</v>
      </c>
    </row>
    <row r="2" spans="1:5" ht="27.6" x14ac:dyDescent="0.25">
      <c r="A2" s="5" t="s">
        <v>5</v>
      </c>
      <c r="B2" s="6" t="s">
        <v>561</v>
      </c>
      <c r="C2" s="6" t="s">
        <v>53</v>
      </c>
      <c r="D2" s="7" t="s">
        <v>3</v>
      </c>
      <c r="E2" s="8" t="s">
        <v>4</v>
      </c>
    </row>
    <row r="3" spans="1:5" ht="13.8" x14ac:dyDescent="0.3">
      <c r="A3" s="1" t="s">
        <v>562</v>
      </c>
      <c r="B3" s="2">
        <v>8497</v>
      </c>
      <c r="C3" s="2">
        <v>11106</v>
      </c>
      <c r="D3" s="9">
        <f>SUM(MemberOfAssemblyAssemblyDistrict116General[[#This Row],[Part of Jefferson County Vote Results]:[Part of St. Lawrence County Vote Results]])</f>
        <v>19603</v>
      </c>
      <c r="E3" s="10">
        <f>SUM(MemberOfAssemblyAssemblyDistrict116General[[#This Row],[Total Votes by Party]])</f>
        <v>19603</v>
      </c>
    </row>
    <row r="4" spans="1:5" ht="13.8" x14ac:dyDescent="0.3">
      <c r="A4" s="1" t="s">
        <v>563</v>
      </c>
      <c r="B4" s="2">
        <v>15653</v>
      </c>
      <c r="C4" s="2">
        <v>13491</v>
      </c>
      <c r="D4" s="9">
        <f>SUM(MemberOfAssemblyAssemblyDistrict116General[[#This Row],[Part of Jefferson County Vote Results]:[Part of St. Lawrence County Vote Results]])</f>
        <v>29144</v>
      </c>
      <c r="E4" s="10">
        <f>SUM(MemberOfAssemblyAssemblyDistrict116General[[#This Row],[Total Votes by Party]],D5,D6)</f>
        <v>33023</v>
      </c>
    </row>
    <row r="5" spans="1:5" ht="13.8" x14ac:dyDescent="0.3">
      <c r="A5" s="1" t="s">
        <v>564</v>
      </c>
      <c r="B5" s="2">
        <v>1413</v>
      </c>
      <c r="C5" s="2">
        <v>1377</v>
      </c>
      <c r="D5" s="9">
        <f>SUM(MemberOfAssemblyAssemblyDistrict116General[[#This Row],[Part of Jefferson County Vote Results]:[Part of St. Lawrence County Vote Results]])</f>
        <v>2790</v>
      </c>
      <c r="E5" s="11"/>
    </row>
    <row r="6" spans="1:5" ht="13.8" x14ac:dyDescent="0.3">
      <c r="A6" s="1" t="s">
        <v>565</v>
      </c>
      <c r="B6" s="2">
        <v>545</v>
      </c>
      <c r="C6" s="2">
        <v>544</v>
      </c>
      <c r="D6" s="9">
        <f>SUM(MemberOfAssemblyAssemblyDistrict116General[[#This Row],[Part of Jefferson County Vote Results]:[Part of St. Lawrence County Vote Results]])</f>
        <v>1089</v>
      </c>
      <c r="E6" s="11"/>
    </row>
    <row r="7" spans="1:5" ht="13.8" x14ac:dyDescent="0.3">
      <c r="A7" s="3" t="s">
        <v>0</v>
      </c>
      <c r="B7" s="2">
        <v>793</v>
      </c>
      <c r="C7" s="2">
        <v>1201</v>
      </c>
      <c r="D7" s="9">
        <f>SUM(MemberOfAssemblyAssemblyDistrict116General[[#This Row],[Part of Jefferson County Vote Results]:[Part of St. Lawrence County Vote Results]])</f>
        <v>1994</v>
      </c>
      <c r="E7" s="11"/>
    </row>
    <row r="8" spans="1:5" ht="13.8" x14ac:dyDescent="0.3">
      <c r="A8" s="3" t="s">
        <v>1</v>
      </c>
      <c r="B8" s="2">
        <v>18</v>
      </c>
      <c r="C8" s="2">
        <v>5</v>
      </c>
      <c r="D8" s="9">
        <f>SUM(MemberOfAssemblyAssemblyDistrict116General[[#This Row],[Part of Jefferson County Vote Results]:[Part of St. Lawrence County Vote Results]])</f>
        <v>23</v>
      </c>
      <c r="E8" s="11"/>
    </row>
    <row r="9" spans="1:5" ht="13.8" x14ac:dyDescent="0.3">
      <c r="A9" s="3" t="s">
        <v>6</v>
      </c>
      <c r="B9" s="2">
        <v>11</v>
      </c>
      <c r="C9" s="2">
        <v>8</v>
      </c>
      <c r="D9" s="9">
        <f>SUM(MemberOfAssemblyAssemblyDistrict116General[[#This Row],[Part of Jefferson County Vote Results]:[Part of St. Lawrence County Vote Results]])</f>
        <v>19</v>
      </c>
      <c r="E9" s="11"/>
    </row>
    <row r="10" spans="1:5" ht="13.8" x14ac:dyDescent="0.3">
      <c r="A10" s="13" t="s">
        <v>2</v>
      </c>
      <c r="B10" s="2">
        <f>SUM(MemberOfAssemblyAssemblyDistrict116General[Part of Jefferson County Vote Results])</f>
        <v>26930</v>
      </c>
      <c r="C10" s="2">
        <f>SUM(MemberOfAssemblyAssemblyDistrict116General[Part of St. Lawrence County Vote Results])</f>
        <v>27732</v>
      </c>
      <c r="D10" s="9">
        <f>SUM(MemberOfAssemblyAssemblyDistrict116General[Total Votes by Party])</f>
        <v>54662</v>
      </c>
      <c r="E10" s="11"/>
    </row>
  </sheetData>
  <pageMargins left="0.7" right="0.7" top="0.75" bottom="0.75" header="0.3" footer="0.3"/>
  <tableParts count="1">
    <tablePart r:id="rId1"/>
  </tableParts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FD12-9358-4655-9AAE-035B36C660CB}">
  <dimension ref="A1:G9"/>
  <sheetViews>
    <sheetView workbookViewId="0">
      <selection activeCell="C9" sqref="C9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30" t="s">
        <v>566</v>
      </c>
    </row>
    <row r="2" spans="1:7" ht="27.6" x14ac:dyDescent="0.25">
      <c r="A2" s="5" t="s">
        <v>5</v>
      </c>
      <c r="B2" s="6" t="s">
        <v>7</v>
      </c>
      <c r="C2" s="6" t="s">
        <v>561</v>
      </c>
      <c r="D2" s="6" t="s">
        <v>56</v>
      </c>
      <c r="E2" s="6" t="s">
        <v>53</v>
      </c>
      <c r="F2" s="7" t="s">
        <v>3</v>
      </c>
      <c r="G2" s="8" t="s">
        <v>4</v>
      </c>
    </row>
    <row r="3" spans="1:7" ht="13.8" x14ac:dyDescent="0.3">
      <c r="A3" s="1" t="s">
        <v>567</v>
      </c>
      <c r="B3" s="2">
        <v>9323</v>
      </c>
      <c r="C3" s="2">
        <v>10495</v>
      </c>
      <c r="D3" s="2">
        <v>12401</v>
      </c>
      <c r="E3" s="2">
        <v>4175</v>
      </c>
      <c r="F3" s="9">
        <f>SUM(MemberOfAssemblyAssemblyDistrict117General[[#This Row],[Lewis County Vote Results]:[Part of St. Lawrence County Vote Results]])</f>
        <v>36394</v>
      </c>
      <c r="G3" s="10">
        <f>SUM(MemberOfAssemblyAssemblyDistrict117General[[#This Row],[Total Votes by Party]],F4,F5)</f>
        <v>43933</v>
      </c>
    </row>
    <row r="4" spans="1:7" ht="13.8" x14ac:dyDescent="0.3">
      <c r="A4" s="1" t="s">
        <v>568</v>
      </c>
      <c r="B4" s="2">
        <v>995</v>
      </c>
      <c r="C4" s="2">
        <v>1259</v>
      </c>
      <c r="D4" s="2">
        <v>1511</v>
      </c>
      <c r="E4" s="2">
        <v>465</v>
      </c>
      <c r="F4" s="9">
        <f>SUM(MemberOfAssemblyAssemblyDistrict117General[[#This Row],[Lewis County Vote Results]:[Part of St. Lawrence County Vote Results]])</f>
        <v>4230</v>
      </c>
      <c r="G4" s="11"/>
    </row>
    <row r="5" spans="1:7" ht="13.8" x14ac:dyDescent="0.3">
      <c r="A5" s="1" t="s">
        <v>569</v>
      </c>
      <c r="B5" s="2">
        <v>608</v>
      </c>
      <c r="C5" s="2">
        <v>911</v>
      </c>
      <c r="D5" s="2">
        <v>1443</v>
      </c>
      <c r="E5" s="2">
        <v>347</v>
      </c>
      <c r="F5" s="9">
        <f>SUM(MemberOfAssemblyAssemblyDistrict117General[[#This Row],[Lewis County Vote Results]:[Part of St. Lawrence County Vote Results]])</f>
        <v>3309</v>
      </c>
      <c r="G5" s="11"/>
    </row>
    <row r="6" spans="1:7" ht="13.8" x14ac:dyDescent="0.3">
      <c r="A6" s="3" t="s">
        <v>0</v>
      </c>
      <c r="B6" s="2">
        <v>2058</v>
      </c>
      <c r="C6" s="2">
        <v>2741</v>
      </c>
      <c r="D6" s="2">
        <v>4696</v>
      </c>
      <c r="E6" s="2">
        <v>1329</v>
      </c>
      <c r="F6" s="9">
        <f>SUM(MemberOfAssemblyAssemblyDistrict117General[[#This Row],[Lewis County Vote Results]:[Part of St. Lawrence County Vote Results]])</f>
        <v>10824</v>
      </c>
      <c r="G6" s="11"/>
    </row>
    <row r="7" spans="1:7" ht="13.8" x14ac:dyDescent="0.3">
      <c r="A7" s="3" t="s">
        <v>1</v>
      </c>
      <c r="B7" s="2">
        <v>1</v>
      </c>
      <c r="C7" s="2">
        <v>6</v>
      </c>
      <c r="D7" s="2">
        <v>1</v>
      </c>
      <c r="E7" s="2">
        <v>0</v>
      </c>
      <c r="F7" s="9">
        <f>SUM(MemberOfAssemblyAssemblyDistrict117General[[#This Row],[Lewis County Vote Results]:[Part of St. Lawrence County Vote Results]])</f>
        <v>8</v>
      </c>
      <c r="G7" s="11"/>
    </row>
    <row r="8" spans="1:7" ht="13.8" x14ac:dyDescent="0.3">
      <c r="A8" s="3" t="s">
        <v>6</v>
      </c>
      <c r="B8" s="2">
        <v>51</v>
      </c>
      <c r="C8" s="2">
        <v>55</v>
      </c>
      <c r="D8" s="2">
        <v>92</v>
      </c>
      <c r="E8" s="2">
        <v>11</v>
      </c>
      <c r="F8" s="9">
        <f>SUM(MemberOfAssemblyAssemblyDistrict117General[[#This Row],[Lewis County Vote Results]:[Part of St. Lawrence County Vote Results]])</f>
        <v>209</v>
      </c>
      <c r="G8" s="11"/>
    </row>
    <row r="9" spans="1:7" ht="13.8" x14ac:dyDescent="0.3">
      <c r="A9" s="13" t="s">
        <v>2</v>
      </c>
      <c r="B9" s="2">
        <f>SUM(MemberOfAssemblyAssemblyDistrict117General[Lewis County Vote Results])</f>
        <v>13036</v>
      </c>
      <c r="C9" s="2">
        <f>SUM(MemberOfAssemblyAssemblyDistrict117General[Part of Jefferson County Vote Results])</f>
        <v>15467</v>
      </c>
      <c r="D9" s="2">
        <f>SUM(MemberOfAssemblyAssemblyDistrict117General[Part of Oneida County Vote Results])</f>
        <v>20144</v>
      </c>
      <c r="E9" s="2">
        <f>SUM(MemberOfAssemblyAssemblyDistrict117General[Part of St. Lawrence County Vote Results])</f>
        <v>6327</v>
      </c>
      <c r="F9" s="9">
        <f>SUM(MemberOfAssemblyAssemblyDistrict117General[Total Votes by Party])</f>
        <v>54974</v>
      </c>
      <c r="G9" s="11"/>
    </row>
  </sheetData>
  <pageMargins left="0.7" right="0.7" top="0.75" bottom="0.75" header="0.3" footer="0.3"/>
  <tableParts count="1">
    <tablePart r:id="rId1"/>
  </tableParts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6F7D-25A3-42CC-A6C6-F493436D31B6}">
  <dimension ref="A1:H10"/>
  <sheetViews>
    <sheetView workbookViewId="0">
      <selection activeCell="D18" sqref="D18"/>
    </sheetView>
  </sheetViews>
  <sheetFormatPr defaultRowHeight="13.2" x14ac:dyDescent="0.25"/>
  <cols>
    <col min="1" max="1" width="25.5546875" customWidth="1"/>
    <col min="2" max="8" width="20.5546875" customWidth="1"/>
    <col min="9" max="10" width="23.5546875" customWidth="1"/>
  </cols>
  <sheetData>
    <row r="1" spans="1:8" ht="18" x14ac:dyDescent="0.25">
      <c r="A1" s="30" t="s">
        <v>570</v>
      </c>
    </row>
    <row r="2" spans="1:8" ht="27.6" x14ac:dyDescent="0.25">
      <c r="A2" s="5" t="s">
        <v>5</v>
      </c>
      <c r="B2" s="6" t="s">
        <v>37</v>
      </c>
      <c r="C2" s="6" t="s">
        <v>38</v>
      </c>
      <c r="D2" s="6" t="s">
        <v>40</v>
      </c>
      <c r="E2" s="6" t="s">
        <v>56</v>
      </c>
      <c r="F2" s="6" t="s">
        <v>53</v>
      </c>
      <c r="G2" s="7" t="s">
        <v>3</v>
      </c>
      <c r="H2" s="8" t="s">
        <v>4</v>
      </c>
    </row>
    <row r="3" spans="1:8" ht="13.8" x14ac:dyDescent="0.3">
      <c r="A3" s="1" t="s">
        <v>571</v>
      </c>
      <c r="B3" s="2">
        <v>16046</v>
      </c>
      <c r="C3" s="2">
        <v>2269</v>
      </c>
      <c r="D3" s="2">
        <v>9041</v>
      </c>
      <c r="E3" s="2">
        <v>7997</v>
      </c>
      <c r="F3" s="2">
        <v>5089</v>
      </c>
      <c r="G3" s="9">
        <f>SUM(MemberOfAssemblyAssemblyDistrict118General[[#This Row],[Fulton County Vote Results]:[Part of St. Lawrence County Vote Results]])</f>
        <v>40442</v>
      </c>
      <c r="H3" s="10">
        <f>SUM(MemberOfAssemblyAssemblyDistrict118General[[#This Row],[Total Votes by Party]],G4,G5,G6)</f>
        <v>47999</v>
      </c>
    </row>
    <row r="4" spans="1:8" ht="13.8" x14ac:dyDescent="0.3">
      <c r="A4" s="1" t="s">
        <v>572</v>
      </c>
      <c r="B4" s="2">
        <v>1775</v>
      </c>
      <c r="C4" s="2">
        <v>234</v>
      </c>
      <c r="D4" s="2">
        <v>1130</v>
      </c>
      <c r="E4" s="2">
        <v>861</v>
      </c>
      <c r="F4" s="2">
        <v>586</v>
      </c>
      <c r="G4" s="9">
        <f>SUM(MemberOfAssemblyAssemblyDistrict118General[[#This Row],[Fulton County Vote Results]:[Part of St. Lawrence County Vote Results]])</f>
        <v>4586</v>
      </c>
      <c r="H4" s="11"/>
    </row>
    <row r="5" spans="1:8" ht="13.8" x14ac:dyDescent="0.3">
      <c r="A5" s="1" t="s">
        <v>573</v>
      </c>
      <c r="B5" s="2">
        <v>833</v>
      </c>
      <c r="C5" s="2">
        <v>150</v>
      </c>
      <c r="D5" s="2">
        <v>524</v>
      </c>
      <c r="E5" s="2">
        <v>805</v>
      </c>
      <c r="F5" s="2">
        <v>543</v>
      </c>
      <c r="G5" s="9">
        <f>SUM(MemberOfAssemblyAssemblyDistrict118General[[#This Row],[Fulton County Vote Results]:[Part of St. Lawrence County Vote Results]])</f>
        <v>2855</v>
      </c>
      <c r="H5" s="11"/>
    </row>
    <row r="6" spans="1:8" ht="13.8" x14ac:dyDescent="0.3">
      <c r="A6" s="1" t="s">
        <v>574</v>
      </c>
      <c r="B6" s="2">
        <v>43</v>
      </c>
      <c r="C6" s="2">
        <v>9</v>
      </c>
      <c r="D6" s="2">
        <v>25</v>
      </c>
      <c r="E6" s="2">
        <v>23</v>
      </c>
      <c r="F6" s="2">
        <v>16</v>
      </c>
      <c r="G6" s="9">
        <f>SUM(MemberOfAssemblyAssemblyDistrict118General[[#This Row],[Fulton County Vote Results]:[Part of St. Lawrence County Vote Results]])</f>
        <v>116</v>
      </c>
      <c r="H6" s="11"/>
    </row>
    <row r="7" spans="1:8" ht="13.8" x14ac:dyDescent="0.3">
      <c r="A7" s="3" t="s">
        <v>0</v>
      </c>
      <c r="B7" s="2">
        <v>5317</v>
      </c>
      <c r="C7" s="2">
        <v>816</v>
      </c>
      <c r="D7" s="2">
        <v>3364</v>
      </c>
      <c r="E7" s="2">
        <v>2250</v>
      </c>
      <c r="F7" s="2">
        <v>2519</v>
      </c>
      <c r="G7" s="9">
        <f>SUM(MemberOfAssemblyAssemblyDistrict118General[[#This Row],[Fulton County Vote Results]:[Part of St. Lawrence County Vote Results]])</f>
        <v>14266</v>
      </c>
      <c r="H7" s="11"/>
    </row>
    <row r="8" spans="1:8" ht="13.8" x14ac:dyDescent="0.3">
      <c r="A8" s="3" t="s">
        <v>1</v>
      </c>
      <c r="B8" s="2">
        <v>2</v>
      </c>
      <c r="C8" s="2">
        <v>0</v>
      </c>
      <c r="D8" s="2">
        <v>23</v>
      </c>
      <c r="E8" s="2">
        <v>1</v>
      </c>
      <c r="F8" s="2">
        <v>0</v>
      </c>
      <c r="G8" s="9">
        <f>SUM(MemberOfAssemblyAssemblyDistrict118General[[#This Row],[Fulton County Vote Results]:[Part of St. Lawrence County Vote Results]])</f>
        <v>26</v>
      </c>
      <c r="H8" s="11"/>
    </row>
    <row r="9" spans="1:8" ht="13.8" x14ac:dyDescent="0.3">
      <c r="A9" s="3" t="s">
        <v>6</v>
      </c>
      <c r="B9" s="2">
        <v>56</v>
      </c>
      <c r="C9" s="2">
        <v>11</v>
      </c>
      <c r="D9" s="2">
        <v>49</v>
      </c>
      <c r="E9" s="2">
        <v>35</v>
      </c>
      <c r="F9" s="2">
        <v>46</v>
      </c>
      <c r="G9" s="9">
        <f>SUM(MemberOfAssemblyAssemblyDistrict118General[[#This Row],[Fulton County Vote Results]:[Part of St. Lawrence County Vote Results]])</f>
        <v>197</v>
      </c>
      <c r="H9" s="11"/>
    </row>
    <row r="10" spans="1:8" ht="13.8" x14ac:dyDescent="0.3">
      <c r="A10" s="13" t="s">
        <v>2</v>
      </c>
      <c r="B10" s="2">
        <f>SUM(MemberOfAssemblyAssemblyDistrict118General[Fulton County Vote Results])</f>
        <v>24072</v>
      </c>
      <c r="C10" s="2">
        <f>SUM(MemberOfAssemblyAssemblyDistrict118General[Hamilton County Vote Results])</f>
        <v>3489</v>
      </c>
      <c r="D10" s="2">
        <f>SUBTOTAL(109,D3:D9)</f>
        <v>14156</v>
      </c>
      <c r="E10" s="2">
        <f>SUM(MemberOfAssemblyAssemblyDistrict118General[Part of Oneida County Vote Results])</f>
        <v>11972</v>
      </c>
      <c r="F10" s="2">
        <f>SUM(MemberOfAssemblyAssemblyDistrict118General[Part of St. Lawrence County Vote Results])</f>
        <v>8799</v>
      </c>
      <c r="G10" s="9">
        <f>SUM(MemberOfAssemblyAssemblyDistrict118General[Total Votes by Party])</f>
        <v>62488</v>
      </c>
      <c r="H10" s="11"/>
    </row>
  </sheetData>
  <pageMargins left="0.7" right="0.7" top="0.75" bottom="0.75" header="0.3" footer="0.3"/>
  <tableParts count="1">
    <tablePart r:id="rId1"/>
  </tableParts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E396-8056-4C19-8DEB-8975DA3F2ECC}">
  <dimension ref="A1:E10"/>
  <sheetViews>
    <sheetView workbookViewId="0">
      <selection activeCell="D14" sqref="D14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575</v>
      </c>
    </row>
    <row r="2" spans="1:5" ht="27.6" x14ac:dyDescent="0.25">
      <c r="A2" s="5" t="s">
        <v>5</v>
      </c>
      <c r="B2" s="6" t="s">
        <v>40</v>
      </c>
      <c r="C2" s="6" t="s">
        <v>56</v>
      </c>
      <c r="D2" s="7" t="s">
        <v>3</v>
      </c>
      <c r="E2" s="8" t="s">
        <v>4</v>
      </c>
    </row>
    <row r="3" spans="1:5" ht="13.8" x14ac:dyDescent="0.3">
      <c r="A3" s="1" t="s">
        <v>576</v>
      </c>
      <c r="B3" s="2">
        <v>1530</v>
      </c>
      <c r="C3" s="2">
        <v>23645</v>
      </c>
      <c r="D3" s="9">
        <f>SUM(MemberOfAssemblyAssemblyDistrict119General[[#This Row],[Part of Herkimer County Vote Results]:[Part of Oneida County Vote Results]])</f>
        <v>25175</v>
      </c>
      <c r="E3" s="10">
        <f>SUM(MemberOfAssemblyAssemblyDistrict119General[[#This Row],[Total Votes by Party]],D5)</f>
        <v>27146</v>
      </c>
    </row>
    <row r="4" spans="1:5" ht="13.8" x14ac:dyDescent="0.3">
      <c r="A4" s="1" t="s">
        <v>577</v>
      </c>
      <c r="B4" s="2">
        <v>1889</v>
      </c>
      <c r="C4" s="2">
        <v>18008</v>
      </c>
      <c r="D4" s="9">
        <f>SUM(MemberOfAssemblyAssemblyDistrict119General[[#This Row],[Part of Herkimer County Vote Results]:[Part of Oneida County Vote Results]])</f>
        <v>19897</v>
      </c>
      <c r="E4" s="10">
        <f>SUM(MemberOfAssemblyAssemblyDistrict119General[[#This Row],[Total Votes by Party]])</f>
        <v>19897</v>
      </c>
    </row>
    <row r="5" spans="1:5" ht="13.8" x14ac:dyDescent="0.3">
      <c r="A5" s="1" t="s">
        <v>578</v>
      </c>
      <c r="B5" s="2">
        <v>93</v>
      </c>
      <c r="C5" s="2">
        <v>1878</v>
      </c>
      <c r="D5" s="9">
        <f>SUM(MemberOfAssemblyAssemblyDistrict119General[[#This Row],[Part of Herkimer County Vote Results]:[Part of Oneida County Vote Results]])</f>
        <v>1971</v>
      </c>
      <c r="E5" s="11"/>
    </row>
    <row r="6" spans="1:5" ht="13.8" x14ac:dyDescent="0.3">
      <c r="A6" s="1" t="s">
        <v>579</v>
      </c>
      <c r="B6" s="2">
        <v>5</v>
      </c>
      <c r="C6" s="2">
        <v>268</v>
      </c>
      <c r="D6" s="9">
        <f>SUM(MemberOfAssemblyAssemblyDistrict119General[[#This Row],[Part of Herkimer County Vote Results]:[Part of Oneida County Vote Results]])</f>
        <v>273</v>
      </c>
      <c r="E6" s="10">
        <f>SUM(MemberOfAssemblyAssemblyDistrict119General[[#This Row],[Total Votes by Party]])</f>
        <v>273</v>
      </c>
    </row>
    <row r="7" spans="1:5" ht="13.8" x14ac:dyDescent="0.3">
      <c r="A7" s="3" t="s">
        <v>0</v>
      </c>
      <c r="B7" s="2">
        <v>236</v>
      </c>
      <c r="C7" s="2">
        <v>2737</v>
      </c>
      <c r="D7" s="9">
        <f>SUM(MemberOfAssemblyAssemblyDistrict119General[[#This Row],[Part of Herkimer County Vote Results]:[Part of Oneida County Vote Results]])</f>
        <v>2973</v>
      </c>
      <c r="E7" s="11"/>
    </row>
    <row r="8" spans="1:5" ht="13.8" x14ac:dyDescent="0.3">
      <c r="A8" s="3" t="s">
        <v>1</v>
      </c>
      <c r="B8" s="2">
        <v>5</v>
      </c>
      <c r="C8" s="2">
        <v>7</v>
      </c>
      <c r="D8" s="9">
        <f>SUM(MemberOfAssemblyAssemblyDistrict119General[[#This Row],[Part of Herkimer County Vote Results]:[Part of Oneida County Vote Results]])</f>
        <v>12</v>
      </c>
      <c r="E8" s="11"/>
    </row>
    <row r="9" spans="1:5" ht="13.8" x14ac:dyDescent="0.3">
      <c r="A9" s="3" t="s">
        <v>6</v>
      </c>
      <c r="B9" s="2">
        <v>0</v>
      </c>
      <c r="C9" s="2">
        <v>20</v>
      </c>
      <c r="D9" s="9">
        <f>SUM(MemberOfAssemblyAssemblyDistrict119General[[#This Row],[Part of Herkimer County Vote Results]:[Part of Oneida County Vote Results]])</f>
        <v>20</v>
      </c>
      <c r="E9" s="11"/>
    </row>
    <row r="10" spans="1:5" ht="13.8" x14ac:dyDescent="0.3">
      <c r="A10" s="13" t="s">
        <v>2</v>
      </c>
      <c r="B10" s="2">
        <f>SUM(MemberOfAssemblyAssemblyDistrict119General[Part of Herkimer County Vote Results])</f>
        <v>3758</v>
      </c>
      <c r="C10" s="2">
        <f>SUM(MemberOfAssemblyAssemblyDistrict119General[Part of Oneida County Vote Results])</f>
        <v>46563</v>
      </c>
      <c r="D10" s="9">
        <f>SUM(MemberOfAssemblyAssemblyDistrict119General[Total Votes by Party])</f>
        <v>50321</v>
      </c>
      <c r="E10" s="1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2C0E-6154-4015-826E-335529B58F00}">
  <dimension ref="A1:D11"/>
  <sheetViews>
    <sheetView workbookViewId="0">
      <selection activeCell="B3" sqref="B3: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125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126</v>
      </c>
      <c r="B3" s="21">
        <v>30870</v>
      </c>
      <c r="C3" s="9">
        <f>MemberOfAssemblyAssemblyDistrict12General[[#This Row],[Part of Suffolk County Vote Results]]</f>
        <v>30870</v>
      </c>
      <c r="D3" s="10">
        <f>SUM(MemberOfAssemblyAssemblyDistrict12General[[#This Row],[Total Votes by Party]],C6)</f>
        <v>32976</v>
      </c>
    </row>
    <row r="4" spans="1:4" ht="13.8" x14ac:dyDescent="0.3">
      <c r="A4" s="1" t="s">
        <v>127</v>
      </c>
      <c r="B4" s="21">
        <v>30658</v>
      </c>
      <c r="C4" s="9">
        <f>MemberOfAssemblyAssemblyDistrict12General[[#This Row],[Part of Suffolk County Vote Results]]</f>
        <v>30658</v>
      </c>
      <c r="D4" s="10">
        <f>SUM(MemberOfAssemblyAssemblyDistrict12General[[#This Row],[Total Votes by Party]],C5,C7)</f>
        <v>35172</v>
      </c>
    </row>
    <row r="5" spans="1:4" ht="13.8" x14ac:dyDescent="0.3">
      <c r="A5" s="1" t="s">
        <v>128</v>
      </c>
      <c r="B5" s="21">
        <v>3737</v>
      </c>
      <c r="C5" s="9">
        <f>MemberOfAssemblyAssemblyDistrict12General[[#This Row],[Part of Suffolk County Vote Results]]</f>
        <v>3737</v>
      </c>
      <c r="D5" s="11"/>
    </row>
    <row r="6" spans="1:4" ht="13.8" x14ac:dyDescent="0.3">
      <c r="A6" s="1" t="s">
        <v>129</v>
      </c>
      <c r="B6" s="21">
        <v>2106</v>
      </c>
      <c r="C6" s="9">
        <f>MemberOfAssemblyAssemblyDistrict12General[[#This Row],[Part of Suffolk County Vote Results]]</f>
        <v>2106</v>
      </c>
      <c r="D6" s="11"/>
    </row>
    <row r="7" spans="1:4" ht="13.8" x14ac:dyDescent="0.3">
      <c r="A7" s="1" t="s">
        <v>130</v>
      </c>
      <c r="B7" s="21">
        <v>777</v>
      </c>
      <c r="C7" s="9">
        <f>MemberOfAssemblyAssemblyDistrict12General[[#This Row],[Part of Suffolk County Vote Results]]</f>
        <v>777</v>
      </c>
      <c r="D7" s="11"/>
    </row>
    <row r="8" spans="1:4" ht="13.8" x14ac:dyDescent="0.3">
      <c r="A8" s="3" t="s">
        <v>0</v>
      </c>
      <c r="B8" s="21">
        <v>5434</v>
      </c>
      <c r="C8" s="9">
        <f>MemberOfAssemblyAssemblyDistrict12General[[#This Row],[Part of Suffolk County Vote Results]]</f>
        <v>5434</v>
      </c>
      <c r="D8" s="11"/>
    </row>
    <row r="9" spans="1:4" ht="13.8" x14ac:dyDescent="0.3">
      <c r="A9" s="3" t="s">
        <v>1</v>
      </c>
      <c r="B9" s="21">
        <v>33</v>
      </c>
      <c r="C9" s="9">
        <f>MemberOfAssemblyAssemblyDistrict12General[[#This Row],[Part of Suffolk County Vote Results]]</f>
        <v>33</v>
      </c>
      <c r="D9" s="11"/>
    </row>
    <row r="10" spans="1:4" ht="13.8" x14ac:dyDescent="0.3">
      <c r="A10" s="3" t="s">
        <v>6</v>
      </c>
      <c r="B10" s="21">
        <v>16</v>
      </c>
      <c r="C10" s="9">
        <f>MemberOfAssemblyAssemblyDistrict12General[[#This Row],[Part of Suffolk County Vote Results]]</f>
        <v>16</v>
      </c>
      <c r="D10" s="11"/>
    </row>
    <row r="11" spans="1:4" ht="13.8" x14ac:dyDescent="0.3">
      <c r="A11" s="13" t="s">
        <v>2</v>
      </c>
      <c r="B11" s="21">
        <f>SUM(MemberOfAssemblyAssemblyDistrict12General[Part of Suffolk County Vote Results])</f>
        <v>73631</v>
      </c>
      <c r="C11" s="9">
        <f>SUM(MemberOfAssemblyAssemblyDistrict12General[Total Votes by Party])</f>
        <v>73631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74AB-CB41-4E20-8B76-F584ABC07FBF}">
  <dimension ref="A1:F10"/>
  <sheetViews>
    <sheetView workbookViewId="0">
      <selection activeCell="C3" sqref="C3:C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580</v>
      </c>
    </row>
    <row r="2" spans="1:6" ht="27.6" x14ac:dyDescent="0.25">
      <c r="A2" s="5" t="s">
        <v>5</v>
      </c>
      <c r="B2" s="6" t="s">
        <v>561</v>
      </c>
      <c r="C2" s="6" t="s">
        <v>58</v>
      </c>
      <c r="D2" s="6" t="s">
        <v>41</v>
      </c>
      <c r="E2" s="7" t="s">
        <v>3</v>
      </c>
      <c r="F2" s="8" t="s">
        <v>4</v>
      </c>
    </row>
    <row r="3" spans="1:6" ht="13.8" x14ac:dyDescent="0.3">
      <c r="A3" s="1" t="s">
        <v>581</v>
      </c>
      <c r="B3" s="2">
        <v>354</v>
      </c>
      <c r="C3" s="21">
        <v>5421</v>
      </c>
      <c r="D3" s="2">
        <v>12744</v>
      </c>
      <c r="E3" s="9">
        <f>SUM(MemberOfAssemblyAssemblyDistrict120General[[#This Row],[Part of Jefferson County Vote Results]:[Part of Oswego County Vote Results]])</f>
        <v>18519</v>
      </c>
      <c r="F3" s="10">
        <f>SUM(MemberOfAssemblyAssemblyDistrict120General[[#This Row],[Total Votes by Party]])</f>
        <v>18519</v>
      </c>
    </row>
    <row r="4" spans="1:6" ht="13.8" x14ac:dyDescent="0.3">
      <c r="A4" s="1" t="s">
        <v>582</v>
      </c>
      <c r="B4" s="2">
        <v>1106</v>
      </c>
      <c r="C4" s="21">
        <v>6981</v>
      </c>
      <c r="D4" s="2">
        <v>29136</v>
      </c>
      <c r="E4" s="9">
        <f>SUM(MemberOfAssemblyAssemblyDistrict120General[[#This Row],[Part of Jefferson County Vote Results]:[Part of Oswego County Vote Results]])</f>
        <v>37223</v>
      </c>
      <c r="F4" s="10">
        <f>SUM(MemberOfAssemblyAssemblyDistrict120General[[#This Row],[Total Votes by Party]],E5,E6)</f>
        <v>43412</v>
      </c>
    </row>
    <row r="5" spans="1:6" ht="13.8" x14ac:dyDescent="0.3">
      <c r="A5" s="1" t="s">
        <v>583</v>
      </c>
      <c r="B5" s="2">
        <v>79</v>
      </c>
      <c r="C5" s="21">
        <v>1067</v>
      </c>
      <c r="D5" s="2">
        <v>3547</v>
      </c>
      <c r="E5" s="9">
        <f>SUM(MemberOfAssemblyAssemblyDistrict120General[[#This Row],[Part of Jefferson County Vote Results]:[Part of Oswego County Vote Results]])</f>
        <v>4693</v>
      </c>
      <c r="F5" s="11"/>
    </row>
    <row r="6" spans="1:6" ht="13.8" x14ac:dyDescent="0.3">
      <c r="A6" s="1" t="s">
        <v>584</v>
      </c>
      <c r="B6" s="2">
        <v>38</v>
      </c>
      <c r="C6" s="21">
        <v>278</v>
      </c>
      <c r="D6" s="2">
        <v>1180</v>
      </c>
      <c r="E6" s="9">
        <f>SUM(MemberOfAssemblyAssemblyDistrict120General[[#This Row],[Part of Jefferson County Vote Results]:[Part of Oswego County Vote Results]])</f>
        <v>1496</v>
      </c>
      <c r="F6" s="11"/>
    </row>
    <row r="7" spans="1:6" ht="13.8" x14ac:dyDescent="0.3">
      <c r="A7" s="3" t="s">
        <v>0</v>
      </c>
      <c r="B7" s="2">
        <v>77</v>
      </c>
      <c r="C7" s="21">
        <v>600</v>
      </c>
      <c r="D7" s="2">
        <v>2398</v>
      </c>
      <c r="E7" s="9">
        <f>SUM(MemberOfAssemblyAssemblyDistrict120General[[#This Row],[Part of Jefferson County Vote Results]:[Part of Oswego County Vote Results]])</f>
        <v>3075</v>
      </c>
      <c r="F7" s="11"/>
    </row>
    <row r="8" spans="1:6" ht="13.8" x14ac:dyDescent="0.3">
      <c r="A8" s="3" t="s">
        <v>1</v>
      </c>
      <c r="B8" s="2">
        <v>0</v>
      </c>
      <c r="C8" s="21">
        <v>0</v>
      </c>
      <c r="D8" s="2">
        <v>39</v>
      </c>
      <c r="E8" s="9">
        <f>SUM(MemberOfAssemblyAssemblyDistrict120General[[#This Row],[Part of Jefferson County Vote Results]:[Part of Oswego County Vote Results]])</f>
        <v>39</v>
      </c>
      <c r="F8" s="11"/>
    </row>
    <row r="9" spans="1:6" ht="13.8" x14ac:dyDescent="0.3">
      <c r="A9" s="3" t="s">
        <v>6</v>
      </c>
      <c r="B9" s="2">
        <v>1</v>
      </c>
      <c r="C9" s="21">
        <v>6</v>
      </c>
      <c r="D9" s="2">
        <v>44</v>
      </c>
      <c r="E9" s="9">
        <f>SUM(MemberOfAssemblyAssemblyDistrict120General[[#This Row],[Part of Jefferson County Vote Results]:[Part of Oswego County Vote Results]])</f>
        <v>51</v>
      </c>
      <c r="F9" s="11"/>
    </row>
    <row r="10" spans="1:6" ht="13.8" x14ac:dyDescent="0.3">
      <c r="A10" s="13" t="s">
        <v>2</v>
      </c>
      <c r="B10" s="2">
        <f>SUM(MemberOfAssemblyAssemblyDistrict120General[Part of Jefferson County Vote Results])</f>
        <v>1655</v>
      </c>
      <c r="C10" s="21">
        <f>SUM(MemberOfAssemblyAssemblyDistrict120General[Part of Onondaga County Vote Results])</f>
        <v>14353</v>
      </c>
      <c r="D10" s="2">
        <f>SUM(MemberOfAssemblyAssemblyDistrict120General[Part of Oswego County Vote Results])</f>
        <v>49088</v>
      </c>
      <c r="E10" s="9">
        <f>SUM(MemberOfAssemblyAssemblyDistrict120General[Total Votes by Party])</f>
        <v>65096</v>
      </c>
      <c r="F10" s="11"/>
    </row>
  </sheetData>
  <pageMargins left="0.7" right="0.7" top="0.75" bottom="0.75" header="0.3" footer="0.3"/>
  <tableParts count="1">
    <tablePart r:id="rId1"/>
  </tableParts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2409-CA7D-48D3-8F4B-B54F3433DC49}">
  <dimension ref="A1:F12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585</v>
      </c>
    </row>
    <row r="2" spans="1:6" ht="27.6" x14ac:dyDescent="0.25">
      <c r="A2" s="5" t="s">
        <v>5</v>
      </c>
      <c r="B2" s="6" t="s">
        <v>8</v>
      </c>
      <c r="C2" s="6" t="s">
        <v>56</v>
      </c>
      <c r="D2" s="6" t="s">
        <v>470</v>
      </c>
      <c r="E2" s="7" t="s">
        <v>3</v>
      </c>
      <c r="F2" s="8" t="s">
        <v>4</v>
      </c>
    </row>
    <row r="3" spans="1:6" ht="13.8" x14ac:dyDescent="0.3">
      <c r="A3" s="1" t="s">
        <v>586</v>
      </c>
      <c r="B3" s="2">
        <v>11490</v>
      </c>
      <c r="C3" s="2">
        <v>2052</v>
      </c>
      <c r="D3" s="2">
        <v>8046</v>
      </c>
      <c r="E3" s="9">
        <f>SUM(MemberOfAssemblyAssemblyDistrict121General[[#This Row],[Madison County Vote Results]:[Part of Otsego County Vote Results]])</f>
        <v>21588</v>
      </c>
      <c r="F3" s="10">
        <f>SUM(MemberOfAssemblyAssemblyDistrict121General[[#This Row],[Total Votes by Party]])</f>
        <v>21588</v>
      </c>
    </row>
    <row r="4" spans="1:6" ht="13.8" x14ac:dyDescent="0.3">
      <c r="A4" s="1" t="s">
        <v>587</v>
      </c>
      <c r="B4" s="2">
        <v>17338</v>
      </c>
      <c r="C4" s="2">
        <v>4455</v>
      </c>
      <c r="D4" s="2">
        <v>8319</v>
      </c>
      <c r="E4" s="9">
        <f>SUM(MemberOfAssemblyAssemblyDistrict121General[[#This Row],[Madison County Vote Results]:[Part of Otsego County Vote Results]])</f>
        <v>30112</v>
      </c>
      <c r="F4" s="10">
        <f>SUM(MemberOfAssemblyAssemblyDistrict121General[[#This Row],[Total Votes by Party]],E5,E8)</f>
        <v>34019</v>
      </c>
    </row>
    <row r="5" spans="1:6" ht="13.8" x14ac:dyDescent="0.3">
      <c r="A5" s="3" t="s">
        <v>588</v>
      </c>
      <c r="B5" s="2">
        <v>1691</v>
      </c>
      <c r="C5" s="2">
        <v>524</v>
      </c>
      <c r="D5" s="2">
        <v>568</v>
      </c>
      <c r="E5" s="9">
        <f>SUM(MemberOfAssemblyAssemblyDistrict121General[[#This Row],[Madison County Vote Results]:[Part of Otsego County Vote Results]])</f>
        <v>2783</v>
      </c>
      <c r="F5" s="14"/>
    </row>
    <row r="6" spans="1:6" ht="13.8" x14ac:dyDescent="0.3">
      <c r="A6" s="3" t="s">
        <v>589</v>
      </c>
      <c r="B6" s="2">
        <v>993</v>
      </c>
      <c r="C6" s="2">
        <v>213</v>
      </c>
      <c r="D6" s="2">
        <v>298</v>
      </c>
      <c r="E6" s="9">
        <f>SUM(MemberOfAssemblyAssemblyDistrict121General[[#This Row],[Madison County Vote Results]:[Part of Otsego County Vote Results]])</f>
        <v>1504</v>
      </c>
      <c r="F6" s="10">
        <f>SUM(MemberOfAssemblyAssemblyDistrict121General[[#This Row],[Total Votes by Party]])</f>
        <v>1504</v>
      </c>
    </row>
    <row r="7" spans="1:6" ht="13.8" x14ac:dyDescent="0.3">
      <c r="A7" s="1" t="s">
        <v>590</v>
      </c>
      <c r="B7" s="2">
        <v>422</v>
      </c>
      <c r="C7" s="2">
        <v>98</v>
      </c>
      <c r="D7" s="2">
        <v>191</v>
      </c>
      <c r="E7" s="9">
        <f>SUM(MemberOfAssemblyAssemblyDistrict121General[[#This Row],[Madison County Vote Results]:[Part of Otsego County Vote Results]])</f>
        <v>711</v>
      </c>
      <c r="F7" s="10">
        <f>SUM(MemberOfAssemblyAssemblyDistrict121General[[#This Row],[Total Votes by Party]])</f>
        <v>711</v>
      </c>
    </row>
    <row r="8" spans="1:6" ht="13.8" x14ac:dyDescent="0.3">
      <c r="A8" s="1" t="s">
        <v>591</v>
      </c>
      <c r="B8" s="2">
        <v>701</v>
      </c>
      <c r="C8" s="2">
        <v>164</v>
      </c>
      <c r="D8" s="2">
        <v>259</v>
      </c>
      <c r="E8" s="9">
        <f>SUM(MemberOfAssemblyAssemblyDistrict121General[[#This Row],[Madison County Vote Results]:[Part of Otsego County Vote Results]])</f>
        <v>1124</v>
      </c>
      <c r="F8" s="11"/>
    </row>
    <row r="9" spans="1:6" ht="13.8" x14ac:dyDescent="0.3">
      <c r="A9" s="3" t="s">
        <v>0</v>
      </c>
      <c r="B9" s="2">
        <v>1501</v>
      </c>
      <c r="C9" s="2">
        <v>501</v>
      </c>
      <c r="D9" s="2">
        <v>995</v>
      </c>
      <c r="E9" s="9">
        <f>SUM(MemberOfAssemblyAssemblyDistrict121General[[#This Row],[Madison County Vote Results]:[Part of Otsego County Vote Results]])</f>
        <v>2997</v>
      </c>
      <c r="F9" s="11"/>
    </row>
    <row r="10" spans="1:6" ht="13.8" x14ac:dyDescent="0.3">
      <c r="A10" s="3" t="s">
        <v>1</v>
      </c>
      <c r="B10" s="2">
        <v>1</v>
      </c>
      <c r="C10" s="2">
        <v>4</v>
      </c>
      <c r="D10" s="2">
        <v>2</v>
      </c>
      <c r="E10" s="9">
        <f>SUM(MemberOfAssemblyAssemblyDistrict121General[[#This Row],[Madison County Vote Results]:[Part of Otsego County Vote Results]])</f>
        <v>7</v>
      </c>
      <c r="F10" s="11"/>
    </row>
    <row r="11" spans="1:6" ht="13.8" x14ac:dyDescent="0.3">
      <c r="A11" s="3" t="s">
        <v>6</v>
      </c>
      <c r="B11" s="2">
        <v>7</v>
      </c>
      <c r="C11" s="2">
        <v>1</v>
      </c>
      <c r="D11" s="2">
        <v>5</v>
      </c>
      <c r="E11" s="9">
        <f>SUM(MemberOfAssemblyAssemblyDistrict121General[[#This Row],[Madison County Vote Results]:[Part of Otsego County Vote Results]])</f>
        <v>13</v>
      </c>
      <c r="F11" s="11"/>
    </row>
    <row r="12" spans="1:6" ht="13.8" x14ac:dyDescent="0.3">
      <c r="A12" s="13" t="s">
        <v>2</v>
      </c>
      <c r="B12" s="2">
        <f>SUM(MemberOfAssemblyAssemblyDistrict121General[Madison County Vote Results])</f>
        <v>34144</v>
      </c>
      <c r="C12" s="2">
        <f>SUM(MemberOfAssemblyAssemblyDistrict121General[Part of Oneida County Vote Results])</f>
        <v>8012</v>
      </c>
      <c r="D12" s="2">
        <f>SUM(MemberOfAssemblyAssemblyDistrict121General[Part of Otsego County Vote Results])</f>
        <v>18683</v>
      </c>
      <c r="E12" s="9">
        <f>SUM(MemberOfAssemblyAssemblyDistrict121General[Total Votes by Party])</f>
        <v>60839</v>
      </c>
      <c r="F12" s="11"/>
    </row>
  </sheetData>
  <pageMargins left="0.7" right="0.7" top="0.75" bottom="0.75" header="0.3" footer="0.3"/>
  <tableParts count="1">
    <tablePart r:id="rId1"/>
  </tableParts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F50D-3823-4102-9581-39FBE6A7995F}">
  <dimension ref="A1:G10"/>
  <sheetViews>
    <sheetView workbookViewId="0">
      <selection activeCell="C19" sqref="C19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30" t="s">
        <v>592</v>
      </c>
    </row>
    <row r="2" spans="1:7" ht="27.6" x14ac:dyDescent="0.25">
      <c r="A2" s="5" t="s">
        <v>5</v>
      </c>
      <c r="B2" s="6" t="s">
        <v>31</v>
      </c>
      <c r="C2" s="6" t="s">
        <v>59</v>
      </c>
      <c r="D2" s="6" t="s">
        <v>50</v>
      </c>
      <c r="E2" s="6" t="s">
        <v>470</v>
      </c>
      <c r="F2" s="7" t="s">
        <v>3</v>
      </c>
      <c r="G2" s="8" t="s">
        <v>4</v>
      </c>
    </row>
    <row r="3" spans="1:7" ht="13.8" x14ac:dyDescent="0.3">
      <c r="A3" s="1" t="s">
        <v>593</v>
      </c>
      <c r="B3" s="2">
        <v>9411</v>
      </c>
      <c r="C3" s="2">
        <v>4558</v>
      </c>
      <c r="D3" s="2">
        <v>3453</v>
      </c>
      <c r="E3" s="2">
        <v>1204</v>
      </c>
      <c r="F3" s="9">
        <f>SUM(MemberOfAssemblyAssemblyDistrict122General[[#This Row],[Part of Broome County Vote Results]:[Part of Otsego County Vote Results]])</f>
        <v>18626</v>
      </c>
      <c r="G3" s="10">
        <f>SUM(MemberOfAssemblyAssemblyDistrict122General[[#This Row],[Total Votes by Party]])</f>
        <v>18626</v>
      </c>
    </row>
    <row r="4" spans="1:7" ht="13.8" x14ac:dyDescent="0.3">
      <c r="A4" s="1" t="s">
        <v>594</v>
      </c>
      <c r="B4" s="2">
        <v>18156</v>
      </c>
      <c r="C4" s="2">
        <v>10428</v>
      </c>
      <c r="D4" s="2">
        <v>6434</v>
      </c>
      <c r="E4" s="2">
        <v>2109</v>
      </c>
      <c r="F4" s="9">
        <f>SUM(MemberOfAssemblyAssemblyDistrict122General[[#This Row],[Part of Broome County Vote Results]:[Part of Otsego County Vote Results]])</f>
        <v>37127</v>
      </c>
      <c r="G4" s="10">
        <f>SUM(MemberOfAssemblyAssemblyDistrict122General[[#This Row],[Total Votes by Party]],F5,F6)</f>
        <v>41370</v>
      </c>
    </row>
    <row r="5" spans="1:7" ht="13.8" x14ac:dyDescent="0.3">
      <c r="A5" s="3" t="s">
        <v>595</v>
      </c>
      <c r="B5" s="2">
        <v>1342</v>
      </c>
      <c r="C5" s="2">
        <v>796</v>
      </c>
      <c r="D5" s="2">
        <v>294</v>
      </c>
      <c r="E5" s="2">
        <v>128</v>
      </c>
      <c r="F5" s="9">
        <f>SUM(MemberOfAssemblyAssemblyDistrict122General[[#This Row],[Part of Broome County Vote Results]:[Part of Otsego County Vote Results]])</f>
        <v>2560</v>
      </c>
      <c r="G5" s="14"/>
    </row>
    <row r="6" spans="1:7" ht="13.8" x14ac:dyDescent="0.3">
      <c r="A6" s="1" t="s">
        <v>596</v>
      </c>
      <c r="B6" s="2">
        <v>845</v>
      </c>
      <c r="C6" s="2">
        <v>623</v>
      </c>
      <c r="D6" s="2">
        <v>164</v>
      </c>
      <c r="E6" s="2">
        <v>51</v>
      </c>
      <c r="F6" s="9">
        <f>SUM(MemberOfAssemblyAssemblyDistrict122General[[#This Row],[Part of Broome County Vote Results]:[Part of Otsego County Vote Results]])</f>
        <v>1683</v>
      </c>
      <c r="G6" s="11"/>
    </row>
    <row r="7" spans="1:7" ht="13.8" x14ac:dyDescent="0.3">
      <c r="A7" s="3" t="s">
        <v>0</v>
      </c>
      <c r="B7" s="2">
        <v>2400</v>
      </c>
      <c r="C7" s="2">
        <v>831</v>
      </c>
      <c r="D7" s="2">
        <v>542</v>
      </c>
      <c r="E7" s="2">
        <v>207</v>
      </c>
      <c r="F7" s="9">
        <f>SUM(MemberOfAssemblyAssemblyDistrict122General[[#This Row],[Part of Broome County Vote Results]:[Part of Otsego County Vote Results]])</f>
        <v>3980</v>
      </c>
      <c r="G7" s="11"/>
    </row>
    <row r="8" spans="1:7" ht="13.8" x14ac:dyDescent="0.3">
      <c r="A8" s="3" t="s">
        <v>1</v>
      </c>
      <c r="B8" s="2">
        <v>20</v>
      </c>
      <c r="C8" s="2">
        <v>8</v>
      </c>
      <c r="D8" s="2">
        <v>0</v>
      </c>
      <c r="E8" s="2">
        <v>0</v>
      </c>
      <c r="F8" s="9">
        <f>SUM(MemberOfAssemblyAssemblyDistrict122General[[#This Row],[Part of Broome County Vote Results]:[Part of Otsego County Vote Results]])</f>
        <v>28</v>
      </c>
      <c r="G8" s="11"/>
    </row>
    <row r="9" spans="1:7" ht="13.8" x14ac:dyDescent="0.3">
      <c r="A9" s="3" t="s">
        <v>6</v>
      </c>
      <c r="B9" s="2">
        <v>9</v>
      </c>
      <c r="C9" s="2">
        <v>17</v>
      </c>
      <c r="D9" s="2">
        <v>4</v>
      </c>
      <c r="E9" s="2">
        <v>2</v>
      </c>
      <c r="F9" s="9">
        <f>SUM(MemberOfAssemblyAssemblyDistrict122General[[#This Row],[Part of Broome County Vote Results]:[Part of Otsego County Vote Results]])</f>
        <v>32</v>
      </c>
      <c r="G9" s="11"/>
    </row>
    <row r="10" spans="1:7" ht="13.8" x14ac:dyDescent="0.3">
      <c r="A10" s="13" t="s">
        <v>2</v>
      </c>
      <c r="B10" s="2">
        <f>SUM(MemberOfAssemblyAssemblyDistrict122General[Part of Broome County Vote Results])</f>
        <v>32183</v>
      </c>
      <c r="C10" s="2">
        <f>SUM(MemberOfAssemblyAssemblyDistrict122General[Part of Chenango County Vote Results])</f>
        <v>17261</v>
      </c>
      <c r="D10" s="2">
        <f>SUM(MemberOfAssemblyAssemblyDistrict122General[Part of Delaware County Vote Results])</f>
        <v>10891</v>
      </c>
      <c r="E10" s="2">
        <f>SUM(MemberOfAssemblyAssemblyDistrict122General[Part of Otsego County Vote Results])</f>
        <v>3701</v>
      </c>
      <c r="F10" s="9">
        <f>SUM(MemberOfAssemblyAssemblyDistrict122General[Total Votes by Party])</f>
        <v>64036</v>
      </c>
      <c r="G10" s="11"/>
    </row>
  </sheetData>
  <pageMargins left="0.7" right="0.7" top="0.75" bottom="0.75" header="0.3" footer="0.3"/>
  <tableParts count="1">
    <tablePart r:id="rId1"/>
  </tableParts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C19F-8F70-475E-9CE2-FF22B4D16EAD}">
  <dimension ref="A1:D8"/>
  <sheetViews>
    <sheetView workbookViewId="0">
      <selection activeCell="B15" sqref="B15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597</v>
      </c>
    </row>
    <row r="2" spans="1:4" ht="27.6" x14ac:dyDescent="0.25">
      <c r="A2" s="5" t="s">
        <v>5</v>
      </c>
      <c r="B2" s="6" t="s">
        <v>31</v>
      </c>
      <c r="C2" s="7" t="s">
        <v>3</v>
      </c>
      <c r="D2" s="8" t="s">
        <v>4</v>
      </c>
    </row>
    <row r="3" spans="1:4" ht="13.8" x14ac:dyDescent="0.3">
      <c r="A3" s="15" t="s">
        <v>598</v>
      </c>
      <c r="B3" s="2">
        <v>34155</v>
      </c>
      <c r="C3" s="9">
        <f>MemberOfAssemblyAssemblyDistrict123General[[#This Row],[Part of Broome County Vote Results]]</f>
        <v>34155</v>
      </c>
      <c r="D3" s="10">
        <f>SUM(MemberOfAssemblyAssemblyDistrict123General[[#This Row],[Total Votes by Party]],C4)</f>
        <v>41414</v>
      </c>
    </row>
    <row r="4" spans="1:4" ht="13.8" x14ac:dyDescent="0.3">
      <c r="A4" s="1" t="s">
        <v>599</v>
      </c>
      <c r="B4" s="2">
        <v>7259</v>
      </c>
      <c r="C4" s="9">
        <f>MemberOfAssemblyAssemblyDistrict123General[[#This Row],[Part of Broome County Vote Results]]</f>
        <v>7259</v>
      </c>
      <c r="D4" s="11"/>
    </row>
    <row r="5" spans="1:4" ht="13.8" x14ac:dyDescent="0.3">
      <c r="A5" s="3" t="s">
        <v>0</v>
      </c>
      <c r="B5" s="2">
        <v>16522</v>
      </c>
      <c r="C5" s="9">
        <f>MemberOfAssemblyAssemblyDistrict123General[[#This Row],[Part of Broome County Vote Results]]</f>
        <v>16522</v>
      </c>
      <c r="D5" s="11"/>
    </row>
    <row r="6" spans="1:4" ht="13.8" x14ac:dyDescent="0.3">
      <c r="A6" s="3" t="s">
        <v>1</v>
      </c>
      <c r="B6" s="2">
        <v>179</v>
      </c>
      <c r="C6" s="9">
        <f>MemberOfAssemblyAssemblyDistrict123General[[#This Row],[Part of Broome County Vote Results]]</f>
        <v>179</v>
      </c>
      <c r="D6" s="11"/>
    </row>
    <row r="7" spans="1:4" ht="13.8" x14ac:dyDescent="0.3">
      <c r="A7" s="3" t="s">
        <v>6</v>
      </c>
      <c r="B7" s="2">
        <v>333</v>
      </c>
      <c r="C7" s="9">
        <f>MemberOfAssemblyAssemblyDistrict123General[[#This Row],[Part of Broome County Vote Results]]</f>
        <v>333</v>
      </c>
      <c r="D7" s="11"/>
    </row>
    <row r="8" spans="1:4" ht="13.8" x14ac:dyDescent="0.3">
      <c r="A8" s="13" t="s">
        <v>2</v>
      </c>
      <c r="B8" s="2">
        <f>SUM(MemberOfAssemblyAssemblyDistrict123General[Part of Broome County Vote Results])</f>
        <v>58448</v>
      </c>
      <c r="C8" s="9">
        <f>SUM(MemberOfAssemblyAssemblyDistrict123General[Total Votes by Party])</f>
        <v>58448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F5F2-5889-4DCD-8697-14685363199C}">
  <dimension ref="A1:F10"/>
  <sheetViews>
    <sheetView workbookViewId="0">
      <selection activeCell="C14" sqref="C14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600</v>
      </c>
    </row>
    <row r="2" spans="1:6" ht="27.6" x14ac:dyDescent="0.25">
      <c r="A2" s="5" t="s">
        <v>5</v>
      </c>
      <c r="B2" s="6" t="s">
        <v>10</v>
      </c>
      <c r="C2" s="6" t="s">
        <v>31</v>
      </c>
      <c r="D2" s="6" t="s">
        <v>601</v>
      </c>
      <c r="E2" s="7" t="s">
        <v>3</v>
      </c>
      <c r="F2" s="8" t="s">
        <v>4</v>
      </c>
    </row>
    <row r="3" spans="1:6" ht="13.8" x14ac:dyDescent="0.3">
      <c r="A3" s="1" t="s">
        <v>602</v>
      </c>
      <c r="B3" s="2">
        <v>7781</v>
      </c>
      <c r="C3" s="2">
        <v>831</v>
      </c>
      <c r="D3" s="2">
        <v>12441</v>
      </c>
      <c r="E3" s="9">
        <f>SUM(MemberOfAssemblyAssemblyDistrict124General[[#This Row],[Tioga County Vote Results]:[Part of Chemung County Vote Results]])</f>
        <v>21053</v>
      </c>
      <c r="F3" s="10">
        <f>SUM(MemberOfAssemblyAssemblyDistrict124General[[#This Row],[Total Votes by Party]])</f>
        <v>21053</v>
      </c>
    </row>
    <row r="4" spans="1:6" ht="13.8" x14ac:dyDescent="0.3">
      <c r="A4" s="1" t="s">
        <v>603</v>
      </c>
      <c r="B4" s="2">
        <v>14171</v>
      </c>
      <c r="C4" s="2">
        <v>1507</v>
      </c>
      <c r="D4" s="2">
        <v>18113</v>
      </c>
      <c r="E4" s="9">
        <f>SUM(MemberOfAssemblyAssemblyDistrict124General[[#This Row],[Tioga County Vote Results]:[Part of Chemung County Vote Results]])</f>
        <v>33791</v>
      </c>
      <c r="F4" s="10">
        <f>SUM(MemberOfAssemblyAssemblyDistrict124General[[#This Row],[Total Votes by Party]],E5,E6)</f>
        <v>37976</v>
      </c>
    </row>
    <row r="5" spans="1:6" ht="13.8" x14ac:dyDescent="0.3">
      <c r="A5" s="1" t="s">
        <v>604</v>
      </c>
      <c r="B5" s="2">
        <v>1042</v>
      </c>
      <c r="C5" s="2">
        <v>133</v>
      </c>
      <c r="D5" s="2">
        <v>1506</v>
      </c>
      <c r="E5" s="9">
        <f>SUM(MemberOfAssemblyAssemblyDistrict124General[[#This Row],[Tioga County Vote Results]:[Part of Chemung County Vote Results]])</f>
        <v>2681</v>
      </c>
      <c r="F5" s="11"/>
    </row>
    <row r="6" spans="1:6" ht="13.8" x14ac:dyDescent="0.3">
      <c r="A6" s="1" t="s">
        <v>605</v>
      </c>
      <c r="B6" s="2">
        <v>696</v>
      </c>
      <c r="C6" s="2">
        <v>64</v>
      </c>
      <c r="D6" s="2">
        <v>744</v>
      </c>
      <c r="E6" s="9">
        <f>SUM(MemberOfAssemblyAssemblyDistrict124General[[#This Row],[Tioga County Vote Results]:[Part of Chemung County Vote Results]])</f>
        <v>1504</v>
      </c>
      <c r="F6" s="11"/>
    </row>
    <row r="7" spans="1:6" ht="13.8" x14ac:dyDescent="0.3">
      <c r="A7" s="3" t="s">
        <v>0</v>
      </c>
      <c r="B7" s="2">
        <v>1423</v>
      </c>
      <c r="C7" s="2">
        <v>289</v>
      </c>
      <c r="D7" s="2">
        <v>1892</v>
      </c>
      <c r="E7" s="9">
        <f>SUM(MemberOfAssemblyAssemblyDistrict124General[[#This Row],[Tioga County Vote Results]:[Part of Chemung County Vote Results]])</f>
        <v>3604</v>
      </c>
      <c r="F7" s="11"/>
    </row>
    <row r="8" spans="1:6" ht="13.8" x14ac:dyDescent="0.3">
      <c r="A8" s="3" t="s">
        <v>1</v>
      </c>
      <c r="B8" s="2">
        <v>9</v>
      </c>
      <c r="C8" s="2">
        <v>3</v>
      </c>
      <c r="D8" s="2">
        <v>0</v>
      </c>
      <c r="E8" s="9">
        <f>SUM(MemberOfAssemblyAssemblyDistrict124General[[#This Row],[Tioga County Vote Results]:[Part of Chemung County Vote Results]])</f>
        <v>12</v>
      </c>
      <c r="F8" s="11"/>
    </row>
    <row r="9" spans="1:6" ht="13.8" x14ac:dyDescent="0.3">
      <c r="A9" s="3" t="s">
        <v>6</v>
      </c>
      <c r="B9" s="2">
        <v>11</v>
      </c>
      <c r="C9" s="2">
        <v>0</v>
      </c>
      <c r="D9" s="2">
        <v>0</v>
      </c>
      <c r="E9" s="9">
        <f>SUM(MemberOfAssemblyAssemblyDistrict124General[[#This Row],[Tioga County Vote Results]:[Part of Chemung County Vote Results]])</f>
        <v>11</v>
      </c>
      <c r="F9" s="11"/>
    </row>
    <row r="10" spans="1:6" ht="13.8" x14ac:dyDescent="0.3">
      <c r="A10" s="13" t="s">
        <v>2</v>
      </c>
      <c r="B10" s="2">
        <f>SUM(MemberOfAssemblyAssemblyDistrict124General[Tioga County Vote Results])</f>
        <v>25133</v>
      </c>
      <c r="C10" s="2">
        <f>SUM(MemberOfAssemblyAssemblyDistrict124General[Part of Broome County Vote Results])</f>
        <v>2827</v>
      </c>
      <c r="D10" s="2">
        <f>SUM(MemberOfAssemblyAssemblyDistrict124General[Part of Chemung County Vote Results])</f>
        <v>34696</v>
      </c>
      <c r="E10" s="9">
        <f>SUM(MemberOfAssemblyAssemblyDistrict124General[Total Votes by Party])</f>
        <v>62656</v>
      </c>
      <c r="F10" s="11"/>
    </row>
  </sheetData>
  <pageMargins left="0.7" right="0.7" top="0.75" bottom="0.75" header="0.3" footer="0.3"/>
  <tableParts count="1">
    <tablePart r:id="rId1"/>
  </tableParts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2C20-B7BB-418F-939D-F28AD47F4EDE}">
  <dimension ref="A1:E10"/>
  <sheetViews>
    <sheetView workbookViewId="0">
      <selection activeCell="B10" sqref="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606</v>
      </c>
    </row>
    <row r="2" spans="1:5" ht="27.6" x14ac:dyDescent="0.25">
      <c r="A2" s="5" t="s">
        <v>5</v>
      </c>
      <c r="B2" s="6" t="s">
        <v>11</v>
      </c>
      <c r="C2" s="6" t="s">
        <v>607</v>
      </c>
      <c r="D2" s="7" t="s">
        <v>3</v>
      </c>
      <c r="E2" s="8" t="s">
        <v>4</v>
      </c>
    </row>
    <row r="3" spans="1:5" ht="13.8" x14ac:dyDescent="0.3">
      <c r="A3" s="17" t="s">
        <v>608</v>
      </c>
      <c r="B3" s="21">
        <v>26319</v>
      </c>
      <c r="C3" s="2">
        <v>5660</v>
      </c>
      <c r="D3" s="18">
        <f>SUM(MemberOfAssemblyAssemblyDistrict125General[[#This Row],[Tompkins County Vote Results]:[Part of Cortland County Vote Results]])</f>
        <v>31979</v>
      </c>
      <c r="E3" s="10">
        <f>SUM(MemberOfAssemblyAssemblyDistrict125General[[#This Row],[Total Votes by Party]],D5)</f>
        <v>37673</v>
      </c>
    </row>
    <row r="4" spans="1:5" ht="13.8" x14ac:dyDescent="0.3">
      <c r="A4" s="17" t="s">
        <v>609</v>
      </c>
      <c r="B4" s="21">
        <v>10636</v>
      </c>
      <c r="C4" s="2">
        <v>5361</v>
      </c>
      <c r="D4" s="18">
        <f>SUM(MemberOfAssemblyAssemblyDistrict125General[[#This Row],[Tompkins County Vote Results]:[Part of Cortland County Vote Results]])</f>
        <v>15997</v>
      </c>
      <c r="E4" s="10">
        <f>SUM(MemberOfAssemblyAssemblyDistrict125General[[#This Row],[Total Votes by Party]],D6)</f>
        <v>17028</v>
      </c>
    </row>
    <row r="5" spans="1:5" ht="13.8" x14ac:dyDescent="0.3">
      <c r="A5" s="17" t="s">
        <v>610</v>
      </c>
      <c r="B5" s="21">
        <v>5174</v>
      </c>
      <c r="C5" s="2">
        <v>520</v>
      </c>
      <c r="D5" s="18">
        <f>SUM(MemberOfAssemblyAssemblyDistrict125General[[#This Row],[Tompkins County Vote Results]:[Part of Cortland County Vote Results]])</f>
        <v>5694</v>
      </c>
      <c r="E5" s="11"/>
    </row>
    <row r="6" spans="1:5" ht="13.8" x14ac:dyDescent="0.3">
      <c r="A6" s="1" t="s">
        <v>611</v>
      </c>
      <c r="B6" s="21">
        <v>758</v>
      </c>
      <c r="C6" s="2">
        <v>273</v>
      </c>
      <c r="D6" s="9">
        <f>SUM(MemberOfAssemblyAssemblyDistrict125General[[#This Row],[Tompkins County Vote Results]:[Part of Cortland County Vote Results]])</f>
        <v>1031</v>
      </c>
      <c r="E6" s="11"/>
    </row>
    <row r="7" spans="1:5" ht="13.8" x14ac:dyDescent="0.3">
      <c r="A7" s="3" t="s">
        <v>0</v>
      </c>
      <c r="B7" s="21">
        <v>2399</v>
      </c>
      <c r="C7" s="2">
        <v>1079</v>
      </c>
      <c r="D7" s="9">
        <f>SUM(MemberOfAssemblyAssemblyDistrict125General[[#This Row],[Tompkins County Vote Results]:[Part of Cortland County Vote Results]])</f>
        <v>3478</v>
      </c>
      <c r="E7" s="11"/>
    </row>
    <row r="8" spans="1:5" ht="13.8" x14ac:dyDescent="0.3">
      <c r="A8" s="3" t="s">
        <v>1</v>
      </c>
      <c r="B8" s="21">
        <v>10</v>
      </c>
      <c r="C8" s="2">
        <v>6</v>
      </c>
      <c r="D8" s="9">
        <f>SUM(MemberOfAssemblyAssemblyDistrict125General[[#This Row],[Tompkins County Vote Results]:[Part of Cortland County Vote Results]])</f>
        <v>16</v>
      </c>
      <c r="E8" s="11"/>
    </row>
    <row r="9" spans="1:5" ht="13.8" x14ac:dyDescent="0.3">
      <c r="A9" s="3" t="s">
        <v>6</v>
      </c>
      <c r="B9" s="21">
        <v>42</v>
      </c>
      <c r="C9" s="2">
        <v>3</v>
      </c>
      <c r="D9" s="9">
        <f>SUM(MemberOfAssemblyAssemblyDistrict125General[[#This Row],[Tompkins County Vote Results]:[Part of Cortland County Vote Results]])</f>
        <v>45</v>
      </c>
      <c r="E9" s="11"/>
    </row>
    <row r="10" spans="1:5" ht="13.8" x14ac:dyDescent="0.3">
      <c r="A10" s="13" t="s">
        <v>2</v>
      </c>
      <c r="B10" s="2">
        <f>SUM(MemberOfAssemblyAssemblyDistrict125General[Tompkins County Vote Results])</f>
        <v>45338</v>
      </c>
      <c r="C10" s="2">
        <f>SUM(MemberOfAssemblyAssemblyDistrict125General[Part of Cortland County Vote Results])</f>
        <v>12902</v>
      </c>
      <c r="D10" s="9">
        <f>SUM(MemberOfAssemblyAssemblyDistrict125General[Total Votes by Party])</f>
        <v>58240</v>
      </c>
      <c r="E10" s="11"/>
    </row>
  </sheetData>
  <pageMargins left="0.7" right="0.7" top="0.75" bottom="0.75" header="0.3" footer="0.3"/>
  <tableParts count="1">
    <tablePart r:id="rId1"/>
  </tableParts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8C73-016D-41D3-A677-CF4A98F514DC}">
  <dimension ref="A1:G11"/>
  <sheetViews>
    <sheetView workbookViewId="0">
      <selection activeCell="E3" sqref="E3:E11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30" t="s">
        <v>612</v>
      </c>
    </row>
    <row r="2" spans="1:7" ht="27.6" x14ac:dyDescent="0.25">
      <c r="A2" s="5" t="s">
        <v>5</v>
      </c>
      <c r="B2" s="6" t="s">
        <v>57</v>
      </c>
      <c r="C2" s="6" t="s">
        <v>59</v>
      </c>
      <c r="D2" s="6" t="s">
        <v>607</v>
      </c>
      <c r="E2" s="6" t="s">
        <v>58</v>
      </c>
      <c r="F2" s="7" t="s">
        <v>3</v>
      </c>
      <c r="G2" s="8" t="s">
        <v>4</v>
      </c>
    </row>
    <row r="3" spans="1:7" ht="13.8" x14ac:dyDescent="0.3">
      <c r="A3" s="1" t="s">
        <v>613</v>
      </c>
      <c r="B3" s="21">
        <v>9732</v>
      </c>
      <c r="C3" s="19">
        <v>1211</v>
      </c>
      <c r="D3" s="2">
        <v>2745</v>
      </c>
      <c r="E3" s="21">
        <v>12963</v>
      </c>
      <c r="F3" s="9">
        <f>SUM(MemberOfAssemblyAssemblyDistrict126General[[#This Row],[Part of Cayuga County Vote Results]:[Part of Onondaga County Vote Results]])</f>
        <v>26651</v>
      </c>
      <c r="G3" s="10">
        <f>SUM(MemberOfAssemblyAssemblyDistrict126General[[#This Row],[Total Votes by Party]],F6)</f>
        <v>28635</v>
      </c>
    </row>
    <row r="4" spans="1:7" ht="13.8" x14ac:dyDescent="0.3">
      <c r="A4" s="1" t="s">
        <v>614</v>
      </c>
      <c r="B4" s="21">
        <v>10450</v>
      </c>
      <c r="C4" s="2">
        <v>3125</v>
      </c>
      <c r="D4" s="2">
        <v>4802</v>
      </c>
      <c r="E4" s="21">
        <v>14692</v>
      </c>
      <c r="F4" s="9">
        <f>SUM(MemberOfAssemblyAssemblyDistrict126General[[#This Row],[Part of Cayuga County Vote Results]:[Part of Onondaga County Vote Results]])</f>
        <v>33069</v>
      </c>
      <c r="G4" s="10">
        <f>SUM(MemberOfAssemblyAssemblyDistrict126General[[#This Row],[Total Votes by Party]],F5,F7)</f>
        <v>38410</v>
      </c>
    </row>
    <row r="5" spans="1:7" ht="13.8" x14ac:dyDescent="0.3">
      <c r="A5" s="1" t="s">
        <v>615</v>
      </c>
      <c r="B5" s="21">
        <v>1327</v>
      </c>
      <c r="C5" s="2">
        <v>215</v>
      </c>
      <c r="D5" s="2">
        <v>383</v>
      </c>
      <c r="E5" s="21">
        <v>2258</v>
      </c>
      <c r="F5" s="9">
        <f>SUM(MemberOfAssemblyAssemblyDistrict126General[[#This Row],[Part of Cayuga County Vote Results]:[Part of Onondaga County Vote Results]])</f>
        <v>4183</v>
      </c>
      <c r="G5" s="11"/>
    </row>
    <row r="6" spans="1:7" ht="13.8" x14ac:dyDescent="0.3">
      <c r="A6" s="1" t="s">
        <v>616</v>
      </c>
      <c r="B6" s="21">
        <v>757</v>
      </c>
      <c r="C6" s="2">
        <v>92</v>
      </c>
      <c r="D6" s="2">
        <v>217</v>
      </c>
      <c r="E6" s="21">
        <v>918</v>
      </c>
      <c r="F6" s="9">
        <f>SUM(MemberOfAssemblyAssemblyDistrict126General[[#This Row],[Part of Cayuga County Vote Results]:[Part of Onondaga County Vote Results]])</f>
        <v>1984</v>
      </c>
      <c r="G6" s="11"/>
    </row>
    <row r="7" spans="1:7" ht="13.8" x14ac:dyDescent="0.3">
      <c r="A7" s="1" t="s">
        <v>617</v>
      </c>
      <c r="B7" s="21">
        <v>256</v>
      </c>
      <c r="C7" s="2">
        <v>103</v>
      </c>
      <c r="D7" s="2">
        <v>192</v>
      </c>
      <c r="E7" s="21">
        <v>607</v>
      </c>
      <c r="F7" s="9">
        <f>SUM(MemberOfAssemblyAssemblyDistrict126General[[#This Row],[Part of Cayuga County Vote Results]:[Part of Onondaga County Vote Results]])</f>
        <v>1158</v>
      </c>
      <c r="G7" s="11"/>
    </row>
    <row r="8" spans="1:7" ht="13.8" x14ac:dyDescent="0.3">
      <c r="A8" s="3" t="s">
        <v>0</v>
      </c>
      <c r="B8" s="21">
        <v>1474</v>
      </c>
      <c r="C8" s="2">
        <v>374</v>
      </c>
      <c r="D8" s="2">
        <v>650</v>
      </c>
      <c r="E8" s="21">
        <v>1732</v>
      </c>
      <c r="F8" s="9">
        <f>SUM(MemberOfAssemblyAssemblyDistrict126General[[#This Row],[Part of Cayuga County Vote Results]:[Part of Onondaga County Vote Results]])</f>
        <v>4230</v>
      </c>
      <c r="G8" s="11"/>
    </row>
    <row r="9" spans="1:7" ht="13.8" x14ac:dyDescent="0.3">
      <c r="A9" s="3" t="s">
        <v>1</v>
      </c>
      <c r="B9" s="21">
        <v>9</v>
      </c>
      <c r="C9" s="2">
        <v>0</v>
      </c>
      <c r="D9" s="2">
        <v>0</v>
      </c>
      <c r="E9" s="21">
        <v>4</v>
      </c>
      <c r="F9" s="9">
        <f>SUM(MemberOfAssemblyAssemblyDistrict126General[[#This Row],[Part of Cayuga County Vote Results]:[Part of Onondaga County Vote Results]])</f>
        <v>13</v>
      </c>
      <c r="G9" s="11"/>
    </row>
    <row r="10" spans="1:7" ht="13.8" x14ac:dyDescent="0.3">
      <c r="A10" s="3" t="s">
        <v>6</v>
      </c>
      <c r="B10" s="21">
        <v>5</v>
      </c>
      <c r="C10" s="4">
        <v>2</v>
      </c>
      <c r="D10" s="2">
        <v>1</v>
      </c>
      <c r="E10" s="21">
        <v>19</v>
      </c>
      <c r="F10" s="9">
        <f>SUM(MemberOfAssemblyAssemblyDistrict126General[[#This Row],[Part of Cayuga County Vote Results]:[Part of Onondaga County Vote Results]])</f>
        <v>27</v>
      </c>
      <c r="G10" s="11"/>
    </row>
    <row r="11" spans="1:7" ht="13.8" x14ac:dyDescent="0.3">
      <c r="A11" s="13" t="s">
        <v>2</v>
      </c>
      <c r="B11" s="2">
        <f>SUM(MemberOfAssemblyAssemblyDistrict126General[Part of Cayuga County Vote Results])</f>
        <v>24010</v>
      </c>
      <c r="C11" s="2">
        <f>SUM(MemberOfAssemblyAssemblyDistrict126General[Part of Chenango County Vote Results])</f>
        <v>5122</v>
      </c>
      <c r="D11" s="2">
        <f>SUM(MemberOfAssemblyAssemblyDistrict126General[Part of Cortland County Vote Results])</f>
        <v>8990</v>
      </c>
      <c r="E11" s="21">
        <f>SUM(MemberOfAssemblyAssemblyDistrict126General[Part of Onondaga County Vote Results])</f>
        <v>33193</v>
      </c>
      <c r="F11" s="9">
        <f>SUM(MemberOfAssemblyAssemblyDistrict126General[Total Votes by Party])</f>
        <v>71315</v>
      </c>
      <c r="G11" s="11"/>
    </row>
  </sheetData>
  <pageMargins left="0.7" right="0.7" top="0.75" bottom="0.75" header="0.3" footer="0.3"/>
  <tableParts count="1">
    <tablePart r:id="rId1"/>
  </tableParts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0933-FAA2-449E-970A-1BBC327E91F9}">
  <dimension ref="A1:D11"/>
  <sheetViews>
    <sheetView workbookViewId="0">
      <selection activeCell="B3" sqref="B3: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618</v>
      </c>
    </row>
    <row r="2" spans="1:4" ht="27.6" x14ac:dyDescent="0.25">
      <c r="A2" s="5" t="s">
        <v>5</v>
      </c>
      <c r="B2" s="6" t="s">
        <v>58</v>
      </c>
      <c r="C2" s="7" t="s">
        <v>3</v>
      </c>
      <c r="D2" s="8" t="s">
        <v>4</v>
      </c>
    </row>
    <row r="3" spans="1:4" ht="13.8" x14ac:dyDescent="0.3">
      <c r="A3" s="1" t="s">
        <v>619</v>
      </c>
      <c r="B3" s="21">
        <v>39067</v>
      </c>
      <c r="C3" s="9">
        <f>MemberOfAssemblyAssemblyDistrict127General[[#This Row],[Part of Onondaga County Vote Results]]</f>
        <v>39067</v>
      </c>
      <c r="D3" s="10">
        <f>SUM(MemberOfAssemblyAssemblyDistrict127General[[#This Row],[Total Votes by Party]],C6)</f>
        <v>42183</v>
      </c>
    </row>
    <row r="4" spans="1:4" ht="13.8" x14ac:dyDescent="0.3">
      <c r="A4" s="1" t="s">
        <v>620</v>
      </c>
      <c r="B4" s="21">
        <v>29595</v>
      </c>
      <c r="C4" s="9">
        <f>MemberOfAssemblyAssemblyDistrict127General[[#This Row],[Part of Onondaga County Vote Results]]</f>
        <v>29595</v>
      </c>
      <c r="D4" s="10">
        <f>SUM(MemberOfAssemblyAssemblyDistrict127General[[#This Row],[Total Votes by Party]],C5,C7)</f>
        <v>35090</v>
      </c>
    </row>
    <row r="5" spans="1:4" ht="13.8" x14ac:dyDescent="0.3">
      <c r="A5" s="1" t="s">
        <v>621</v>
      </c>
      <c r="B5" s="21">
        <v>4368</v>
      </c>
      <c r="C5" s="9">
        <f>MemberOfAssemblyAssemblyDistrict127General[[#This Row],[Part of Onondaga County Vote Results]]</f>
        <v>4368</v>
      </c>
      <c r="D5" s="11"/>
    </row>
    <row r="6" spans="1:4" ht="13.8" x14ac:dyDescent="0.3">
      <c r="A6" s="1" t="s">
        <v>622</v>
      </c>
      <c r="B6" s="21">
        <v>3116</v>
      </c>
      <c r="C6" s="9">
        <f>MemberOfAssemblyAssemblyDistrict127General[[#This Row],[Part of Onondaga County Vote Results]]</f>
        <v>3116</v>
      </c>
      <c r="D6" s="11"/>
    </row>
    <row r="7" spans="1:4" ht="13.8" x14ac:dyDescent="0.3">
      <c r="A7" s="1" t="s">
        <v>623</v>
      </c>
      <c r="B7" s="21">
        <v>1127</v>
      </c>
      <c r="C7" s="9">
        <f>MemberOfAssemblyAssemblyDistrict127General[[#This Row],[Part of Onondaga County Vote Results]]</f>
        <v>1127</v>
      </c>
      <c r="D7" s="11"/>
    </row>
    <row r="8" spans="1:4" ht="13.8" x14ac:dyDescent="0.3">
      <c r="A8" s="3" t="s">
        <v>0</v>
      </c>
      <c r="B8" s="21">
        <v>2340</v>
      </c>
      <c r="C8" s="9">
        <f>MemberOfAssemblyAssemblyDistrict127General[[#This Row],[Part of Onondaga County Vote Results]]</f>
        <v>2340</v>
      </c>
      <c r="D8" s="11"/>
    </row>
    <row r="9" spans="1:4" ht="13.8" x14ac:dyDescent="0.3">
      <c r="A9" s="3" t="s">
        <v>1</v>
      </c>
      <c r="B9" s="21">
        <v>8</v>
      </c>
      <c r="C9" s="9">
        <f>MemberOfAssemblyAssemblyDistrict127General[[#This Row],[Part of Onondaga County Vote Results]]</f>
        <v>8</v>
      </c>
      <c r="D9" s="11"/>
    </row>
    <row r="10" spans="1:4" ht="13.8" x14ac:dyDescent="0.3">
      <c r="A10" s="3" t="s">
        <v>6</v>
      </c>
      <c r="B10" s="21">
        <v>25</v>
      </c>
      <c r="C10" s="9">
        <f>MemberOfAssemblyAssemblyDistrict127General[[#This Row],[Part of Onondaga County Vote Results]]</f>
        <v>25</v>
      </c>
      <c r="D10" s="11"/>
    </row>
    <row r="11" spans="1:4" ht="13.8" x14ac:dyDescent="0.3">
      <c r="A11" s="13" t="s">
        <v>2</v>
      </c>
      <c r="B11" s="21">
        <f>SUM(MemberOfAssemblyAssemblyDistrict127General[Part of Onondaga County Vote Results])</f>
        <v>79646</v>
      </c>
      <c r="C11" s="9">
        <f>SUM(MemberOfAssemblyAssemblyDistrict127General[Total Votes by Party])</f>
        <v>79646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84BD-89F1-43CC-921B-B1DEC03EDDD7}">
  <dimension ref="A1:D12"/>
  <sheetViews>
    <sheetView workbookViewId="0">
      <selection activeCell="B3" sqref="B3: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624</v>
      </c>
    </row>
    <row r="2" spans="1:4" ht="27.6" x14ac:dyDescent="0.25">
      <c r="A2" s="5" t="s">
        <v>5</v>
      </c>
      <c r="B2" s="6" t="s">
        <v>58</v>
      </c>
      <c r="C2" s="7" t="s">
        <v>3</v>
      </c>
      <c r="D2" s="8" t="s">
        <v>4</v>
      </c>
    </row>
    <row r="3" spans="1:4" ht="13.8" x14ac:dyDescent="0.3">
      <c r="A3" s="1" t="s">
        <v>625</v>
      </c>
      <c r="B3" s="21">
        <v>33559</v>
      </c>
      <c r="C3" s="9">
        <f>MemberOfAssemblyAssemblyDistrict128General[[#This Row],[Part of Onondaga County Vote Results]]</f>
        <v>33559</v>
      </c>
      <c r="D3" s="10">
        <f>SUM(MemberOfAssemblyAssemblyDistrict128General[[#This Row],[Total Votes by Party]],C6,C8)</f>
        <v>36891</v>
      </c>
    </row>
    <row r="4" spans="1:4" ht="13.8" x14ac:dyDescent="0.3">
      <c r="A4" s="1" t="s">
        <v>626</v>
      </c>
      <c r="B4" s="21">
        <v>16531</v>
      </c>
      <c r="C4" s="9">
        <f>MemberOfAssemblyAssemblyDistrict128General[[#This Row],[Part of Onondaga County Vote Results]]</f>
        <v>16531</v>
      </c>
      <c r="D4" s="10">
        <f>SUM(MemberOfAssemblyAssemblyDistrict128General[[#This Row],[Total Votes by Party]],C5,C7)</f>
        <v>19811</v>
      </c>
    </row>
    <row r="5" spans="1:4" ht="13.8" x14ac:dyDescent="0.3">
      <c r="A5" s="1" t="s">
        <v>627</v>
      </c>
      <c r="B5" s="21">
        <v>2807</v>
      </c>
      <c r="C5" s="9">
        <f>MemberOfAssemblyAssemblyDistrict128General[[#This Row],[Part of Onondaga County Vote Results]]</f>
        <v>2807</v>
      </c>
      <c r="D5" s="11"/>
    </row>
    <row r="6" spans="1:4" ht="13.8" x14ac:dyDescent="0.3">
      <c r="A6" s="1" t="s">
        <v>628</v>
      </c>
      <c r="B6" s="21">
        <v>2392</v>
      </c>
      <c r="C6" s="9">
        <f>MemberOfAssemblyAssemblyDistrict128General[[#This Row],[Part of Onondaga County Vote Results]]</f>
        <v>2392</v>
      </c>
      <c r="D6" s="11"/>
    </row>
    <row r="7" spans="1:4" ht="13.8" x14ac:dyDescent="0.3">
      <c r="A7" s="1" t="s">
        <v>629</v>
      </c>
      <c r="B7" s="21">
        <v>473</v>
      </c>
      <c r="C7" s="9">
        <f>MemberOfAssemblyAssemblyDistrict128General[[#This Row],[Part of Onondaga County Vote Results]]</f>
        <v>473</v>
      </c>
      <c r="D7" s="11"/>
    </row>
    <row r="8" spans="1:4" ht="13.8" x14ac:dyDescent="0.3">
      <c r="A8" s="1" t="s">
        <v>630</v>
      </c>
      <c r="B8" s="21">
        <v>940</v>
      </c>
      <c r="C8" s="9">
        <f>MemberOfAssemblyAssemblyDistrict128General[[#This Row],[Part of Onondaga County Vote Results]]</f>
        <v>940</v>
      </c>
      <c r="D8" s="11"/>
    </row>
    <row r="9" spans="1:4" ht="13.8" x14ac:dyDescent="0.3">
      <c r="A9" s="3" t="s">
        <v>0</v>
      </c>
      <c r="B9" s="21">
        <v>2988</v>
      </c>
      <c r="C9" s="9">
        <f>MemberOfAssemblyAssemblyDistrict128General[[#This Row],[Part of Onondaga County Vote Results]]</f>
        <v>2988</v>
      </c>
      <c r="D9" s="11"/>
    </row>
    <row r="10" spans="1:4" ht="13.8" x14ac:dyDescent="0.3">
      <c r="A10" s="3" t="s">
        <v>1</v>
      </c>
      <c r="B10" s="21">
        <v>6</v>
      </c>
      <c r="C10" s="9">
        <f>MemberOfAssemblyAssemblyDistrict128General[[#This Row],[Part of Onondaga County Vote Results]]</f>
        <v>6</v>
      </c>
      <c r="D10" s="11"/>
    </row>
    <row r="11" spans="1:4" ht="13.8" x14ac:dyDescent="0.3">
      <c r="A11" s="3" t="s">
        <v>6</v>
      </c>
      <c r="B11" s="21">
        <v>31</v>
      </c>
      <c r="C11" s="9">
        <f>MemberOfAssemblyAssemblyDistrict128General[[#This Row],[Part of Onondaga County Vote Results]]</f>
        <v>31</v>
      </c>
      <c r="D11" s="11"/>
    </row>
    <row r="12" spans="1:4" ht="13.8" x14ac:dyDescent="0.3">
      <c r="A12" s="13" t="s">
        <v>2</v>
      </c>
      <c r="B12" s="21">
        <f>SUM(MemberOfAssemblyAssemblyDistrict128General[Part of Onondaga County Vote Results])</f>
        <v>59727</v>
      </c>
      <c r="C12" s="9">
        <f>SUM(MemberOfAssemblyAssemblyDistrict128General[Total Votes by Party])</f>
        <v>59727</v>
      </c>
      <c r="D12" s="11"/>
    </row>
  </sheetData>
  <pageMargins left="0.7" right="0.7" top="0.75" bottom="0.75" header="0.3" footer="0.3"/>
  <tableParts count="1">
    <tablePart r:id="rId1"/>
  </tableParts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E31-20EC-416A-9444-93A98D279E26}">
  <dimension ref="A1:D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631</v>
      </c>
    </row>
    <row r="2" spans="1:4" ht="27.6" x14ac:dyDescent="0.25">
      <c r="A2" s="5" t="s">
        <v>5</v>
      </c>
      <c r="B2" s="6" t="s">
        <v>58</v>
      </c>
      <c r="C2" s="7" t="s">
        <v>3</v>
      </c>
      <c r="D2" s="8" t="s">
        <v>4</v>
      </c>
    </row>
    <row r="3" spans="1:4" ht="13.8" x14ac:dyDescent="0.3">
      <c r="A3" s="1" t="s">
        <v>632</v>
      </c>
      <c r="B3" s="21">
        <v>32469</v>
      </c>
      <c r="C3" s="9">
        <f>MemberOfAssemblyAssemblyDistrict129General[[#This Row],[Part of Onondaga County Vote Results]]</f>
        <v>32469</v>
      </c>
      <c r="D3" s="10">
        <f>SUM(MemberOfAssemblyAssemblyDistrict129General[[#This Row],[Total Votes by Party]],C6:C6)</f>
        <v>34175</v>
      </c>
    </row>
    <row r="4" spans="1:4" ht="13.8" x14ac:dyDescent="0.3">
      <c r="A4" s="1" t="s">
        <v>633</v>
      </c>
      <c r="B4" s="21">
        <v>11399</v>
      </c>
      <c r="C4" s="9">
        <f>MemberOfAssemblyAssemblyDistrict129General[[#This Row],[Part of Onondaga County Vote Results]]</f>
        <v>11399</v>
      </c>
      <c r="D4" s="10">
        <f>SUM(MemberOfAssemblyAssemblyDistrict129General[[#This Row],[Total Votes by Party]],C5)</f>
        <v>13598</v>
      </c>
    </row>
    <row r="5" spans="1:4" ht="13.8" x14ac:dyDescent="0.3">
      <c r="A5" s="1" t="s">
        <v>634</v>
      </c>
      <c r="B5" s="21">
        <v>2199</v>
      </c>
      <c r="C5" s="9">
        <f>MemberOfAssemblyAssemblyDistrict129General[[#This Row],[Part of Onondaga County Vote Results]]</f>
        <v>2199</v>
      </c>
      <c r="D5" s="11"/>
    </row>
    <row r="6" spans="1:4" ht="13.8" x14ac:dyDescent="0.3">
      <c r="A6" s="1" t="s">
        <v>635</v>
      </c>
      <c r="B6" s="21">
        <v>1706</v>
      </c>
      <c r="C6" s="9">
        <f>MemberOfAssemblyAssemblyDistrict129General[[#This Row],[Part of Onondaga County Vote Results]]</f>
        <v>1706</v>
      </c>
      <c r="D6" s="11"/>
    </row>
    <row r="7" spans="1:4" ht="13.8" x14ac:dyDescent="0.3">
      <c r="A7" s="3" t="s">
        <v>0</v>
      </c>
      <c r="B7" s="21">
        <v>2152</v>
      </c>
      <c r="C7" s="9">
        <f>MemberOfAssemblyAssemblyDistrict129General[[#This Row],[Part of Onondaga County Vote Results]]</f>
        <v>2152</v>
      </c>
      <c r="D7" s="11"/>
    </row>
    <row r="8" spans="1:4" ht="13.8" x14ac:dyDescent="0.3">
      <c r="A8" s="3" t="s">
        <v>1</v>
      </c>
      <c r="B8" s="21">
        <v>7</v>
      </c>
      <c r="C8" s="9">
        <f>MemberOfAssemblyAssemblyDistrict129General[[#This Row],[Part of Onondaga County Vote Results]]</f>
        <v>7</v>
      </c>
      <c r="D8" s="11"/>
    </row>
    <row r="9" spans="1:4" ht="13.8" x14ac:dyDescent="0.3">
      <c r="A9" s="3" t="s">
        <v>6</v>
      </c>
      <c r="B9" s="21">
        <v>49</v>
      </c>
      <c r="C9" s="9">
        <f>MemberOfAssemblyAssemblyDistrict129General[[#This Row],[Part of Onondaga County Vote Results]]</f>
        <v>49</v>
      </c>
      <c r="D9" s="11"/>
    </row>
    <row r="10" spans="1:4" ht="13.8" x14ac:dyDescent="0.3">
      <c r="A10" s="13" t="s">
        <v>2</v>
      </c>
      <c r="B10" s="21">
        <f>SUM(MemberOfAssemblyAssemblyDistrict129General[Part of Onondaga County Vote Results])</f>
        <v>49981</v>
      </c>
      <c r="C10" s="9">
        <f>SUM(MemberOfAssemblyAssemblyDistrict129General[Total Votes by Party])</f>
        <v>49981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60F4-D3DE-460C-9C40-1544EB30C0A4}">
  <dimension ref="A1:D11"/>
  <sheetViews>
    <sheetView workbookViewId="0">
      <selection activeCell="E15" sqref="E15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131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132</v>
      </c>
      <c r="B3" s="21">
        <v>38082</v>
      </c>
      <c r="C3" s="9">
        <f>MemberOfAssemblyAssemblyDistrict13General[[#This Row],[Part of Nassau County Vote Results]]</f>
        <v>38082</v>
      </c>
      <c r="D3" s="10">
        <f>SUM(MemberOfAssemblyAssemblyDistrict13General[[#This Row],[Total Votes by Party]],C6)</f>
        <v>39446</v>
      </c>
    </row>
    <row r="4" spans="1:4" ht="13.8" x14ac:dyDescent="0.3">
      <c r="A4" s="1" t="s">
        <v>133</v>
      </c>
      <c r="B4" s="21">
        <v>20772</v>
      </c>
      <c r="C4" s="9">
        <f>MemberOfAssemblyAssemblyDistrict13General[[#This Row],[Part of Nassau County Vote Results]]</f>
        <v>20772</v>
      </c>
      <c r="D4" s="10">
        <f>SUM(MemberOfAssemblyAssemblyDistrict13General[[#This Row],[Total Votes by Party]],C5,C7)</f>
        <v>23015</v>
      </c>
    </row>
    <row r="5" spans="1:4" ht="13.8" x14ac:dyDescent="0.3">
      <c r="A5" s="1" t="s">
        <v>134</v>
      </c>
      <c r="B5" s="21">
        <v>1766</v>
      </c>
      <c r="C5" s="9">
        <f>MemberOfAssemblyAssemblyDistrict13General[[#This Row],[Part of Nassau County Vote Results]]</f>
        <v>1766</v>
      </c>
      <c r="D5" s="11"/>
    </row>
    <row r="6" spans="1:4" ht="13.8" x14ac:dyDescent="0.3">
      <c r="A6" s="1" t="s">
        <v>135</v>
      </c>
      <c r="B6" s="21">
        <v>1364</v>
      </c>
      <c r="C6" s="9">
        <f>MemberOfAssemblyAssemblyDistrict13General[[#This Row],[Part of Nassau County Vote Results]]</f>
        <v>1364</v>
      </c>
      <c r="D6" s="11"/>
    </row>
    <row r="7" spans="1:4" ht="13.8" x14ac:dyDescent="0.3">
      <c r="A7" s="1" t="s">
        <v>136</v>
      </c>
      <c r="B7" s="21">
        <v>477</v>
      </c>
      <c r="C7" s="9">
        <f>MemberOfAssemblyAssemblyDistrict13General[[#This Row],[Part of Nassau County Vote Results]]</f>
        <v>477</v>
      </c>
      <c r="D7" s="11"/>
    </row>
    <row r="8" spans="1:4" ht="13.8" x14ac:dyDescent="0.3">
      <c r="A8" s="3" t="s">
        <v>0</v>
      </c>
      <c r="B8" s="21">
        <v>5788</v>
      </c>
      <c r="C8" s="9">
        <f>MemberOfAssemblyAssemblyDistrict13General[[#This Row],[Part of Nassau County Vote Results]]</f>
        <v>5788</v>
      </c>
      <c r="D8" s="11"/>
    </row>
    <row r="9" spans="1:4" ht="13.8" x14ac:dyDescent="0.3">
      <c r="A9" s="3" t="s">
        <v>1</v>
      </c>
      <c r="B9" s="21">
        <v>23</v>
      </c>
      <c r="C9" s="9">
        <f>MemberOfAssemblyAssemblyDistrict13General[[#This Row],[Part of Nassau County Vote Results]]</f>
        <v>23</v>
      </c>
      <c r="D9" s="11"/>
    </row>
    <row r="10" spans="1:4" ht="13.8" x14ac:dyDescent="0.3">
      <c r="A10" s="3" t="s">
        <v>6</v>
      </c>
      <c r="B10" s="21">
        <v>16</v>
      </c>
      <c r="C10" s="9">
        <f>MemberOfAssemblyAssemblyDistrict13General[[#This Row],[Part of Nassau County Vote Results]]</f>
        <v>16</v>
      </c>
      <c r="D10" s="11"/>
    </row>
    <row r="11" spans="1:4" ht="13.8" x14ac:dyDescent="0.3">
      <c r="A11" s="13" t="s">
        <v>2</v>
      </c>
      <c r="B11" s="21">
        <f>SUM(MemberOfAssemblyAssemblyDistrict13General[Part of Nassau County Vote Results])</f>
        <v>68288</v>
      </c>
      <c r="C11" s="9">
        <f>SUM(MemberOfAssemblyAssemblyDistrict13General[Total Votes by Party])</f>
        <v>68288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0C2F-6E40-4FBF-A34A-22E95D46E595}">
  <dimension ref="A1:F11"/>
  <sheetViews>
    <sheetView workbookViewId="0">
      <selection activeCell="B14" sqref="B14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636</v>
      </c>
    </row>
    <row r="2" spans="1:6" ht="27.6" x14ac:dyDescent="0.25">
      <c r="A2" s="5" t="s">
        <v>5</v>
      </c>
      <c r="B2" s="6" t="s">
        <v>14</v>
      </c>
      <c r="C2" s="6" t="s">
        <v>57</v>
      </c>
      <c r="D2" s="6" t="s">
        <v>41</v>
      </c>
      <c r="E2" s="7" t="s">
        <v>3</v>
      </c>
      <c r="F2" s="8" t="s">
        <v>4</v>
      </c>
    </row>
    <row r="3" spans="1:6" ht="13.8" x14ac:dyDescent="0.3">
      <c r="A3" s="1" t="s">
        <v>637</v>
      </c>
      <c r="B3" s="2">
        <v>12554</v>
      </c>
      <c r="C3" s="21">
        <v>3605</v>
      </c>
      <c r="D3" s="2">
        <v>1886</v>
      </c>
      <c r="E3" s="9">
        <f>SUM(MemberOfAssemblyAssemblyDistrict130General[[#This Row],[Wayne County Vote Results]:[Part of Oswego County Vote Results]])</f>
        <v>18045</v>
      </c>
      <c r="F3" s="10">
        <f>SUM(MemberOfAssemblyAssemblyDistrict130General[[#This Row],[Total Votes by Party]],E7)</f>
        <v>18187</v>
      </c>
    </row>
    <row r="4" spans="1:6" ht="13.8" x14ac:dyDescent="0.3">
      <c r="A4" s="1" t="s">
        <v>638</v>
      </c>
      <c r="B4" s="2">
        <v>24757</v>
      </c>
      <c r="C4" s="21">
        <v>6844</v>
      </c>
      <c r="D4" s="2">
        <v>2666</v>
      </c>
      <c r="E4" s="9">
        <f>SUM(MemberOfAssemblyAssemblyDistrict130General[[#This Row],[Wayne County Vote Results]:[Part of Oswego County Vote Results]])</f>
        <v>34267</v>
      </c>
      <c r="F4" s="10">
        <f>SUM(MemberOfAssemblyAssemblyDistrict130General[[#This Row],[Total Votes by Party]],E5,E6)</f>
        <v>40560</v>
      </c>
    </row>
    <row r="5" spans="1:6" ht="13.8" x14ac:dyDescent="0.3">
      <c r="A5" s="1" t="s">
        <v>639</v>
      </c>
      <c r="B5" s="2">
        <v>4076</v>
      </c>
      <c r="C5" s="21">
        <v>904</v>
      </c>
      <c r="D5" s="2">
        <v>376</v>
      </c>
      <c r="E5" s="9">
        <f>SUM(MemberOfAssemblyAssemblyDistrict130General[[#This Row],[Wayne County Vote Results]:[Part of Oswego County Vote Results]])</f>
        <v>5356</v>
      </c>
      <c r="F5" s="11"/>
    </row>
    <row r="6" spans="1:6" ht="13.8" x14ac:dyDescent="0.3">
      <c r="A6" s="1" t="s">
        <v>640</v>
      </c>
      <c r="B6" s="2">
        <v>662</v>
      </c>
      <c r="C6" s="21">
        <v>193</v>
      </c>
      <c r="D6" s="2">
        <v>82</v>
      </c>
      <c r="E6" s="9">
        <f>SUM(MemberOfAssemblyAssemblyDistrict130General[[#This Row],[Wayne County Vote Results]:[Part of Oswego County Vote Results]])</f>
        <v>937</v>
      </c>
      <c r="F6" s="11"/>
    </row>
    <row r="7" spans="1:6" ht="13.8" x14ac:dyDescent="0.3">
      <c r="A7" s="1" t="s">
        <v>641</v>
      </c>
      <c r="B7" s="2">
        <v>96</v>
      </c>
      <c r="C7" s="21">
        <v>29</v>
      </c>
      <c r="D7" s="2">
        <v>17</v>
      </c>
      <c r="E7" s="9">
        <f>SUM(MemberOfAssemblyAssemblyDistrict130General[[#This Row],[Wayne County Vote Results]:[Part of Oswego County Vote Results]])</f>
        <v>142</v>
      </c>
      <c r="F7" s="11"/>
    </row>
    <row r="8" spans="1:6" ht="13.8" x14ac:dyDescent="0.3">
      <c r="A8" s="3" t="s">
        <v>0</v>
      </c>
      <c r="B8" s="2">
        <v>2857</v>
      </c>
      <c r="C8" s="21">
        <v>1169</v>
      </c>
      <c r="D8" s="2">
        <v>631</v>
      </c>
      <c r="E8" s="9">
        <f>SUM(MemberOfAssemblyAssemblyDistrict130General[[#This Row],[Wayne County Vote Results]:[Part of Oswego County Vote Results]])</f>
        <v>4657</v>
      </c>
      <c r="F8" s="11"/>
    </row>
    <row r="9" spans="1:6" ht="13.8" x14ac:dyDescent="0.3">
      <c r="A9" s="3" t="s">
        <v>1</v>
      </c>
      <c r="B9" s="2">
        <v>22</v>
      </c>
      <c r="C9" s="21">
        <v>1</v>
      </c>
      <c r="D9" s="2">
        <v>7</v>
      </c>
      <c r="E9" s="9">
        <f>SUM(MemberOfAssemblyAssemblyDistrict130General[[#This Row],[Wayne County Vote Results]:[Part of Oswego County Vote Results]])</f>
        <v>30</v>
      </c>
      <c r="F9" s="11"/>
    </row>
    <row r="10" spans="1:6" ht="13.8" x14ac:dyDescent="0.3">
      <c r="A10" s="3" t="s">
        <v>6</v>
      </c>
      <c r="B10" s="2">
        <v>7</v>
      </c>
      <c r="C10" s="21">
        <v>5</v>
      </c>
      <c r="D10" s="2">
        <v>2</v>
      </c>
      <c r="E10" s="9">
        <f>SUM(MemberOfAssemblyAssemblyDistrict130General[[#This Row],[Wayne County Vote Results]:[Part of Oswego County Vote Results]])</f>
        <v>14</v>
      </c>
      <c r="F10" s="11"/>
    </row>
    <row r="11" spans="1:6" ht="13.8" x14ac:dyDescent="0.3">
      <c r="A11" s="13" t="s">
        <v>2</v>
      </c>
      <c r="B11" s="2">
        <f>SUM(MemberOfAssemblyAssemblyDistrict130General[Wayne County Vote Results])</f>
        <v>45031</v>
      </c>
      <c r="C11" s="2">
        <f>SUM(MemberOfAssemblyAssemblyDistrict130General[Part of Cayuga County Vote Results])</f>
        <v>12750</v>
      </c>
      <c r="D11" s="2">
        <f>SUM(MemberOfAssemblyAssemblyDistrict130General[Part of Oswego County Vote Results])</f>
        <v>5667</v>
      </c>
      <c r="E11" s="9">
        <f>SUM(MemberOfAssemblyAssemblyDistrict130General[Total Votes by Party])</f>
        <v>63448</v>
      </c>
      <c r="F11" s="11"/>
    </row>
  </sheetData>
  <pageMargins left="0.7" right="0.7" top="0.75" bottom="0.75" header="0.3" footer="0.3"/>
  <tableParts count="1">
    <tablePart r:id="rId1"/>
  </tableParts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7B10-519C-4DB4-A58D-462BBE7B5FD5}">
  <dimension ref="A1:E10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642</v>
      </c>
    </row>
    <row r="2" spans="1:5" ht="27.6" x14ac:dyDescent="0.25">
      <c r="A2" s="5" t="s">
        <v>5</v>
      </c>
      <c r="B2" s="6" t="s">
        <v>13</v>
      </c>
      <c r="C2" s="6" t="s">
        <v>643</v>
      </c>
      <c r="D2" s="7" t="s">
        <v>3</v>
      </c>
      <c r="E2" s="8" t="s">
        <v>4</v>
      </c>
    </row>
    <row r="3" spans="1:5" ht="13.8" x14ac:dyDescent="0.3">
      <c r="A3" s="1" t="s">
        <v>644</v>
      </c>
      <c r="B3" s="2">
        <v>23954</v>
      </c>
      <c r="C3" s="2">
        <v>4095</v>
      </c>
      <c r="D3" s="9">
        <f>SUM(MemberOfAssemblyAssemblyDistrict131General[[#This Row],[Ontario County Vote Results]:[Part of Seneca County Vote Results]])</f>
        <v>28049</v>
      </c>
      <c r="E3" s="10">
        <f>SUM(MemberOfAssemblyAssemblyDistrict131General[[#This Row],[Total Votes by Party]])</f>
        <v>28049</v>
      </c>
    </row>
    <row r="4" spans="1:5" ht="13.8" x14ac:dyDescent="0.3">
      <c r="A4" s="1" t="s">
        <v>645</v>
      </c>
      <c r="B4" s="2">
        <v>27113</v>
      </c>
      <c r="C4" s="2">
        <v>5602</v>
      </c>
      <c r="D4" s="9">
        <f>SUM(MemberOfAssemblyAssemblyDistrict131General[[#This Row],[Ontario County Vote Results]:[Part of Seneca County Vote Results]])</f>
        <v>32715</v>
      </c>
      <c r="E4" s="10">
        <f>SUM(MemberOfAssemblyAssemblyDistrict131General[[#This Row],[Total Votes by Party]],D5)</f>
        <v>37410</v>
      </c>
    </row>
    <row r="5" spans="1:5" ht="13.8" x14ac:dyDescent="0.3">
      <c r="A5" s="1" t="s">
        <v>646</v>
      </c>
      <c r="B5" s="2">
        <v>4045</v>
      </c>
      <c r="C5" s="2">
        <v>650</v>
      </c>
      <c r="D5" s="9">
        <f>SUM(MemberOfAssemblyAssemblyDistrict131General[[#This Row],[Ontario County Vote Results]:[Part of Seneca County Vote Results]])</f>
        <v>4695</v>
      </c>
      <c r="E5" s="11"/>
    </row>
    <row r="6" spans="1:5" ht="13.8" x14ac:dyDescent="0.3">
      <c r="A6" s="3" t="s">
        <v>647</v>
      </c>
      <c r="B6" s="2">
        <v>1088</v>
      </c>
      <c r="C6" s="2">
        <v>142</v>
      </c>
      <c r="D6" s="9">
        <f>SUM(MemberOfAssemblyAssemblyDistrict131General[[#This Row],[Ontario County Vote Results]:[Part of Seneca County Vote Results]])</f>
        <v>1230</v>
      </c>
      <c r="E6" s="10">
        <f>SUM(MemberOfAssemblyAssemblyDistrict131General[[#This Row],[Total Votes by Party]])</f>
        <v>1230</v>
      </c>
    </row>
    <row r="7" spans="1:5" ht="13.8" x14ac:dyDescent="0.3">
      <c r="A7" s="3" t="s">
        <v>0</v>
      </c>
      <c r="B7" s="2">
        <v>3818</v>
      </c>
      <c r="C7" s="2">
        <v>1091</v>
      </c>
      <c r="D7" s="9">
        <f>SUM(MemberOfAssemblyAssemblyDistrict131General[[#This Row],[Ontario County Vote Results]:[Part of Seneca County Vote Results]])</f>
        <v>4909</v>
      </c>
      <c r="E7" s="11"/>
    </row>
    <row r="8" spans="1:5" ht="13.8" x14ac:dyDescent="0.3">
      <c r="A8" s="3" t="s">
        <v>1</v>
      </c>
      <c r="B8" s="2">
        <v>46</v>
      </c>
      <c r="C8" s="2">
        <v>5</v>
      </c>
      <c r="D8" s="9">
        <f>SUM(MemberOfAssemblyAssemblyDistrict131General[[#This Row],[Ontario County Vote Results]:[Part of Seneca County Vote Results]])</f>
        <v>51</v>
      </c>
      <c r="E8" s="11"/>
    </row>
    <row r="9" spans="1:5" ht="13.8" x14ac:dyDescent="0.3">
      <c r="A9" s="3" t="s">
        <v>6</v>
      </c>
      <c r="B9" s="2">
        <v>21</v>
      </c>
      <c r="C9" s="2">
        <v>3</v>
      </c>
      <c r="D9" s="9">
        <f>SUM(MemberOfAssemblyAssemblyDistrict131General[[#This Row],[Ontario County Vote Results]:[Part of Seneca County Vote Results]])</f>
        <v>24</v>
      </c>
      <c r="E9" s="11"/>
    </row>
    <row r="10" spans="1:5" ht="13.8" x14ac:dyDescent="0.3">
      <c r="A10" s="13" t="s">
        <v>2</v>
      </c>
      <c r="B10" s="2">
        <f>SUM(MemberOfAssemblyAssemblyDistrict131General[Ontario County Vote Results])</f>
        <v>60085</v>
      </c>
      <c r="C10" s="2">
        <f>SUM(MemberOfAssemblyAssemblyDistrict131General[Part of Seneca County Vote Results])</f>
        <v>11588</v>
      </c>
      <c r="D10" s="9">
        <f>SUBTOTAL(109,D3:D9)</f>
        <v>71673</v>
      </c>
      <c r="E10" s="11"/>
    </row>
  </sheetData>
  <pageMargins left="0.7" right="0.7" top="0.75" bottom="0.75" header="0.3" footer="0.3"/>
  <tableParts count="1">
    <tablePart r:id="rId1"/>
  </tableParts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C11-EF59-4469-9FD1-C680A37723F1}">
  <dimension ref="A1:H9"/>
  <sheetViews>
    <sheetView workbookViewId="0">
      <selection activeCell="D9" sqref="D9"/>
    </sheetView>
  </sheetViews>
  <sheetFormatPr defaultRowHeight="13.2" x14ac:dyDescent="0.25"/>
  <cols>
    <col min="1" max="1" width="25.5546875" customWidth="1"/>
    <col min="2" max="8" width="20.5546875" customWidth="1"/>
    <col min="9" max="10" width="23.5546875" customWidth="1"/>
  </cols>
  <sheetData>
    <row r="1" spans="1:8" ht="18" x14ac:dyDescent="0.25">
      <c r="A1" s="30" t="s">
        <v>648</v>
      </c>
    </row>
    <row r="2" spans="1:8" ht="27.6" x14ac:dyDescent="0.25">
      <c r="A2" s="5" t="s">
        <v>5</v>
      </c>
      <c r="B2" s="6" t="s">
        <v>9</v>
      </c>
      <c r="C2" s="6" t="s">
        <v>15</v>
      </c>
      <c r="D2" s="6" t="s">
        <v>601</v>
      </c>
      <c r="E2" s="6" t="s">
        <v>643</v>
      </c>
      <c r="F2" s="6" t="s">
        <v>649</v>
      </c>
      <c r="G2" s="7" t="s">
        <v>3</v>
      </c>
      <c r="H2" s="8" t="s">
        <v>4</v>
      </c>
    </row>
    <row r="3" spans="1:8" ht="13.8" x14ac:dyDescent="0.3">
      <c r="A3" s="1" t="s">
        <v>650</v>
      </c>
      <c r="B3" s="2">
        <v>6028</v>
      </c>
      <c r="C3" s="2">
        <v>6544</v>
      </c>
      <c r="D3" s="2">
        <v>3295</v>
      </c>
      <c r="E3" s="2">
        <v>2285</v>
      </c>
      <c r="F3" s="2">
        <v>23034</v>
      </c>
      <c r="G3" s="9">
        <f>SUM(MemberOfAssemblyAssemblyDistrict132General[[#This Row],[Schuyler County Vote Results]:[Part of Steuben County Vote Results]])</f>
        <v>41186</v>
      </c>
      <c r="H3" s="10">
        <f>SUM(MemberOfAssemblyAssemblyDistrict132General[[#This Row],[Total Votes by Party]],G4,G5)</f>
        <v>48854</v>
      </c>
    </row>
    <row r="4" spans="1:8" ht="13.8" x14ac:dyDescent="0.3">
      <c r="A4" s="1" t="s">
        <v>651</v>
      </c>
      <c r="B4" s="2">
        <v>630</v>
      </c>
      <c r="C4" s="2">
        <v>884</v>
      </c>
      <c r="D4" s="2">
        <v>339</v>
      </c>
      <c r="E4" s="2">
        <v>278</v>
      </c>
      <c r="F4" s="2">
        <v>2348</v>
      </c>
      <c r="G4" s="9">
        <f>SUM(MemberOfAssemblyAssemblyDistrict132General[[#This Row],[Schuyler County Vote Results]:[Part of Steuben County Vote Results]])</f>
        <v>4479</v>
      </c>
      <c r="H4" s="11"/>
    </row>
    <row r="5" spans="1:8" ht="13.8" x14ac:dyDescent="0.3">
      <c r="A5" s="1" t="s">
        <v>652</v>
      </c>
      <c r="B5" s="2">
        <v>722</v>
      </c>
      <c r="C5" s="2">
        <v>369</v>
      </c>
      <c r="D5" s="2">
        <v>334</v>
      </c>
      <c r="E5" s="2">
        <v>219</v>
      </c>
      <c r="F5" s="2">
        <v>1545</v>
      </c>
      <c r="G5" s="9">
        <f>SUM(MemberOfAssemblyAssemblyDistrict132General[[#This Row],[Schuyler County Vote Results]:[Part of Steuben County Vote Results]])</f>
        <v>3189</v>
      </c>
      <c r="H5" s="11"/>
    </row>
    <row r="6" spans="1:8" ht="13.8" x14ac:dyDescent="0.3">
      <c r="A6" s="3" t="s">
        <v>0</v>
      </c>
      <c r="B6" s="2">
        <v>2369</v>
      </c>
      <c r="C6" s="2">
        <v>2939</v>
      </c>
      <c r="D6" s="2">
        <v>933</v>
      </c>
      <c r="E6" s="2">
        <v>1321</v>
      </c>
      <c r="F6" s="2">
        <v>7334</v>
      </c>
      <c r="G6" s="9">
        <f>SUM(MemberOfAssemblyAssemblyDistrict132General[[#This Row],[Schuyler County Vote Results]:[Part of Steuben County Vote Results]])</f>
        <v>14896</v>
      </c>
      <c r="H6" s="11"/>
    </row>
    <row r="7" spans="1:8" ht="13.8" x14ac:dyDescent="0.3">
      <c r="A7" s="3" t="s">
        <v>1</v>
      </c>
      <c r="B7" s="2">
        <v>0</v>
      </c>
      <c r="C7" s="2">
        <v>1</v>
      </c>
      <c r="D7" s="2">
        <v>0</v>
      </c>
      <c r="E7" s="2">
        <v>0</v>
      </c>
      <c r="F7" s="2">
        <v>7</v>
      </c>
      <c r="G7" s="9">
        <f>SUM(MemberOfAssemblyAssemblyDistrict132General[[#This Row],[Schuyler County Vote Results]:[Part of Steuben County Vote Results]])</f>
        <v>8</v>
      </c>
      <c r="H7" s="11"/>
    </row>
    <row r="8" spans="1:8" ht="13.8" x14ac:dyDescent="0.3">
      <c r="A8" s="3" t="s">
        <v>6</v>
      </c>
      <c r="B8" s="2">
        <v>50</v>
      </c>
      <c r="C8" s="2">
        <v>15</v>
      </c>
      <c r="D8" s="2">
        <v>0</v>
      </c>
      <c r="E8" s="2">
        <v>27</v>
      </c>
      <c r="F8" s="2">
        <v>108</v>
      </c>
      <c r="G8" s="9">
        <f>SUM(MemberOfAssemblyAssemblyDistrict132General[[#This Row],[Schuyler County Vote Results]:[Part of Steuben County Vote Results]])</f>
        <v>200</v>
      </c>
      <c r="H8" s="11"/>
    </row>
    <row r="9" spans="1:8" ht="13.8" x14ac:dyDescent="0.3">
      <c r="A9" s="13" t="s">
        <v>2</v>
      </c>
      <c r="B9" s="2">
        <f>SUM(MemberOfAssemblyAssemblyDistrict132General[Schuyler County Vote Results])</f>
        <v>9799</v>
      </c>
      <c r="C9" s="2">
        <f>SUM(MemberOfAssemblyAssemblyDistrict132General[Yates County Vote Results])</f>
        <v>10752</v>
      </c>
      <c r="D9" s="2">
        <f>SUM(MemberOfAssemblyAssemblyDistrict132General[Part of Chemung County Vote Results])</f>
        <v>4901</v>
      </c>
      <c r="E9" s="2">
        <f>SUM(MemberOfAssemblyAssemblyDistrict132General[Part of Seneca County Vote Results])</f>
        <v>4130</v>
      </c>
      <c r="F9" s="2">
        <f>SUM(MemberOfAssemblyAssemblyDistrict132General[Part of Steuben County Vote Results])</f>
        <v>34376</v>
      </c>
      <c r="G9" s="9">
        <f>SUM(MemberOfAssemblyAssemblyDistrict132General[Total Votes by Party])</f>
        <v>63958</v>
      </c>
      <c r="H9" s="11"/>
    </row>
  </sheetData>
  <pageMargins left="0.7" right="0.7" top="0.75" bottom="0.75" header="0.3" footer="0.3"/>
  <tableParts count="1">
    <tablePart r:id="rId1"/>
  </tableParts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43F3-86B5-4ADB-BB58-CF641CC0AC3B}">
  <dimension ref="A1:F11"/>
  <sheetViews>
    <sheetView workbookViewId="0">
      <selection activeCell="C11" sqref="C11"/>
    </sheetView>
  </sheetViews>
  <sheetFormatPr defaultRowHeight="13.2" x14ac:dyDescent="0.25"/>
  <cols>
    <col min="1" max="1" width="26.33203125" customWidth="1"/>
    <col min="2" max="6" width="20.5546875" customWidth="1"/>
    <col min="7" max="8" width="23.5546875" customWidth="1"/>
  </cols>
  <sheetData>
    <row r="1" spans="1:6" ht="18" x14ac:dyDescent="0.25">
      <c r="A1" s="30" t="s">
        <v>653</v>
      </c>
    </row>
    <row r="2" spans="1:6" ht="27.6" x14ac:dyDescent="0.25">
      <c r="A2" s="5" t="s">
        <v>5</v>
      </c>
      <c r="B2" s="6" t="s">
        <v>12</v>
      </c>
      <c r="C2" s="6" t="s">
        <v>42</v>
      </c>
      <c r="D2" s="6" t="s">
        <v>649</v>
      </c>
      <c r="E2" s="7" t="s">
        <v>3</v>
      </c>
      <c r="F2" s="8" t="s">
        <v>4</v>
      </c>
    </row>
    <row r="3" spans="1:6" ht="13.8" x14ac:dyDescent="0.3">
      <c r="A3" s="1" t="s">
        <v>654</v>
      </c>
      <c r="B3" s="2">
        <v>8394</v>
      </c>
      <c r="C3" s="2">
        <v>13407</v>
      </c>
      <c r="D3" s="2">
        <v>2212</v>
      </c>
      <c r="E3" s="9">
        <f>SUM(MemberOfAssemblyAssemblyDistrict133General[[#This Row],[Livingston County Vote Results]:[Part of Steuben County Vote Results]])</f>
        <v>24013</v>
      </c>
      <c r="F3" s="10">
        <f>SUM(MemberOfAssemblyAssemblyDistrict133General[[#This Row],[Total Votes by Party]],E6)</f>
        <v>25830</v>
      </c>
    </row>
    <row r="4" spans="1:6" ht="13.8" x14ac:dyDescent="0.3">
      <c r="A4" s="1" t="s">
        <v>655</v>
      </c>
      <c r="B4" s="2">
        <v>17687</v>
      </c>
      <c r="C4" s="2">
        <v>11499</v>
      </c>
      <c r="D4" s="2">
        <v>6490</v>
      </c>
      <c r="E4" s="9">
        <f>SUM(MemberOfAssemblyAssemblyDistrict133General[[#This Row],[Livingston County Vote Results]:[Part of Steuben County Vote Results]])</f>
        <v>35676</v>
      </c>
      <c r="F4" s="10">
        <f>SUM(MemberOfAssemblyAssemblyDistrict133General[[#This Row],[Total Votes by Party]],E5,E7)</f>
        <v>41760</v>
      </c>
    </row>
    <row r="5" spans="1:6" ht="13.8" x14ac:dyDescent="0.3">
      <c r="A5" s="1" t="s">
        <v>656</v>
      </c>
      <c r="B5" s="2">
        <v>2456</v>
      </c>
      <c r="C5" s="2">
        <v>1796</v>
      </c>
      <c r="D5" s="2">
        <v>650</v>
      </c>
      <c r="E5" s="9">
        <f>SUM(MemberOfAssemblyAssemblyDistrict133General[[#This Row],[Livingston County Vote Results]:[Part of Steuben County Vote Results]])</f>
        <v>4902</v>
      </c>
      <c r="F5" s="11"/>
    </row>
    <row r="6" spans="1:6" ht="13.8" x14ac:dyDescent="0.3">
      <c r="A6" s="1" t="s">
        <v>657</v>
      </c>
      <c r="B6" s="2">
        <v>752</v>
      </c>
      <c r="C6" s="2">
        <v>889</v>
      </c>
      <c r="D6" s="2">
        <v>176</v>
      </c>
      <c r="E6" s="9">
        <f>SUM(MemberOfAssemblyAssemblyDistrict133General[[#This Row],[Livingston County Vote Results]:[Part of Steuben County Vote Results]])</f>
        <v>1817</v>
      </c>
      <c r="F6" s="11"/>
    </row>
    <row r="7" spans="1:6" ht="13.8" x14ac:dyDescent="0.3">
      <c r="A7" s="1" t="s">
        <v>658</v>
      </c>
      <c r="B7" s="2">
        <v>516</v>
      </c>
      <c r="C7" s="2">
        <v>527</v>
      </c>
      <c r="D7" s="2">
        <v>139</v>
      </c>
      <c r="E7" s="9">
        <f>SUM(MemberOfAssemblyAssemblyDistrict133General[[#This Row],[Livingston County Vote Results]:[Part of Steuben County Vote Results]])</f>
        <v>1182</v>
      </c>
      <c r="F7" s="11"/>
    </row>
    <row r="8" spans="1:6" ht="13.8" x14ac:dyDescent="0.3">
      <c r="A8" s="3" t="s">
        <v>0</v>
      </c>
      <c r="B8" s="2">
        <v>1779</v>
      </c>
      <c r="C8" s="2">
        <v>1516</v>
      </c>
      <c r="D8" s="2">
        <v>783</v>
      </c>
      <c r="E8" s="9">
        <f>SUM(MemberOfAssemblyAssemblyDistrict133General[[#This Row],[Livingston County Vote Results]:[Part of Steuben County Vote Results]])</f>
        <v>4078</v>
      </c>
      <c r="F8" s="11"/>
    </row>
    <row r="9" spans="1:6" ht="13.8" x14ac:dyDescent="0.3">
      <c r="A9" s="3" t="s">
        <v>1</v>
      </c>
      <c r="B9" s="2">
        <v>7</v>
      </c>
      <c r="C9" s="2">
        <v>5</v>
      </c>
      <c r="D9" s="2">
        <v>4</v>
      </c>
      <c r="E9" s="9">
        <f>SUM(MemberOfAssemblyAssemblyDistrict133General[[#This Row],[Livingston County Vote Results]:[Part of Steuben County Vote Results]])</f>
        <v>16</v>
      </c>
      <c r="F9" s="11"/>
    </row>
    <row r="10" spans="1:6" ht="13.8" x14ac:dyDescent="0.3">
      <c r="A10" s="3" t="s">
        <v>6</v>
      </c>
      <c r="B10" s="2">
        <v>3</v>
      </c>
      <c r="C10" s="2">
        <v>4</v>
      </c>
      <c r="D10" s="2">
        <v>0</v>
      </c>
      <c r="E10" s="9">
        <f>SUM(MemberOfAssemblyAssemblyDistrict133General[[#This Row],[Livingston County Vote Results]:[Part of Steuben County Vote Results]])</f>
        <v>7</v>
      </c>
      <c r="F10" s="11"/>
    </row>
    <row r="11" spans="1:6" ht="13.8" x14ac:dyDescent="0.3">
      <c r="A11" s="13" t="s">
        <v>2</v>
      </c>
      <c r="B11" s="2">
        <f>SUM(MemberOfAssemblyAssemblyDistrict133General[Livingston County Vote Results])</f>
        <v>31594</v>
      </c>
      <c r="C11" s="2">
        <f>SUM(MemberOfAssemblyAssemblyDistrict133General[Part of Monroe County Vote Results])</f>
        <v>29643</v>
      </c>
      <c r="D11" s="2">
        <f>SUM(MemberOfAssemblyAssemblyDistrict133General[Part of Steuben County Vote Results])</f>
        <v>10454</v>
      </c>
      <c r="E11" s="9">
        <f>SUM(MemberOfAssemblyAssemblyDistrict133General[Total Votes by Party])</f>
        <v>71691</v>
      </c>
      <c r="F11" s="11"/>
    </row>
  </sheetData>
  <pageMargins left="0.7" right="0.7" top="0.75" bottom="0.75" header="0.3" footer="0.3"/>
  <tableParts count="1">
    <tablePart r:id="rId1"/>
  </tableParts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66C9-B621-4B3E-9318-46A580B4F7CA}">
  <dimension ref="A1:D12"/>
  <sheetViews>
    <sheetView workbookViewId="0">
      <selection activeCell="B12" sqref="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659</v>
      </c>
    </row>
    <row r="2" spans="1:4" ht="27.6" x14ac:dyDescent="0.25">
      <c r="A2" s="5" t="s">
        <v>5</v>
      </c>
      <c r="B2" s="6" t="s">
        <v>42</v>
      </c>
      <c r="C2" s="7" t="s">
        <v>3</v>
      </c>
      <c r="D2" s="8" t="s">
        <v>4</v>
      </c>
    </row>
    <row r="3" spans="1:4" ht="13.8" x14ac:dyDescent="0.3">
      <c r="A3" s="1" t="s">
        <v>660</v>
      </c>
      <c r="B3" s="2">
        <v>25924</v>
      </c>
      <c r="C3" s="9">
        <f>MemberOfAssemblyAssemblyDistrict134General[[#This Row],[Part of Monroe County Vote Results]]</f>
        <v>25924</v>
      </c>
      <c r="D3" s="10">
        <f>SUM(MemberOfAssemblyAssemblyDistrict134General[[#This Row],[Total Votes by Party]])</f>
        <v>25924</v>
      </c>
    </row>
    <row r="4" spans="1:4" ht="13.8" x14ac:dyDescent="0.3">
      <c r="A4" s="1" t="s">
        <v>661</v>
      </c>
      <c r="B4" s="2">
        <v>32245</v>
      </c>
      <c r="C4" s="9">
        <f>MemberOfAssemblyAssemblyDistrict134General[[#This Row],[Part of Monroe County Vote Results]]</f>
        <v>32245</v>
      </c>
      <c r="D4" s="10">
        <f>SUM(MemberOfAssemblyAssemblyDistrict134General[[#This Row],[Total Votes by Party]],C5,C8)</f>
        <v>38937</v>
      </c>
    </row>
    <row r="5" spans="1:4" ht="13.8" x14ac:dyDescent="0.3">
      <c r="A5" s="1" t="s">
        <v>662</v>
      </c>
      <c r="B5" s="2">
        <v>5484</v>
      </c>
      <c r="C5" s="9">
        <f>MemberOfAssemblyAssemblyDistrict134General[[#This Row],[Part of Monroe County Vote Results]]</f>
        <v>5484</v>
      </c>
      <c r="D5" s="11"/>
    </row>
    <row r="6" spans="1:4" ht="13.8" x14ac:dyDescent="0.3">
      <c r="A6" s="1" t="s">
        <v>663</v>
      </c>
      <c r="B6" s="2">
        <v>1439</v>
      </c>
      <c r="C6" s="9">
        <f>MemberOfAssemblyAssemblyDistrict134General[[#This Row],[Part of Monroe County Vote Results]]</f>
        <v>1439</v>
      </c>
      <c r="D6" s="10">
        <f>SUM(MemberOfAssemblyAssemblyDistrict134General[[#This Row],[Total Votes by Party]])</f>
        <v>1439</v>
      </c>
    </row>
    <row r="7" spans="1:4" ht="13.8" x14ac:dyDescent="0.3">
      <c r="A7" s="1" t="s">
        <v>664</v>
      </c>
      <c r="B7" s="2">
        <v>1047</v>
      </c>
      <c r="C7" s="9">
        <f>MemberOfAssemblyAssemblyDistrict134General[[#This Row],[Part of Monroe County Vote Results]]</f>
        <v>1047</v>
      </c>
      <c r="D7" s="10">
        <f>SUM(MemberOfAssemblyAssemblyDistrict134General[[#This Row],[Total Votes by Party]])</f>
        <v>1047</v>
      </c>
    </row>
    <row r="8" spans="1:4" ht="13.8" x14ac:dyDescent="0.3">
      <c r="A8" s="1" t="s">
        <v>665</v>
      </c>
      <c r="B8" s="2">
        <v>1208</v>
      </c>
      <c r="C8" s="9">
        <f>MemberOfAssemblyAssemblyDistrict134General[[#This Row],[Part of Monroe County Vote Results]]</f>
        <v>1208</v>
      </c>
      <c r="D8" s="11"/>
    </row>
    <row r="9" spans="1:4" ht="13.8" x14ac:dyDescent="0.3">
      <c r="A9" s="3" t="s">
        <v>0</v>
      </c>
      <c r="B9" s="2">
        <v>6211</v>
      </c>
      <c r="C9" s="9">
        <f>MemberOfAssemblyAssemblyDistrict134General[[#This Row],[Part of Monroe County Vote Results]]</f>
        <v>6211</v>
      </c>
      <c r="D9" s="11"/>
    </row>
    <row r="10" spans="1:4" ht="13.8" x14ac:dyDescent="0.3">
      <c r="A10" s="3" t="s">
        <v>1</v>
      </c>
      <c r="B10" s="2">
        <v>53</v>
      </c>
      <c r="C10" s="9">
        <f>MemberOfAssemblyAssemblyDistrict134General[[#This Row],[Part of Monroe County Vote Results]]</f>
        <v>53</v>
      </c>
      <c r="D10" s="11"/>
    </row>
    <row r="11" spans="1:4" ht="13.8" x14ac:dyDescent="0.3">
      <c r="A11" s="3" t="s">
        <v>6</v>
      </c>
      <c r="B11" s="2">
        <v>14</v>
      </c>
      <c r="C11" s="9">
        <f>MemberOfAssemblyAssemblyDistrict134General[[#This Row],[Part of Monroe County Vote Results]]</f>
        <v>14</v>
      </c>
      <c r="D11" s="11"/>
    </row>
    <row r="12" spans="1:4" ht="13.8" x14ac:dyDescent="0.3">
      <c r="A12" s="13" t="s">
        <v>2</v>
      </c>
      <c r="B12" s="2">
        <f>SUM(MemberOfAssemblyAssemblyDistrict134General[Part of Monroe County Vote Results])</f>
        <v>73625</v>
      </c>
      <c r="C12" s="9">
        <f>SUM(MemberOfAssemblyAssemblyDistrict134General[Total Votes by Party])</f>
        <v>73625</v>
      </c>
      <c r="D12" s="11"/>
    </row>
  </sheetData>
  <pageMargins left="0.7" right="0.7" top="0.75" bottom="0.75" header="0.3" footer="0.3"/>
  <tableParts count="1">
    <tablePart r:id="rId1"/>
  </tableParts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A3E5-EEC7-4E61-8806-C319360D1B8F}">
  <dimension ref="A1:D11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666</v>
      </c>
    </row>
    <row r="2" spans="1:4" ht="27.6" x14ac:dyDescent="0.25">
      <c r="A2" s="5" t="s">
        <v>5</v>
      </c>
      <c r="B2" s="6" t="s">
        <v>42</v>
      </c>
      <c r="C2" s="7" t="s">
        <v>3</v>
      </c>
      <c r="D2" s="8" t="s">
        <v>4</v>
      </c>
    </row>
    <row r="3" spans="1:4" ht="13.8" x14ac:dyDescent="0.3">
      <c r="A3" s="1" t="s">
        <v>667</v>
      </c>
      <c r="B3" s="2">
        <v>38570</v>
      </c>
      <c r="C3" s="9">
        <f>MemberOfAssemblyAssemblyDistrict135General[[#This Row],[Part of Monroe County Vote Results]]</f>
        <v>38570</v>
      </c>
      <c r="D3" s="10">
        <f>SUM(MemberOfAssemblyAssemblyDistrict135General[[#This Row],[Total Votes by Party]],C6)</f>
        <v>41564</v>
      </c>
    </row>
    <row r="4" spans="1:4" ht="13.8" x14ac:dyDescent="0.3">
      <c r="A4" s="1" t="s">
        <v>668</v>
      </c>
      <c r="B4" s="2">
        <v>34213</v>
      </c>
      <c r="C4" s="9">
        <f>MemberOfAssemblyAssemblyDistrict135General[[#This Row],[Part of Monroe County Vote Results]]</f>
        <v>34213</v>
      </c>
      <c r="D4" s="10">
        <f>SUM(MemberOfAssemblyAssemblyDistrict135General[[#This Row],[Total Votes by Party]],C5,C7)</f>
        <v>40833</v>
      </c>
    </row>
    <row r="5" spans="1:4" ht="13.8" x14ac:dyDescent="0.3">
      <c r="A5" s="1" t="s">
        <v>669</v>
      </c>
      <c r="B5" s="2">
        <v>5387</v>
      </c>
      <c r="C5" s="9">
        <f>MemberOfAssemblyAssemblyDistrict135General[[#This Row],[Part of Monroe County Vote Results]]</f>
        <v>5387</v>
      </c>
      <c r="D5" s="11"/>
    </row>
    <row r="6" spans="1:4" ht="13.8" x14ac:dyDescent="0.3">
      <c r="A6" s="1" t="s">
        <v>670</v>
      </c>
      <c r="B6" s="2">
        <v>2994</v>
      </c>
      <c r="C6" s="9">
        <f>MemberOfAssemblyAssemblyDistrict135General[[#This Row],[Part of Monroe County Vote Results]]</f>
        <v>2994</v>
      </c>
      <c r="D6" s="11"/>
    </row>
    <row r="7" spans="1:4" ht="13.8" x14ac:dyDescent="0.3">
      <c r="A7" s="1" t="s">
        <v>671</v>
      </c>
      <c r="B7" s="2">
        <v>1233</v>
      </c>
      <c r="C7" s="9">
        <f>MemberOfAssemblyAssemblyDistrict135General[[#This Row],[Part of Monroe County Vote Results]]</f>
        <v>1233</v>
      </c>
      <c r="D7" s="11"/>
    </row>
    <row r="8" spans="1:4" ht="13.8" x14ac:dyDescent="0.3">
      <c r="A8" s="3" t="s">
        <v>0</v>
      </c>
      <c r="B8" s="2">
        <v>4050</v>
      </c>
      <c r="C8" s="9">
        <f>MemberOfAssemblyAssemblyDistrict135General[[#This Row],[Part of Monroe County Vote Results]]</f>
        <v>4050</v>
      </c>
      <c r="D8" s="11"/>
    </row>
    <row r="9" spans="1:4" ht="13.8" x14ac:dyDescent="0.3">
      <c r="A9" s="3" t="s">
        <v>1</v>
      </c>
      <c r="B9" s="2">
        <v>20</v>
      </c>
      <c r="C9" s="9">
        <f>MemberOfAssemblyAssemblyDistrict135General[[#This Row],[Part of Monroe County Vote Results]]</f>
        <v>20</v>
      </c>
      <c r="D9" s="11"/>
    </row>
    <row r="10" spans="1:4" ht="13.8" x14ac:dyDescent="0.3">
      <c r="A10" s="3" t="s">
        <v>6</v>
      </c>
      <c r="B10" s="2">
        <v>16</v>
      </c>
      <c r="C10" s="9">
        <f>MemberOfAssemblyAssemblyDistrict135General[[#This Row],[Part of Monroe County Vote Results]]</f>
        <v>16</v>
      </c>
      <c r="D10" s="11"/>
    </row>
    <row r="11" spans="1:4" ht="13.8" x14ac:dyDescent="0.3">
      <c r="A11" s="13" t="s">
        <v>2</v>
      </c>
      <c r="B11" s="2">
        <f>SUM(MemberOfAssemblyAssemblyDistrict135General[Part of Monroe County Vote Results])</f>
        <v>86483</v>
      </c>
      <c r="C11" s="9">
        <f>SUM(MemberOfAssemblyAssemblyDistrict135General[Total Votes by Party])</f>
        <v>86483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4B12-89AC-411A-8919-A0C0BD530E47}">
  <dimension ref="A1:D10"/>
  <sheetViews>
    <sheetView workbookViewId="0">
      <selection activeCell="B10" sqref="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672</v>
      </c>
    </row>
    <row r="2" spans="1:4" ht="27.6" x14ac:dyDescent="0.25">
      <c r="A2" s="5" t="s">
        <v>5</v>
      </c>
      <c r="B2" s="6" t="s">
        <v>42</v>
      </c>
      <c r="C2" s="7" t="s">
        <v>3</v>
      </c>
      <c r="D2" s="8" t="s">
        <v>4</v>
      </c>
    </row>
    <row r="3" spans="1:4" ht="13.8" x14ac:dyDescent="0.3">
      <c r="A3" s="1" t="s">
        <v>673</v>
      </c>
      <c r="B3" s="2">
        <v>40366</v>
      </c>
      <c r="C3" s="9">
        <f>MemberOfAssemblyAssemblyDistrict136General[[#This Row],[Part of Monroe County Vote Results]]</f>
        <v>40366</v>
      </c>
      <c r="D3" s="10">
        <f>SUM(MemberOfAssemblyAssemblyDistrict136General[[#This Row],[Total Votes by Party]],C4)</f>
        <v>45035</v>
      </c>
    </row>
    <row r="4" spans="1:4" ht="13.8" x14ac:dyDescent="0.3">
      <c r="A4" s="1" t="s">
        <v>674</v>
      </c>
      <c r="B4" s="2">
        <v>4669</v>
      </c>
      <c r="C4" s="9">
        <f>MemberOfAssemblyAssemblyDistrict136General[[#This Row],[Part of Monroe County Vote Results]]</f>
        <v>4669</v>
      </c>
      <c r="D4" s="11"/>
    </row>
    <row r="5" spans="1:4" ht="13.8" x14ac:dyDescent="0.3">
      <c r="A5" s="1" t="s">
        <v>675</v>
      </c>
      <c r="B5" s="2">
        <v>2925</v>
      </c>
      <c r="C5" s="9">
        <f>MemberOfAssemblyAssemblyDistrict136General[[#This Row],[Part of Monroe County Vote Results]]</f>
        <v>2925</v>
      </c>
      <c r="D5" s="10">
        <f>SUM(MemberOfAssemblyAssemblyDistrict136General[[#This Row],[Total Votes by Party]])</f>
        <v>2925</v>
      </c>
    </row>
    <row r="6" spans="1:4" ht="13.8" x14ac:dyDescent="0.3">
      <c r="A6" s="1" t="s">
        <v>676</v>
      </c>
      <c r="B6" s="2">
        <v>3955</v>
      </c>
      <c r="C6" s="9">
        <f>MemberOfAssemblyAssemblyDistrict136General[[#This Row],[Part of Monroe County Vote Results]]</f>
        <v>3955</v>
      </c>
      <c r="D6" s="10">
        <f>SUM(MemberOfAssemblyAssemblyDistrict136General[[#This Row],[Total Votes by Party]])</f>
        <v>3955</v>
      </c>
    </row>
    <row r="7" spans="1:4" ht="13.8" x14ac:dyDescent="0.3">
      <c r="A7" s="3" t="s">
        <v>0</v>
      </c>
      <c r="B7" s="2">
        <v>16092</v>
      </c>
      <c r="C7" s="9">
        <f>MemberOfAssemblyAssemblyDistrict136General[[#This Row],[Part of Monroe County Vote Results]]</f>
        <v>16092</v>
      </c>
      <c r="D7" s="11"/>
    </row>
    <row r="8" spans="1:4" ht="13.8" x14ac:dyDescent="0.3">
      <c r="A8" s="3" t="s">
        <v>1</v>
      </c>
      <c r="B8" s="2">
        <v>11</v>
      </c>
      <c r="C8" s="9">
        <f>MemberOfAssemblyAssemblyDistrict136General[[#This Row],[Part of Monroe County Vote Results]]</f>
        <v>11</v>
      </c>
      <c r="D8" s="11"/>
    </row>
    <row r="9" spans="1:4" ht="13.8" x14ac:dyDescent="0.3">
      <c r="A9" s="3" t="s">
        <v>6</v>
      </c>
      <c r="B9" s="2">
        <v>58</v>
      </c>
      <c r="C9" s="9">
        <f>MemberOfAssemblyAssemblyDistrict136General[[#This Row],[Part of Monroe County Vote Results]]</f>
        <v>58</v>
      </c>
      <c r="D9" s="11"/>
    </row>
    <row r="10" spans="1:4" ht="13.8" x14ac:dyDescent="0.3">
      <c r="A10" s="13" t="s">
        <v>2</v>
      </c>
      <c r="B10" s="2">
        <f>SUM(MemberOfAssemblyAssemblyDistrict136General[Part of Monroe County Vote Results])</f>
        <v>68076</v>
      </c>
      <c r="C10" s="9">
        <f>SUM(MemberOfAssemblyAssemblyDistrict136General[Total Votes by Party])</f>
        <v>68076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A06F-FECF-4A45-AB35-E1CAC6E83943}">
  <dimension ref="A1:D8"/>
  <sheetViews>
    <sheetView workbookViewId="0">
      <selection activeCell="B8" sqref="B8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677</v>
      </c>
    </row>
    <row r="2" spans="1:4" ht="27.6" x14ac:dyDescent="0.25">
      <c r="A2" s="5" t="s">
        <v>5</v>
      </c>
      <c r="B2" s="6" t="s">
        <v>42</v>
      </c>
      <c r="C2" s="7" t="s">
        <v>3</v>
      </c>
      <c r="D2" s="8" t="s">
        <v>4</v>
      </c>
    </row>
    <row r="3" spans="1:4" ht="13.8" x14ac:dyDescent="0.3">
      <c r="A3" s="15" t="s">
        <v>678</v>
      </c>
      <c r="B3" s="2">
        <v>30410</v>
      </c>
      <c r="C3" s="9">
        <f>MemberOfAssemblyAssemblyDistrict137General[[#This Row],[Part of Monroe County Vote Results]]</f>
        <v>30410</v>
      </c>
      <c r="D3" s="10">
        <f>SUM(MemberOfAssemblyAssemblyDistrict137General[[#This Row],[Total Votes by Party]],C4)</f>
        <v>33952</v>
      </c>
    </row>
    <row r="4" spans="1:4" ht="13.8" x14ac:dyDescent="0.3">
      <c r="A4" s="1" t="s">
        <v>679</v>
      </c>
      <c r="B4" s="2">
        <v>3542</v>
      </c>
      <c r="C4" s="9">
        <f>MemberOfAssemblyAssemblyDistrict137General[[#This Row],[Part of Monroe County Vote Results]]</f>
        <v>3542</v>
      </c>
      <c r="D4" s="11"/>
    </row>
    <row r="5" spans="1:4" ht="13.8" x14ac:dyDescent="0.3">
      <c r="A5" s="3" t="s">
        <v>0</v>
      </c>
      <c r="B5" s="2">
        <v>11622</v>
      </c>
      <c r="C5" s="9">
        <f>MemberOfAssemblyAssemblyDistrict137General[[#This Row],[Part of Monroe County Vote Results]]</f>
        <v>11622</v>
      </c>
      <c r="D5" s="11"/>
    </row>
    <row r="6" spans="1:4" ht="13.8" x14ac:dyDescent="0.3">
      <c r="A6" s="3" t="s">
        <v>1</v>
      </c>
      <c r="B6" s="2">
        <v>10</v>
      </c>
      <c r="C6" s="9">
        <f>MemberOfAssemblyAssemblyDistrict137General[[#This Row],[Part of Monroe County Vote Results]]</f>
        <v>10</v>
      </c>
      <c r="D6" s="11"/>
    </row>
    <row r="7" spans="1:4" ht="13.8" x14ac:dyDescent="0.3">
      <c r="A7" s="3" t="s">
        <v>6</v>
      </c>
      <c r="B7" s="2">
        <v>153</v>
      </c>
      <c r="C7" s="9">
        <f>MemberOfAssemblyAssemblyDistrict137General[[#This Row],[Part of Monroe County Vote Results]]</f>
        <v>153</v>
      </c>
      <c r="D7" s="11"/>
    </row>
    <row r="8" spans="1:4" ht="13.8" x14ac:dyDescent="0.3">
      <c r="A8" s="13" t="s">
        <v>2</v>
      </c>
      <c r="B8" s="2">
        <f>SUM(MemberOfAssemblyAssemblyDistrict137General[Part of Monroe County Vote Results])</f>
        <v>45737</v>
      </c>
      <c r="C8" s="9">
        <f>SUM(MemberOfAssemblyAssemblyDistrict137General[Total Votes by Party])</f>
        <v>45737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06BB-FFF3-4E6C-B0BB-6C4A014B59F1}">
  <dimension ref="A1:D12"/>
  <sheetViews>
    <sheetView workbookViewId="0">
      <selection activeCell="B12" sqref="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680</v>
      </c>
    </row>
    <row r="2" spans="1:4" ht="27.6" x14ac:dyDescent="0.25">
      <c r="A2" s="5" t="s">
        <v>5</v>
      </c>
      <c r="B2" s="6" t="s">
        <v>42</v>
      </c>
      <c r="C2" s="7" t="s">
        <v>3</v>
      </c>
      <c r="D2" s="8" t="s">
        <v>4</v>
      </c>
    </row>
    <row r="3" spans="1:4" ht="13.8" x14ac:dyDescent="0.3">
      <c r="A3" s="1" t="s">
        <v>681</v>
      </c>
      <c r="B3" s="2">
        <v>33107</v>
      </c>
      <c r="C3" s="9">
        <f>MemberOfAssemblyAssemblyDistrict138General[[#This Row],[Part of Monroe County Vote Results]]</f>
        <v>33107</v>
      </c>
      <c r="D3" s="10">
        <f>SUM(MemberOfAssemblyAssemblyDistrict138General[[#This Row],[Total Votes by Party]],C6,C8)</f>
        <v>37351</v>
      </c>
    </row>
    <row r="4" spans="1:4" ht="13.8" x14ac:dyDescent="0.3">
      <c r="A4" s="1" t="s">
        <v>682</v>
      </c>
      <c r="B4" s="2">
        <v>16104</v>
      </c>
      <c r="C4" s="9">
        <f>MemberOfAssemblyAssemblyDistrict138General[[#This Row],[Part of Monroe County Vote Results]]</f>
        <v>16104</v>
      </c>
      <c r="D4" s="10">
        <f>SUM(MemberOfAssemblyAssemblyDistrict138General[[#This Row],[Total Votes by Party]],C5,C7)</f>
        <v>19917</v>
      </c>
    </row>
    <row r="5" spans="1:4" ht="13.8" x14ac:dyDescent="0.3">
      <c r="A5" s="1" t="s">
        <v>683</v>
      </c>
      <c r="B5" s="2">
        <v>3020</v>
      </c>
      <c r="C5" s="9">
        <f>MemberOfAssemblyAssemblyDistrict138General[[#This Row],[Part of Monroe County Vote Results]]</f>
        <v>3020</v>
      </c>
      <c r="D5" s="11"/>
    </row>
    <row r="6" spans="1:4" ht="13.8" x14ac:dyDescent="0.3">
      <c r="A6" s="1" t="s">
        <v>684</v>
      </c>
      <c r="B6" s="2">
        <v>3324</v>
      </c>
      <c r="C6" s="9">
        <f>MemberOfAssemblyAssemblyDistrict138General[[#This Row],[Part of Monroe County Vote Results]]</f>
        <v>3324</v>
      </c>
      <c r="D6" s="11"/>
    </row>
    <row r="7" spans="1:4" ht="13.8" x14ac:dyDescent="0.3">
      <c r="A7" s="1" t="s">
        <v>685</v>
      </c>
      <c r="B7" s="2">
        <v>793</v>
      </c>
      <c r="C7" s="9">
        <f>MemberOfAssemblyAssemblyDistrict138General[[#This Row],[Part of Monroe County Vote Results]]</f>
        <v>793</v>
      </c>
      <c r="D7" s="11"/>
    </row>
    <row r="8" spans="1:4" ht="13.8" x14ac:dyDescent="0.3">
      <c r="A8" s="1" t="s">
        <v>686</v>
      </c>
      <c r="B8" s="2">
        <v>920</v>
      </c>
      <c r="C8" s="9">
        <f>MemberOfAssemblyAssemblyDistrict138General[[#This Row],[Part of Monroe County Vote Results]]</f>
        <v>920</v>
      </c>
      <c r="D8" s="11"/>
    </row>
    <row r="9" spans="1:4" ht="13.8" x14ac:dyDescent="0.3">
      <c r="A9" s="3" t="s">
        <v>0</v>
      </c>
      <c r="B9" s="2">
        <v>3519</v>
      </c>
      <c r="C9" s="9">
        <f>MemberOfAssemblyAssemblyDistrict138General[[#This Row],[Part of Monroe County Vote Results]]</f>
        <v>3519</v>
      </c>
      <c r="D9" s="11"/>
    </row>
    <row r="10" spans="1:4" ht="13.8" x14ac:dyDescent="0.3">
      <c r="A10" s="3" t="s">
        <v>1</v>
      </c>
      <c r="B10" s="2">
        <v>19</v>
      </c>
      <c r="C10" s="9">
        <f>MemberOfAssemblyAssemblyDistrict138General[[#This Row],[Part of Monroe County Vote Results]]</f>
        <v>19</v>
      </c>
      <c r="D10" s="11"/>
    </row>
    <row r="11" spans="1:4" ht="13.8" x14ac:dyDescent="0.3">
      <c r="A11" s="3" t="s">
        <v>6</v>
      </c>
      <c r="B11" s="2">
        <v>33</v>
      </c>
      <c r="C11" s="9">
        <f>MemberOfAssemblyAssemblyDistrict138General[[#This Row],[Part of Monroe County Vote Results]]</f>
        <v>33</v>
      </c>
      <c r="D11" s="11"/>
    </row>
    <row r="12" spans="1:4" ht="13.8" x14ac:dyDescent="0.3">
      <c r="A12" s="13" t="s">
        <v>2</v>
      </c>
      <c r="B12" s="2">
        <f>SUM(MemberOfAssemblyAssemblyDistrict138General[Part of Monroe County Vote Results])</f>
        <v>60839</v>
      </c>
      <c r="C12" s="9">
        <f>SUM(MemberOfAssemblyAssemblyDistrict138General[Total Votes by Party])</f>
        <v>60839</v>
      </c>
      <c r="D12" s="11"/>
    </row>
  </sheetData>
  <pageMargins left="0.7" right="0.7" top="0.75" bottom="0.75" header="0.3" footer="0.3"/>
  <tableParts count="1">
    <tablePart r:id="rId1"/>
  </tableParts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6A7A-9C29-478C-9AC0-6D3053F1286A}">
  <dimension ref="A1:F10"/>
  <sheetViews>
    <sheetView workbookViewId="0">
      <selection activeCell="C10" sqref="C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687</v>
      </c>
    </row>
    <row r="2" spans="1:6" ht="27.6" x14ac:dyDescent="0.25">
      <c r="A2" s="5" t="s">
        <v>5</v>
      </c>
      <c r="B2" s="6" t="s">
        <v>19</v>
      </c>
      <c r="C2" s="6" t="s">
        <v>42</v>
      </c>
      <c r="D2" s="6" t="s">
        <v>688</v>
      </c>
      <c r="E2" s="7" t="s">
        <v>3</v>
      </c>
      <c r="F2" s="8" t="s">
        <v>4</v>
      </c>
    </row>
    <row r="3" spans="1:6" ht="13.8" x14ac:dyDescent="0.3">
      <c r="A3" s="1" t="s">
        <v>689</v>
      </c>
      <c r="B3" s="2">
        <v>19347</v>
      </c>
      <c r="C3" s="2">
        <v>9600</v>
      </c>
      <c r="D3" s="2">
        <v>10420</v>
      </c>
      <c r="E3" s="9">
        <f>SUM(MemberOfAssemblyAssemblyDistrict139General[[#This Row],[Genesee County Vote Results]:[Part of Orleans County Vote Results]])</f>
        <v>39367</v>
      </c>
      <c r="F3" s="10">
        <f>SUM(MemberOfAssemblyAssemblyDistrict139General[[#This Row],[Total Votes by Party]],E4,E6)</f>
        <v>48134</v>
      </c>
    </row>
    <row r="4" spans="1:6" ht="13.8" x14ac:dyDescent="0.3">
      <c r="A4" s="1" t="s">
        <v>690</v>
      </c>
      <c r="B4" s="2">
        <v>2676</v>
      </c>
      <c r="C4" s="2">
        <v>1907</v>
      </c>
      <c r="D4" s="2">
        <v>1438</v>
      </c>
      <c r="E4" s="9">
        <f>SUM(MemberOfAssemblyAssemblyDistrict139General[[#This Row],[Genesee County Vote Results]:[Part of Orleans County Vote Results]])</f>
        <v>6021</v>
      </c>
      <c r="F4" s="11"/>
    </row>
    <row r="5" spans="1:6" ht="13.8" x14ac:dyDescent="0.3">
      <c r="A5" s="1" t="s">
        <v>691</v>
      </c>
      <c r="B5" s="2">
        <v>2051</v>
      </c>
      <c r="C5" s="2">
        <v>1482</v>
      </c>
      <c r="D5" s="2">
        <v>973</v>
      </c>
      <c r="E5" s="9">
        <f>SUM(MemberOfAssemblyAssemblyDistrict139General[[#This Row],[Genesee County Vote Results]:[Part of Orleans County Vote Results]])</f>
        <v>4506</v>
      </c>
      <c r="F5" s="10">
        <f>SUM(MemberOfAssemblyAssemblyDistrict139General[[#This Row],[Total Votes by Party]])</f>
        <v>4506</v>
      </c>
    </row>
    <row r="6" spans="1:6" ht="13.8" x14ac:dyDescent="0.3">
      <c r="A6" s="1" t="s">
        <v>692</v>
      </c>
      <c r="B6" s="2">
        <v>1305</v>
      </c>
      <c r="C6" s="2">
        <v>826</v>
      </c>
      <c r="D6" s="2">
        <v>615</v>
      </c>
      <c r="E6" s="9">
        <f>SUM(MemberOfAssemblyAssemblyDistrict139General[[#This Row],[Genesee County Vote Results]:[Part of Orleans County Vote Results]])</f>
        <v>2746</v>
      </c>
      <c r="F6" s="11"/>
    </row>
    <row r="7" spans="1:6" ht="13.8" x14ac:dyDescent="0.3">
      <c r="A7" s="3" t="s">
        <v>0</v>
      </c>
      <c r="B7" s="2">
        <v>3974</v>
      </c>
      <c r="C7" s="2">
        <v>4035</v>
      </c>
      <c r="D7" s="2">
        <v>2763</v>
      </c>
      <c r="E7" s="9">
        <f>SUM(MemberOfAssemblyAssemblyDistrict139General[[#This Row],[Genesee County Vote Results]:[Part of Orleans County Vote Results]])</f>
        <v>10772</v>
      </c>
      <c r="F7" s="11"/>
    </row>
    <row r="8" spans="1:6" ht="13.8" x14ac:dyDescent="0.3">
      <c r="A8" s="3" t="s">
        <v>1</v>
      </c>
      <c r="B8" s="2">
        <v>23</v>
      </c>
      <c r="C8" s="2">
        <v>3</v>
      </c>
      <c r="D8" s="2">
        <v>10</v>
      </c>
      <c r="E8" s="9">
        <f>SUM(MemberOfAssemblyAssemblyDistrict139General[[#This Row],[Genesee County Vote Results]:[Part of Orleans County Vote Results]])</f>
        <v>36</v>
      </c>
      <c r="F8" s="11"/>
    </row>
    <row r="9" spans="1:6" ht="13.8" x14ac:dyDescent="0.3">
      <c r="A9" s="3" t="s">
        <v>6</v>
      </c>
      <c r="B9" s="2">
        <v>55</v>
      </c>
      <c r="C9" s="2">
        <v>28</v>
      </c>
      <c r="D9" s="2">
        <v>9</v>
      </c>
      <c r="E9" s="9">
        <f>SUM(MemberOfAssemblyAssemblyDistrict139General[[#This Row],[Genesee County Vote Results]:[Part of Orleans County Vote Results]])</f>
        <v>92</v>
      </c>
      <c r="F9" s="11"/>
    </row>
    <row r="10" spans="1:6" ht="13.8" x14ac:dyDescent="0.3">
      <c r="A10" s="13" t="s">
        <v>2</v>
      </c>
      <c r="B10" s="2">
        <f>SUM(MemberOfAssemblyAssemblyDistrict139General[Genesee County Vote Results])</f>
        <v>29431</v>
      </c>
      <c r="C10" s="2">
        <f>SUM(MemberOfAssemblyAssemblyDistrict139General[Part of Monroe County Vote Results])</f>
        <v>17881</v>
      </c>
      <c r="D10" s="2">
        <f>SUM(MemberOfAssemblyAssemblyDistrict139General[Part of Orleans County Vote Results])</f>
        <v>16228</v>
      </c>
      <c r="E10" s="9">
        <f>SUM(MemberOfAssemblyAssemblyDistrict139General[Total Votes by Party])</f>
        <v>63540</v>
      </c>
      <c r="F10" s="1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C36A-FFBB-440C-A79F-FF7F19C6DB62}">
  <dimension ref="A1:D11"/>
  <sheetViews>
    <sheetView workbookViewId="0">
      <selection activeCell="D14" sqref="D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137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138</v>
      </c>
      <c r="B3" s="21">
        <v>29129</v>
      </c>
      <c r="C3" s="9">
        <f>MemberOfAssemblyAssemblyDistrict14General[[#This Row],[Part of Nassau County Vote Results]]</f>
        <v>29129</v>
      </c>
      <c r="D3" s="10">
        <f>SUM(MemberOfAssemblyAssemblyDistrict14General[[#This Row],[Total Votes by Party]])</f>
        <v>29129</v>
      </c>
    </row>
    <row r="4" spans="1:4" ht="13.8" x14ac:dyDescent="0.3">
      <c r="A4" s="1" t="s">
        <v>139</v>
      </c>
      <c r="B4" s="21">
        <v>39049</v>
      </c>
      <c r="C4" s="9">
        <f>MemberOfAssemblyAssemblyDistrict14General[[#This Row],[Part of Nassau County Vote Results]]</f>
        <v>39049</v>
      </c>
      <c r="D4" s="10">
        <f>SUM(MemberOfAssemblyAssemblyDistrict14General[[#This Row],[Total Votes by Party]],C5,C7)</f>
        <v>43390</v>
      </c>
    </row>
    <row r="5" spans="1:4" ht="13.8" x14ac:dyDescent="0.3">
      <c r="A5" s="1" t="s">
        <v>140</v>
      </c>
      <c r="B5" s="21">
        <v>3517</v>
      </c>
      <c r="C5" s="9">
        <f>MemberOfAssemblyAssemblyDistrict14General[[#This Row],[Part of Nassau County Vote Results]]</f>
        <v>3517</v>
      </c>
      <c r="D5" s="11"/>
    </row>
    <row r="6" spans="1:4" ht="13.8" x14ac:dyDescent="0.3">
      <c r="A6" s="1" t="s">
        <v>141</v>
      </c>
      <c r="B6" s="21">
        <v>625</v>
      </c>
      <c r="C6" s="9">
        <f>MemberOfAssemblyAssemblyDistrict14General[[#This Row],[Part of Nassau County Vote Results]]</f>
        <v>625</v>
      </c>
      <c r="D6" s="10">
        <f>SUM(MemberOfAssemblyAssemblyDistrict14General[[#This Row],[Total Votes by Party]])</f>
        <v>625</v>
      </c>
    </row>
    <row r="7" spans="1:4" ht="13.8" x14ac:dyDescent="0.3">
      <c r="A7" s="1" t="s">
        <v>142</v>
      </c>
      <c r="B7" s="21">
        <v>824</v>
      </c>
      <c r="C7" s="9">
        <f>MemberOfAssemblyAssemblyDistrict14General[[#This Row],[Part of Nassau County Vote Results]]</f>
        <v>824</v>
      </c>
      <c r="D7" s="11"/>
    </row>
    <row r="8" spans="1:4" ht="13.8" x14ac:dyDescent="0.3">
      <c r="A8" s="3" t="s">
        <v>0</v>
      </c>
      <c r="B8" s="21">
        <v>7477</v>
      </c>
      <c r="C8" s="9">
        <f>MemberOfAssemblyAssemblyDistrict14General[[#This Row],[Part of Nassau County Vote Results]]</f>
        <v>7477</v>
      </c>
      <c r="D8" s="11"/>
    </row>
    <row r="9" spans="1:4" ht="13.8" x14ac:dyDescent="0.3">
      <c r="A9" s="3" t="s">
        <v>1</v>
      </c>
      <c r="B9" s="21">
        <v>19</v>
      </c>
      <c r="C9" s="9">
        <f>MemberOfAssemblyAssemblyDistrict14General[[#This Row],[Part of Nassau County Vote Results]]</f>
        <v>19</v>
      </c>
      <c r="D9" s="11"/>
    </row>
    <row r="10" spans="1:4" ht="13.8" x14ac:dyDescent="0.3">
      <c r="A10" s="3" t="s">
        <v>6</v>
      </c>
      <c r="B10" s="21">
        <v>22</v>
      </c>
      <c r="C10" s="9">
        <f>MemberOfAssemblyAssemblyDistrict14General[[#This Row],[Part of Nassau County Vote Results]]</f>
        <v>22</v>
      </c>
      <c r="D10" s="11"/>
    </row>
    <row r="11" spans="1:4" ht="13.8" x14ac:dyDescent="0.3">
      <c r="A11" s="13" t="s">
        <v>2</v>
      </c>
      <c r="B11" s="21">
        <f>SUM(MemberOfAssemblyAssemblyDistrict14General[Part of Nassau County Vote Results])</f>
        <v>80662</v>
      </c>
      <c r="C11" s="9">
        <f>SUM(MemberOfAssemblyAssemblyDistrict14General[Total Votes by Party])</f>
        <v>80662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ADB-7079-4D65-888D-2E2BB8D7BD23}">
  <dimension ref="A1:E12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693</v>
      </c>
    </row>
    <row r="2" spans="1:5" ht="27.6" x14ac:dyDescent="0.25">
      <c r="A2" s="5" t="s">
        <v>5</v>
      </c>
      <c r="B2" s="6" t="s">
        <v>43</v>
      </c>
      <c r="C2" s="6" t="s">
        <v>44</v>
      </c>
      <c r="D2" s="7" t="s">
        <v>3</v>
      </c>
      <c r="E2" s="8" t="s">
        <v>4</v>
      </c>
    </row>
    <row r="3" spans="1:5" ht="13.8" x14ac:dyDescent="0.3">
      <c r="A3" s="1" t="s">
        <v>694</v>
      </c>
      <c r="B3" s="2">
        <v>27656</v>
      </c>
      <c r="C3" s="2">
        <v>3719</v>
      </c>
      <c r="D3" s="9">
        <f>SUM(MemberOfAssemblyAssemblyDistrict140General[[#This Row],[Part of Erie County Vote Results]:[Part of Niagara County Vote Results]])</f>
        <v>31375</v>
      </c>
      <c r="E3" s="10">
        <f>SUM(MemberOfAssemblyAssemblyDistrict140General[[#This Row],[Total Votes by Party]],D6,D8)</f>
        <v>35612</v>
      </c>
    </row>
    <row r="4" spans="1:5" ht="13.8" x14ac:dyDescent="0.3">
      <c r="A4" s="1" t="s">
        <v>695</v>
      </c>
      <c r="B4" s="2">
        <v>16784</v>
      </c>
      <c r="C4" s="2">
        <v>4220</v>
      </c>
      <c r="D4" s="9">
        <f>SUM(MemberOfAssemblyAssemblyDistrict140General[[#This Row],[Part of Erie County Vote Results]:[Part of Niagara County Vote Results]])</f>
        <v>21004</v>
      </c>
      <c r="E4" s="10">
        <f>SUM(MemberOfAssemblyAssemblyDistrict140General[[#This Row],[Total Votes by Party]],D5)</f>
        <v>24592</v>
      </c>
    </row>
    <row r="5" spans="1:5" ht="13.8" x14ac:dyDescent="0.3">
      <c r="A5" s="1" t="s">
        <v>696</v>
      </c>
      <c r="B5" s="2">
        <v>2875</v>
      </c>
      <c r="C5" s="2">
        <v>713</v>
      </c>
      <c r="D5" s="9">
        <f>SUM(MemberOfAssemblyAssemblyDistrict140General[[#This Row],[Part of Erie County Vote Results]:[Part of Niagara County Vote Results]])</f>
        <v>3588</v>
      </c>
      <c r="E5" s="11"/>
    </row>
    <row r="6" spans="1:5" ht="13.8" x14ac:dyDescent="0.3">
      <c r="A6" s="1" t="s">
        <v>697</v>
      </c>
      <c r="B6" s="2">
        <v>2815</v>
      </c>
      <c r="C6" s="2">
        <v>384</v>
      </c>
      <c r="D6" s="9">
        <f>SUM(MemberOfAssemblyAssemblyDistrict140General[[#This Row],[Part of Erie County Vote Results]:[Part of Niagara County Vote Results]])</f>
        <v>3199</v>
      </c>
      <c r="E6" s="11"/>
    </row>
    <row r="7" spans="1:5" ht="13.8" x14ac:dyDescent="0.3">
      <c r="A7" s="1" t="s">
        <v>698</v>
      </c>
      <c r="B7" s="2">
        <v>896</v>
      </c>
      <c r="C7" s="2">
        <v>157</v>
      </c>
      <c r="D7" s="9">
        <f>SUM(MemberOfAssemblyAssemblyDistrict140General[[#This Row],[Part of Erie County Vote Results]:[Part of Niagara County Vote Results]])</f>
        <v>1053</v>
      </c>
      <c r="E7" s="10">
        <f>MemberOfAssemblyAssemblyDistrict140General[[#This Row],[Total Votes by Party]]</f>
        <v>1053</v>
      </c>
    </row>
    <row r="8" spans="1:5" ht="13.8" x14ac:dyDescent="0.3">
      <c r="A8" s="1" t="s">
        <v>699</v>
      </c>
      <c r="B8" s="2">
        <v>789</v>
      </c>
      <c r="C8" s="2">
        <v>249</v>
      </c>
      <c r="D8" s="9">
        <f>SUM(MemberOfAssemblyAssemblyDistrict140General[[#This Row],[Part of Erie County Vote Results]:[Part of Niagara County Vote Results]])</f>
        <v>1038</v>
      </c>
      <c r="E8" s="11"/>
    </row>
    <row r="9" spans="1:5" ht="13.8" x14ac:dyDescent="0.3">
      <c r="A9" s="3" t="s">
        <v>0</v>
      </c>
      <c r="B9" s="2">
        <v>2733</v>
      </c>
      <c r="C9" s="2">
        <v>646</v>
      </c>
      <c r="D9" s="9">
        <f>SUM(MemberOfAssemblyAssemblyDistrict140General[[#This Row],[Part of Erie County Vote Results]:[Part of Niagara County Vote Results]])</f>
        <v>3379</v>
      </c>
      <c r="E9" s="11"/>
    </row>
    <row r="10" spans="1:5" ht="13.8" x14ac:dyDescent="0.3">
      <c r="A10" s="3" t="s">
        <v>1</v>
      </c>
      <c r="B10" s="2">
        <v>17</v>
      </c>
      <c r="C10" s="2">
        <v>2</v>
      </c>
      <c r="D10" s="9">
        <f>SUM(MemberOfAssemblyAssemblyDistrict140General[[#This Row],[Part of Erie County Vote Results]:[Part of Niagara County Vote Results]])</f>
        <v>19</v>
      </c>
      <c r="E10" s="11"/>
    </row>
    <row r="11" spans="1:5" ht="13.8" x14ac:dyDescent="0.3">
      <c r="A11" s="3" t="s">
        <v>6</v>
      </c>
      <c r="B11" s="2">
        <v>51</v>
      </c>
      <c r="C11" s="2">
        <v>4</v>
      </c>
      <c r="D11" s="9">
        <f>SUM(MemberOfAssemblyAssemblyDistrict140General[[#This Row],[Part of Erie County Vote Results]:[Part of Niagara County Vote Results]])</f>
        <v>55</v>
      </c>
      <c r="E11" s="11"/>
    </row>
    <row r="12" spans="1:5" ht="13.8" x14ac:dyDescent="0.3">
      <c r="A12" s="13" t="s">
        <v>2</v>
      </c>
      <c r="B12" s="2">
        <f>SUM(MemberOfAssemblyAssemblyDistrict140General[Part of Erie County Vote Results])</f>
        <v>54616</v>
      </c>
      <c r="C12" s="2">
        <f>SUM(MemberOfAssemblyAssemblyDistrict140General[Part of Niagara County Vote Results])</f>
        <v>10094</v>
      </c>
      <c r="D12" s="9">
        <f>SUM(MemberOfAssemblyAssemblyDistrict140General[Total Votes by Party])</f>
        <v>64710</v>
      </c>
      <c r="E12" s="11"/>
    </row>
  </sheetData>
  <pageMargins left="0.7" right="0.7" top="0.75" bottom="0.75" header="0.3" footer="0.3"/>
  <tableParts count="1">
    <tablePart r:id="rId1"/>
  </tableParts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C210-6DA8-4828-8F3C-7E8D88786E89}">
  <dimension ref="A1:D8"/>
  <sheetViews>
    <sheetView workbookViewId="0">
      <selection activeCell="F20" sqref="F2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700</v>
      </c>
    </row>
    <row r="2" spans="1:4" ht="27.6" x14ac:dyDescent="0.25">
      <c r="A2" s="5" t="s">
        <v>5</v>
      </c>
      <c r="B2" s="6" t="s">
        <v>43</v>
      </c>
      <c r="C2" s="7" t="s">
        <v>3</v>
      </c>
      <c r="D2" s="8" t="s">
        <v>4</v>
      </c>
    </row>
    <row r="3" spans="1:4" ht="13.8" x14ac:dyDescent="0.3">
      <c r="A3" s="1" t="s">
        <v>701</v>
      </c>
      <c r="B3" s="2">
        <v>42587</v>
      </c>
      <c r="C3" s="9">
        <f>MemberOfAssemblyAssemblyDistrict141General[[#This Row],[Part of Erie County Vote Results]]</f>
        <v>42587</v>
      </c>
      <c r="D3" s="10">
        <f>MemberOfAssemblyAssemblyDistrict141General[[#This Row],[Total Votes by Party]]</f>
        <v>42587</v>
      </c>
    </row>
    <row r="4" spans="1:4" ht="13.8" x14ac:dyDescent="0.3">
      <c r="A4" s="1" t="s">
        <v>702</v>
      </c>
      <c r="B4" s="2">
        <v>4980</v>
      </c>
      <c r="C4" s="9">
        <f>MemberOfAssemblyAssemblyDistrict141General[[#This Row],[Part of Erie County Vote Results]]</f>
        <v>4980</v>
      </c>
      <c r="D4" s="10">
        <f>MemberOfAssemblyAssemblyDistrict141General[[#This Row],[Total Votes by Party]]</f>
        <v>4980</v>
      </c>
    </row>
    <row r="5" spans="1:4" ht="13.8" x14ac:dyDescent="0.3">
      <c r="A5" s="3" t="s">
        <v>0</v>
      </c>
      <c r="B5" s="2">
        <v>2925</v>
      </c>
      <c r="C5" s="9">
        <f>MemberOfAssemblyAssemblyDistrict141General[[#This Row],[Part of Erie County Vote Results]]</f>
        <v>2925</v>
      </c>
      <c r="D5" s="11"/>
    </row>
    <row r="6" spans="1:4" ht="13.8" x14ac:dyDescent="0.3">
      <c r="A6" s="3" t="s">
        <v>1</v>
      </c>
      <c r="B6" s="2">
        <v>16</v>
      </c>
      <c r="C6" s="9">
        <f>MemberOfAssemblyAssemblyDistrict141General[[#This Row],[Part of Erie County Vote Results]]</f>
        <v>16</v>
      </c>
      <c r="D6" s="11"/>
    </row>
    <row r="7" spans="1:4" ht="13.8" x14ac:dyDescent="0.3">
      <c r="A7" s="3" t="s">
        <v>6</v>
      </c>
      <c r="B7" s="2">
        <v>52</v>
      </c>
      <c r="C7" s="9">
        <f>MemberOfAssemblyAssemblyDistrict141General[[#This Row],[Part of Erie County Vote Results]]</f>
        <v>52</v>
      </c>
      <c r="D7" s="11"/>
    </row>
    <row r="8" spans="1:4" ht="13.8" x14ac:dyDescent="0.3">
      <c r="A8" s="13" t="s">
        <v>2</v>
      </c>
      <c r="B8" s="2">
        <f>SUM(MemberOfAssemblyAssemblyDistrict141General[Part of Erie County Vote Results])</f>
        <v>50560</v>
      </c>
      <c r="C8" s="9">
        <f>SUM(MemberOfAssemblyAssemblyDistrict141General[Total Votes by Party])</f>
        <v>50560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968C-FBCB-42A2-AFE8-1890959981A8}">
  <dimension ref="A1:D11"/>
  <sheetViews>
    <sheetView workbookViewId="0">
      <selection activeCell="E18" sqref="E18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703</v>
      </c>
    </row>
    <row r="2" spans="1:4" ht="27.6" x14ac:dyDescent="0.25">
      <c r="A2" s="5" t="s">
        <v>5</v>
      </c>
      <c r="B2" s="6" t="s">
        <v>43</v>
      </c>
      <c r="C2" s="7" t="s">
        <v>3</v>
      </c>
      <c r="D2" s="8" t="s">
        <v>4</v>
      </c>
    </row>
    <row r="3" spans="1:4" ht="13.8" x14ac:dyDescent="0.3">
      <c r="A3" s="1" t="s">
        <v>704</v>
      </c>
      <c r="B3" s="2">
        <v>32291</v>
      </c>
      <c r="C3" s="9">
        <f>MemberOfAssemblyAssemblyDistrict142General[[#This Row],[Part of Erie County Vote Results]]</f>
        <v>32291</v>
      </c>
      <c r="D3" s="10">
        <f>SUM(MemberOfAssemblyAssemblyDistrict142General[[#This Row],[Total Votes by Party]],C6,C7)</f>
        <v>36752</v>
      </c>
    </row>
    <row r="4" spans="1:4" ht="13.8" x14ac:dyDescent="0.3">
      <c r="A4" s="1" t="s">
        <v>705</v>
      </c>
      <c r="B4" s="2">
        <v>24080</v>
      </c>
      <c r="C4" s="9">
        <f>MemberOfAssemblyAssemblyDistrict142General[[#This Row],[Part of Erie County Vote Results]]</f>
        <v>24080</v>
      </c>
      <c r="D4" s="10">
        <f>SUM(MemberOfAssemblyAssemblyDistrict142General[[#This Row],[Total Votes by Party]],C5)</f>
        <v>28796</v>
      </c>
    </row>
    <row r="5" spans="1:4" ht="13.8" x14ac:dyDescent="0.3">
      <c r="A5" s="1" t="s">
        <v>706</v>
      </c>
      <c r="B5" s="2">
        <v>4716</v>
      </c>
      <c r="C5" s="9">
        <f>MemberOfAssemblyAssemblyDistrict142General[[#This Row],[Part of Erie County Vote Results]]</f>
        <v>4716</v>
      </c>
      <c r="D5" s="11"/>
    </row>
    <row r="6" spans="1:4" ht="13.8" x14ac:dyDescent="0.3">
      <c r="A6" s="1" t="s">
        <v>707</v>
      </c>
      <c r="B6" s="2">
        <v>3302</v>
      </c>
      <c r="C6" s="9">
        <f>MemberOfAssemblyAssemblyDistrict142General[[#This Row],[Part of Erie County Vote Results]]</f>
        <v>3302</v>
      </c>
      <c r="D6" s="11"/>
    </row>
    <row r="7" spans="1:4" ht="13.8" x14ac:dyDescent="0.3">
      <c r="A7" s="1" t="s">
        <v>708</v>
      </c>
      <c r="B7" s="2">
        <v>1159</v>
      </c>
      <c r="C7" s="9">
        <f>MemberOfAssemblyAssemblyDistrict142General[[#This Row],[Part of Erie County Vote Results]]</f>
        <v>1159</v>
      </c>
      <c r="D7" s="11"/>
    </row>
    <row r="8" spans="1:4" ht="13.8" x14ac:dyDescent="0.3">
      <c r="A8" s="3" t="s">
        <v>0</v>
      </c>
      <c r="B8" s="2">
        <v>3060</v>
      </c>
      <c r="C8" s="9">
        <f>MemberOfAssemblyAssemblyDistrict142General[[#This Row],[Part of Erie County Vote Results]]</f>
        <v>3060</v>
      </c>
      <c r="D8" s="11"/>
    </row>
    <row r="9" spans="1:4" ht="13.8" x14ac:dyDescent="0.3">
      <c r="A9" s="3" t="s">
        <v>1</v>
      </c>
      <c r="B9" s="2">
        <v>41</v>
      </c>
      <c r="C9" s="9">
        <f>MemberOfAssemblyAssemblyDistrict142General[[#This Row],[Part of Erie County Vote Results]]</f>
        <v>41</v>
      </c>
      <c r="D9" s="11"/>
    </row>
    <row r="10" spans="1:4" ht="13.8" x14ac:dyDescent="0.3">
      <c r="A10" s="3" t="s">
        <v>6</v>
      </c>
      <c r="B10" s="2">
        <v>51</v>
      </c>
      <c r="C10" s="9">
        <f>MemberOfAssemblyAssemblyDistrict142General[[#This Row],[Part of Erie County Vote Results]]</f>
        <v>51</v>
      </c>
      <c r="D10" s="11"/>
    </row>
    <row r="11" spans="1:4" ht="13.8" x14ac:dyDescent="0.3">
      <c r="A11" s="13" t="s">
        <v>2</v>
      </c>
      <c r="B11" s="2">
        <f>SUM(MemberOfAssemblyAssemblyDistrict142General[Part of Erie County Vote Results])</f>
        <v>68700</v>
      </c>
      <c r="C11" s="9">
        <f>SUM(MemberOfAssemblyAssemblyDistrict142General[Total Votes by Party])</f>
        <v>68700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779A-6DEA-4123-BF90-F585FBEF8016}">
  <dimension ref="A1:D11"/>
  <sheetViews>
    <sheetView workbookViewId="0">
      <selection activeCell="D26" sqref="D2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709</v>
      </c>
    </row>
    <row r="2" spans="1:4" ht="27.6" x14ac:dyDescent="0.25">
      <c r="A2" s="5" t="s">
        <v>5</v>
      </c>
      <c r="B2" s="6" t="s">
        <v>43</v>
      </c>
      <c r="C2" s="7" t="s">
        <v>3</v>
      </c>
      <c r="D2" s="8" t="s">
        <v>4</v>
      </c>
    </row>
    <row r="3" spans="1:4" ht="13.8" x14ac:dyDescent="0.3">
      <c r="A3" s="1" t="s">
        <v>710</v>
      </c>
      <c r="B3" s="2">
        <v>31179</v>
      </c>
      <c r="C3" s="9">
        <f>MemberOfAssemblyAssemblyDistrict143General[[#This Row],[Part of Erie County Vote Results]]</f>
        <v>31179</v>
      </c>
      <c r="D3" s="10">
        <f>SUM(MemberOfAssemblyAssemblyDistrict143General[[#This Row],[Total Votes by Party]],C6,C7)</f>
        <v>35201</v>
      </c>
    </row>
    <row r="4" spans="1:4" ht="13.8" x14ac:dyDescent="0.3">
      <c r="A4" s="1" t="s">
        <v>711</v>
      </c>
      <c r="B4" s="2">
        <v>26968</v>
      </c>
      <c r="C4" s="9">
        <f>MemberOfAssemblyAssemblyDistrict143General[[#This Row],[Part of Erie County Vote Results]]</f>
        <v>26968</v>
      </c>
      <c r="D4" s="10">
        <f>SUM(MemberOfAssemblyAssemblyDistrict143General[[#This Row],[Total Votes by Party]],C5)</f>
        <v>31895</v>
      </c>
    </row>
    <row r="5" spans="1:4" ht="13.8" x14ac:dyDescent="0.3">
      <c r="A5" s="1" t="s">
        <v>712</v>
      </c>
      <c r="B5" s="2">
        <v>4927</v>
      </c>
      <c r="C5" s="9">
        <f>MemberOfAssemblyAssemblyDistrict143General[[#This Row],[Part of Erie County Vote Results]]</f>
        <v>4927</v>
      </c>
      <c r="D5" s="11"/>
    </row>
    <row r="6" spans="1:4" ht="13.8" x14ac:dyDescent="0.3">
      <c r="A6" s="1" t="s">
        <v>713</v>
      </c>
      <c r="B6" s="2">
        <v>2975</v>
      </c>
      <c r="C6" s="9">
        <f>MemberOfAssemblyAssemblyDistrict143General[[#This Row],[Part of Erie County Vote Results]]</f>
        <v>2975</v>
      </c>
      <c r="D6" s="11"/>
    </row>
    <row r="7" spans="1:4" ht="13.8" x14ac:dyDescent="0.3">
      <c r="A7" s="1" t="s">
        <v>714</v>
      </c>
      <c r="B7" s="2">
        <v>1047</v>
      </c>
      <c r="C7" s="9">
        <f>MemberOfAssemblyAssemblyDistrict143General[[#This Row],[Part of Erie County Vote Results]]</f>
        <v>1047</v>
      </c>
      <c r="D7" s="11"/>
    </row>
    <row r="8" spans="1:4" ht="13.8" x14ac:dyDescent="0.3">
      <c r="A8" s="3" t="s">
        <v>0</v>
      </c>
      <c r="B8" s="2">
        <v>3360</v>
      </c>
      <c r="C8" s="9">
        <f>MemberOfAssemblyAssemblyDistrict143General[[#This Row],[Part of Erie County Vote Results]]</f>
        <v>3360</v>
      </c>
      <c r="D8" s="11"/>
    </row>
    <row r="9" spans="1:4" ht="13.8" x14ac:dyDescent="0.3">
      <c r="A9" s="3" t="s">
        <v>1</v>
      </c>
      <c r="B9" s="2">
        <v>17</v>
      </c>
      <c r="C9" s="9">
        <f>MemberOfAssemblyAssemblyDistrict143General[[#This Row],[Part of Erie County Vote Results]]</f>
        <v>17</v>
      </c>
      <c r="D9" s="11"/>
    </row>
    <row r="10" spans="1:4" ht="13.8" x14ac:dyDescent="0.3">
      <c r="A10" s="3" t="s">
        <v>6</v>
      </c>
      <c r="B10" s="2">
        <v>63</v>
      </c>
      <c r="C10" s="9">
        <f>MemberOfAssemblyAssemblyDistrict143General[[#This Row],[Part of Erie County Vote Results]]</f>
        <v>63</v>
      </c>
      <c r="D10" s="11"/>
    </row>
    <row r="11" spans="1:4" ht="13.8" x14ac:dyDescent="0.3">
      <c r="A11" s="13" t="s">
        <v>2</v>
      </c>
      <c r="B11" s="2">
        <f>SUM(MemberOfAssemblyAssemblyDistrict143General[Part of Erie County Vote Results])</f>
        <v>70536</v>
      </c>
      <c r="C11" s="9">
        <f>SUM(MemberOfAssemblyAssemblyDistrict143General[Total Votes by Party])</f>
        <v>70536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737F-0851-4333-87F7-D2AC35D7F306}">
  <dimension ref="A1:F10"/>
  <sheetViews>
    <sheetView workbookViewId="0">
      <selection activeCell="C10" sqref="C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715</v>
      </c>
    </row>
    <row r="2" spans="1:6" ht="27.6" x14ac:dyDescent="0.25">
      <c r="A2" s="5" t="s">
        <v>5</v>
      </c>
      <c r="B2" s="6" t="s">
        <v>43</v>
      </c>
      <c r="C2" s="6" t="s">
        <v>44</v>
      </c>
      <c r="D2" s="6" t="s">
        <v>688</v>
      </c>
      <c r="E2" s="7" t="s">
        <v>3</v>
      </c>
      <c r="F2" s="8" t="s">
        <v>4</v>
      </c>
    </row>
    <row r="3" spans="1:6" ht="13.8" x14ac:dyDescent="0.3">
      <c r="A3" s="1" t="s">
        <v>716</v>
      </c>
      <c r="B3" s="2">
        <v>17214</v>
      </c>
      <c r="C3" s="2">
        <v>21883</v>
      </c>
      <c r="D3" s="2">
        <v>1217</v>
      </c>
      <c r="E3" s="9">
        <f>SUM(MemberOfAssemblyAssemblyDistrict144General[[#This Row],[Part of Erie County Vote Results]:[Part of Orleans County Vote Results]])</f>
        <v>40314</v>
      </c>
      <c r="F3" s="10">
        <f>SUM(MemberOfAssemblyAssemblyDistrict144General[[#This Row],[Total Votes by Party]],E4,E5,E6)</f>
        <v>54375</v>
      </c>
    </row>
    <row r="4" spans="1:6" ht="13.8" x14ac:dyDescent="0.3">
      <c r="A4" s="1" t="s">
        <v>717</v>
      </c>
      <c r="B4" s="2">
        <v>3339</v>
      </c>
      <c r="C4" s="2">
        <v>3946</v>
      </c>
      <c r="D4" s="2">
        <v>186</v>
      </c>
      <c r="E4" s="9">
        <f>SUM(MemberOfAssemblyAssemblyDistrict144General[[#This Row],[Part of Erie County Vote Results]:[Part of Orleans County Vote Results]])</f>
        <v>7471</v>
      </c>
      <c r="F4" s="11"/>
    </row>
    <row r="5" spans="1:6" ht="13.8" x14ac:dyDescent="0.3">
      <c r="A5" s="1" t="s">
        <v>718</v>
      </c>
      <c r="B5" s="2">
        <v>794</v>
      </c>
      <c r="C5" s="2">
        <v>687</v>
      </c>
      <c r="D5" s="2">
        <v>36</v>
      </c>
      <c r="E5" s="9">
        <f>SUM(MemberOfAssemblyAssemblyDistrict144General[[#This Row],[Part of Erie County Vote Results]:[Part of Orleans County Vote Results]])</f>
        <v>1517</v>
      </c>
      <c r="F5" s="11"/>
    </row>
    <row r="6" spans="1:6" ht="13.8" x14ac:dyDescent="0.3">
      <c r="A6" s="1" t="s">
        <v>719</v>
      </c>
      <c r="B6" s="2">
        <v>2005</v>
      </c>
      <c r="C6" s="2">
        <v>2976</v>
      </c>
      <c r="D6" s="2">
        <v>92</v>
      </c>
      <c r="E6" s="9">
        <f>SUM(MemberOfAssemblyAssemblyDistrict144General[[#This Row],[Part of Erie County Vote Results]:[Part of Orleans County Vote Results]])</f>
        <v>5073</v>
      </c>
      <c r="F6" s="11"/>
    </row>
    <row r="7" spans="1:6" ht="13.8" x14ac:dyDescent="0.3">
      <c r="A7" s="3" t="s">
        <v>0</v>
      </c>
      <c r="B7" s="2">
        <v>7526</v>
      </c>
      <c r="C7" s="2">
        <v>9620</v>
      </c>
      <c r="D7" s="2">
        <v>550</v>
      </c>
      <c r="E7" s="9">
        <f>SUM(MemberOfAssemblyAssemblyDistrict144General[[#This Row],[Part of Erie County Vote Results]:[Part of Orleans County Vote Results]])</f>
        <v>17696</v>
      </c>
      <c r="F7" s="11"/>
    </row>
    <row r="8" spans="1:6" ht="13.8" x14ac:dyDescent="0.3">
      <c r="A8" s="3" t="s">
        <v>1</v>
      </c>
      <c r="B8" s="2">
        <v>1</v>
      </c>
      <c r="C8" s="2">
        <v>2</v>
      </c>
      <c r="D8" s="2">
        <v>3</v>
      </c>
      <c r="E8" s="9">
        <f>SUM(MemberOfAssemblyAssemblyDistrict144General[[#This Row],[Part of Erie County Vote Results]:[Part of Orleans County Vote Results]])</f>
        <v>6</v>
      </c>
      <c r="F8" s="11"/>
    </row>
    <row r="9" spans="1:6" ht="13.8" x14ac:dyDescent="0.3">
      <c r="A9" s="3" t="s">
        <v>6</v>
      </c>
      <c r="B9" s="2">
        <v>204</v>
      </c>
      <c r="C9" s="2">
        <v>173</v>
      </c>
      <c r="D9" s="2">
        <v>2</v>
      </c>
      <c r="E9" s="9">
        <f>SUM(MemberOfAssemblyAssemblyDistrict144General[[#This Row],[Part of Erie County Vote Results]:[Part of Orleans County Vote Results]])</f>
        <v>379</v>
      </c>
      <c r="F9" s="11"/>
    </row>
    <row r="10" spans="1:6" ht="13.8" x14ac:dyDescent="0.3">
      <c r="A10" s="13" t="s">
        <v>2</v>
      </c>
      <c r="B10" s="2">
        <f>SUM(MemberOfAssemblyAssemblyDistrict144General[Part of Erie County Vote Results])</f>
        <v>31083</v>
      </c>
      <c r="C10" s="2">
        <f>SUM(MemberOfAssemblyAssemblyDistrict144General[Part of Niagara County Vote Results])</f>
        <v>39287</v>
      </c>
      <c r="D10" s="2">
        <f>SUM(MemberOfAssemblyAssemblyDistrict144General[Part of Orleans County Vote Results])</f>
        <v>2086</v>
      </c>
      <c r="E10" s="9">
        <f>SUM(MemberOfAssemblyAssemblyDistrict144General[Total Votes by Party])</f>
        <v>72456</v>
      </c>
      <c r="F10" s="11"/>
    </row>
  </sheetData>
  <pageMargins left="0.7" right="0.7" top="0.75" bottom="0.75" header="0.3" footer="0.3"/>
  <tableParts count="1">
    <tablePart r:id="rId1"/>
  </tableParts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173A-BEF2-4BA2-B5D1-A69556D17C45}">
  <dimension ref="A1:E10"/>
  <sheetViews>
    <sheetView workbookViewId="0">
      <selection activeCell="D3" sqref="D3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720</v>
      </c>
    </row>
    <row r="2" spans="1:5" ht="27.6" x14ac:dyDescent="0.25">
      <c r="A2" s="5" t="s">
        <v>5</v>
      </c>
      <c r="B2" s="6" t="s">
        <v>43</v>
      </c>
      <c r="C2" s="6" t="s">
        <v>44</v>
      </c>
      <c r="D2" s="7" t="s">
        <v>3</v>
      </c>
      <c r="E2" s="8" t="s">
        <v>4</v>
      </c>
    </row>
    <row r="3" spans="1:5" ht="13.8" x14ac:dyDescent="0.3">
      <c r="A3" s="1" t="s">
        <v>721</v>
      </c>
      <c r="B3" s="2">
        <v>6741</v>
      </c>
      <c r="C3" s="2">
        <v>25840</v>
      </c>
      <c r="D3" s="9">
        <f>SUM(MemberOfAssemblyAssemblyDistrict145General[[#This Row],[Part of Erie County Vote Results]:[Part of Niagara County Vote Results]])</f>
        <v>32581</v>
      </c>
      <c r="E3" s="10">
        <f>SUM(MemberOfAssemblyAssemblyDistrict145General[[#This Row],[Total Votes by Party]],D4,D5,D6)</f>
        <v>44255</v>
      </c>
    </row>
    <row r="4" spans="1:5" ht="13.8" x14ac:dyDescent="0.3">
      <c r="A4" s="1" t="s">
        <v>722</v>
      </c>
      <c r="B4" s="2">
        <v>1283</v>
      </c>
      <c r="C4" s="2">
        <v>4107</v>
      </c>
      <c r="D4" s="9">
        <f>SUM(MemberOfAssemblyAssemblyDistrict145General[[#This Row],[Part of Erie County Vote Results]:[Part of Niagara County Vote Results]])</f>
        <v>5390</v>
      </c>
      <c r="E4" s="11"/>
    </row>
    <row r="5" spans="1:5" ht="13.8" x14ac:dyDescent="0.3">
      <c r="A5" s="1" t="s">
        <v>723</v>
      </c>
      <c r="B5" s="2">
        <v>407</v>
      </c>
      <c r="C5" s="2">
        <v>809</v>
      </c>
      <c r="D5" s="9">
        <f>SUM(MemberOfAssemblyAssemblyDistrict145General[[#This Row],[Part of Erie County Vote Results]:[Part of Niagara County Vote Results]])</f>
        <v>1216</v>
      </c>
      <c r="E5" s="11"/>
    </row>
    <row r="6" spans="1:5" ht="13.8" x14ac:dyDescent="0.3">
      <c r="A6" s="1" t="s">
        <v>724</v>
      </c>
      <c r="B6" s="2">
        <v>1013</v>
      </c>
      <c r="C6" s="2">
        <v>4055</v>
      </c>
      <c r="D6" s="9">
        <f>SUM(MemberOfAssemblyAssemblyDistrict145General[[#This Row],[Part of Erie County Vote Results]:[Part of Niagara County Vote Results]])</f>
        <v>5068</v>
      </c>
      <c r="E6" s="11"/>
    </row>
    <row r="7" spans="1:5" ht="13.8" x14ac:dyDescent="0.3">
      <c r="A7" s="3" t="s">
        <v>0</v>
      </c>
      <c r="B7" s="2">
        <v>3492</v>
      </c>
      <c r="C7" s="2">
        <v>15614</v>
      </c>
      <c r="D7" s="9">
        <f>SUM(MemberOfAssemblyAssemblyDistrict145General[[#This Row],[Part of Erie County Vote Results]:[Part of Niagara County Vote Results]])</f>
        <v>19106</v>
      </c>
      <c r="E7" s="11"/>
    </row>
    <row r="8" spans="1:5" ht="13.8" x14ac:dyDescent="0.3">
      <c r="A8" s="3" t="s">
        <v>1</v>
      </c>
      <c r="B8" s="2">
        <v>0</v>
      </c>
      <c r="C8" s="2">
        <v>5</v>
      </c>
      <c r="D8" s="9">
        <f>SUM(MemberOfAssemblyAssemblyDistrict145General[[#This Row],[Part of Erie County Vote Results]:[Part of Niagara County Vote Results]])</f>
        <v>5</v>
      </c>
      <c r="E8" s="11"/>
    </row>
    <row r="9" spans="1:5" ht="13.8" x14ac:dyDescent="0.3">
      <c r="A9" s="3" t="s">
        <v>6</v>
      </c>
      <c r="B9" s="2">
        <v>112</v>
      </c>
      <c r="C9" s="2">
        <v>218</v>
      </c>
      <c r="D9" s="9">
        <f>SUM(MemberOfAssemblyAssemblyDistrict145General[[#This Row],[Part of Erie County Vote Results]:[Part of Niagara County Vote Results]])</f>
        <v>330</v>
      </c>
      <c r="E9" s="11"/>
    </row>
    <row r="10" spans="1:5" ht="13.8" x14ac:dyDescent="0.3">
      <c r="A10" s="13" t="s">
        <v>2</v>
      </c>
      <c r="B10" s="2">
        <f>SUM(MemberOfAssemblyAssemblyDistrict145General[Part of Erie County Vote Results])</f>
        <v>13048</v>
      </c>
      <c r="C10" s="2">
        <f>SUM(MemberOfAssemblyAssemblyDistrict145General[Part of Niagara County Vote Results])</f>
        <v>50648</v>
      </c>
      <c r="D10" s="9">
        <f>SUM(MemberOfAssemblyAssemblyDistrict145General[Total Votes by Party])</f>
        <v>63696</v>
      </c>
      <c r="E10" s="11"/>
    </row>
  </sheetData>
  <pageMargins left="0.7" right="0.7" top="0.75" bottom="0.75" header="0.3" footer="0.3"/>
  <tableParts count="1">
    <tablePart r:id="rId1"/>
  </tableParts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6020-9AE9-4462-A8E4-46E297BAC31C}">
  <dimension ref="A1:E12"/>
  <sheetViews>
    <sheetView workbookViewId="0">
      <selection activeCell="J22" sqref="J22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725</v>
      </c>
    </row>
    <row r="2" spans="1:5" ht="27.6" x14ac:dyDescent="0.25">
      <c r="A2" s="5" t="s">
        <v>5</v>
      </c>
      <c r="B2" s="6" t="s">
        <v>43</v>
      </c>
      <c r="C2" s="6" t="s">
        <v>44</v>
      </c>
      <c r="D2" s="7" t="s">
        <v>3</v>
      </c>
      <c r="E2" s="8" t="s">
        <v>4</v>
      </c>
    </row>
    <row r="3" spans="1:5" ht="13.8" x14ac:dyDescent="0.3">
      <c r="A3" s="1" t="s">
        <v>726</v>
      </c>
      <c r="B3" s="2">
        <v>34032</v>
      </c>
      <c r="C3" s="2">
        <v>1353</v>
      </c>
      <c r="D3" s="9">
        <f>SUM(MemberOfAssemblyAssemblyDistrict146General[[#This Row],[Part of Erie County Vote Results]:[Part of Niagara County Vote Results]])</f>
        <v>35385</v>
      </c>
      <c r="E3" s="10">
        <f>SUM(MemberOfAssemblyAssemblyDistrict146General[[#This Row],[Total Votes by Party]],D6)</f>
        <v>38085</v>
      </c>
    </row>
    <row r="4" spans="1:5" ht="13.8" x14ac:dyDescent="0.3">
      <c r="A4" s="1" t="s">
        <v>727</v>
      </c>
      <c r="B4" s="2">
        <v>22890</v>
      </c>
      <c r="C4" s="2">
        <v>1996</v>
      </c>
      <c r="D4" s="9">
        <f>SUM(MemberOfAssemblyAssemblyDistrict146General[[#This Row],[Part of Erie County Vote Results]:[Part of Niagara County Vote Results]])</f>
        <v>24886</v>
      </c>
      <c r="E4" s="10">
        <f>SUM(MemberOfAssemblyAssemblyDistrict146General[[#This Row],[Total Votes by Party]],D5,D8)</f>
        <v>30143</v>
      </c>
    </row>
    <row r="5" spans="1:5" ht="13.8" x14ac:dyDescent="0.3">
      <c r="A5" s="1" t="s">
        <v>728</v>
      </c>
      <c r="B5" s="2">
        <v>3811</v>
      </c>
      <c r="C5" s="2">
        <v>464</v>
      </c>
      <c r="D5" s="9">
        <f>SUM(MemberOfAssemblyAssemblyDistrict146General[[#This Row],[Part of Erie County Vote Results]:[Part of Niagara County Vote Results]])</f>
        <v>4275</v>
      </c>
      <c r="E5" s="11"/>
    </row>
    <row r="6" spans="1:5" ht="13.8" x14ac:dyDescent="0.3">
      <c r="A6" s="1" t="s">
        <v>729</v>
      </c>
      <c r="B6" s="2">
        <v>2565</v>
      </c>
      <c r="C6" s="2">
        <v>135</v>
      </c>
      <c r="D6" s="9">
        <f>SUM(MemberOfAssemblyAssemblyDistrict146General[[#This Row],[Part of Erie County Vote Results]:[Part of Niagara County Vote Results]])</f>
        <v>2700</v>
      </c>
      <c r="E6" s="11"/>
    </row>
    <row r="7" spans="1:5" ht="13.8" x14ac:dyDescent="0.3">
      <c r="A7" s="1" t="s">
        <v>730</v>
      </c>
      <c r="B7" s="2">
        <v>721</v>
      </c>
      <c r="C7" s="2">
        <v>32</v>
      </c>
      <c r="D7" s="9">
        <f>SUM(MemberOfAssemblyAssemblyDistrict146General[[#This Row],[Part of Erie County Vote Results]:[Part of Niagara County Vote Results]])</f>
        <v>753</v>
      </c>
      <c r="E7" s="10">
        <f>SUM(MemberOfAssemblyAssemblyDistrict146General[[#This Row],[Total Votes by Party]])</f>
        <v>753</v>
      </c>
    </row>
    <row r="8" spans="1:5" ht="13.8" x14ac:dyDescent="0.3">
      <c r="A8" s="1" t="s">
        <v>731</v>
      </c>
      <c r="B8" s="2">
        <v>887</v>
      </c>
      <c r="C8" s="2">
        <v>95</v>
      </c>
      <c r="D8" s="9">
        <f>SUM(MemberOfAssemblyAssemblyDistrict146General[[#This Row],[Part of Erie County Vote Results]:[Part of Niagara County Vote Results]])</f>
        <v>982</v>
      </c>
      <c r="E8" s="11"/>
    </row>
    <row r="9" spans="1:5" ht="13.8" x14ac:dyDescent="0.3">
      <c r="A9" s="3" t="s">
        <v>0</v>
      </c>
      <c r="B9" s="2">
        <v>2601</v>
      </c>
      <c r="C9" s="2">
        <v>230</v>
      </c>
      <c r="D9" s="9">
        <f>SUM(MemberOfAssemblyAssemblyDistrict146General[[#This Row],[Part of Erie County Vote Results]:[Part of Niagara County Vote Results]])</f>
        <v>2831</v>
      </c>
      <c r="E9" s="11"/>
    </row>
    <row r="10" spans="1:5" ht="13.8" x14ac:dyDescent="0.3">
      <c r="A10" s="3" t="s">
        <v>1</v>
      </c>
      <c r="B10" s="2">
        <v>30</v>
      </c>
      <c r="C10" s="2">
        <v>0</v>
      </c>
      <c r="D10" s="9">
        <f>SUM(MemberOfAssemblyAssemblyDistrict146General[[#This Row],[Part of Erie County Vote Results]:[Part of Niagara County Vote Results]])</f>
        <v>30</v>
      </c>
      <c r="E10" s="11"/>
    </row>
    <row r="11" spans="1:5" ht="13.8" x14ac:dyDescent="0.3">
      <c r="A11" s="3" t="s">
        <v>6</v>
      </c>
      <c r="B11" s="2">
        <v>36</v>
      </c>
      <c r="C11" s="2">
        <v>1</v>
      </c>
      <c r="D11" s="9">
        <f>SUM(MemberOfAssemblyAssemblyDistrict146General[[#This Row],[Part of Erie County Vote Results]:[Part of Niagara County Vote Results]])</f>
        <v>37</v>
      </c>
      <c r="E11" s="11"/>
    </row>
    <row r="12" spans="1:5" ht="13.8" x14ac:dyDescent="0.3">
      <c r="A12" s="13" t="s">
        <v>2</v>
      </c>
      <c r="B12" s="2">
        <f>SUM(MemberOfAssemblyAssemblyDistrict146General[Part of Erie County Vote Results])</f>
        <v>67573</v>
      </c>
      <c r="C12" s="2">
        <f>SUM(MemberOfAssemblyAssemblyDistrict146General[Part of Niagara County Vote Results])</f>
        <v>4306</v>
      </c>
      <c r="D12" s="9">
        <f>SUM(MemberOfAssemblyAssemblyDistrict146General[Total Votes by Party])</f>
        <v>71879</v>
      </c>
      <c r="E12" s="11"/>
    </row>
  </sheetData>
  <pageMargins left="0.7" right="0.7" top="0.75" bottom="0.75" header="0.3" footer="0.3"/>
  <tableParts count="1">
    <tablePart r:id="rId1"/>
  </tableParts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1556-CF5F-4CAD-9BB3-783146459EF5}">
  <dimension ref="A1:E9"/>
  <sheetViews>
    <sheetView workbookViewId="0">
      <selection activeCell="H16" sqref="H16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732</v>
      </c>
    </row>
    <row r="2" spans="1:5" ht="27.6" x14ac:dyDescent="0.25">
      <c r="A2" s="5" t="s">
        <v>5</v>
      </c>
      <c r="B2" s="6" t="s">
        <v>20</v>
      </c>
      <c r="C2" s="6" t="s">
        <v>43</v>
      </c>
      <c r="D2" s="7" t="s">
        <v>3</v>
      </c>
      <c r="E2" s="8" t="s">
        <v>4</v>
      </c>
    </row>
    <row r="3" spans="1:5" ht="13.8" x14ac:dyDescent="0.3">
      <c r="A3" s="1" t="s">
        <v>733</v>
      </c>
      <c r="B3" s="2">
        <v>13427</v>
      </c>
      <c r="C3" s="2">
        <v>30182</v>
      </c>
      <c r="D3" s="9">
        <f>SUM(MemberOfAssemblyAssemblyDistrict147General[[#This Row],[Wyoming County Vote Results]:[Part of Erie County Vote Results]])</f>
        <v>43609</v>
      </c>
      <c r="E3" s="10">
        <f>SUM(MemberOfAssemblyAssemblyDistrict147General[[#This Row],[Total Votes by Party]],D4,D5)</f>
        <v>56854</v>
      </c>
    </row>
    <row r="4" spans="1:5" ht="13.8" x14ac:dyDescent="0.3">
      <c r="A4" s="1" t="s">
        <v>734</v>
      </c>
      <c r="B4" s="2">
        <v>1844</v>
      </c>
      <c r="C4" s="2">
        <v>6963</v>
      </c>
      <c r="D4" s="9">
        <f>SUM(MemberOfAssemblyAssemblyDistrict147General[[#This Row],[Wyoming County Vote Results]:[Part of Erie County Vote Results]])</f>
        <v>8807</v>
      </c>
      <c r="E4" s="11"/>
    </row>
    <row r="5" spans="1:5" ht="13.8" x14ac:dyDescent="0.3">
      <c r="A5" s="1" t="s">
        <v>735</v>
      </c>
      <c r="B5" s="2">
        <v>854</v>
      </c>
      <c r="C5" s="2">
        <v>3584</v>
      </c>
      <c r="D5" s="9">
        <f>SUM(MemberOfAssemblyAssemblyDistrict147General[[#This Row],[Wyoming County Vote Results]:[Part of Erie County Vote Results]])</f>
        <v>4438</v>
      </c>
      <c r="E5" s="11"/>
    </row>
    <row r="6" spans="1:5" ht="13.8" x14ac:dyDescent="0.3">
      <c r="A6" s="3" t="s">
        <v>0</v>
      </c>
      <c r="B6" s="2">
        <v>2498</v>
      </c>
      <c r="C6" s="2">
        <v>13636</v>
      </c>
      <c r="D6" s="9">
        <f>SUM(MemberOfAssemblyAssemblyDistrict147General[[#This Row],[Wyoming County Vote Results]:[Part of Erie County Vote Results]])</f>
        <v>16134</v>
      </c>
      <c r="E6" s="11"/>
    </row>
    <row r="7" spans="1:5" ht="13.8" x14ac:dyDescent="0.3">
      <c r="A7" s="3" t="s">
        <v>1</v>
      </c>
      <c r="B7" s="2">
        <v>0</v>
      </c>
      <c r="C7" s="2">
        <v>3</v>
      </c>
      <c r="D7" s="9">
        <f>SUM(MemberOfAssemblyAssemblyDistrict147General[[#This Row],[Wyoming County Vote Results]:[Part of Erie County Vote Results]])</f>
        <v>3</v>
      </c>
      <c r="E7" s="11"/>
    </row>
    <row r="8" spans="1:5" ht="13.8" x14ac:dyDescent="0.3">
      <c r="A8" s="3" t="s">
        <v>6</v>
      </c>
      <c r="B8" s="2">
        <v>208</v>
      </c>
      <c r="C8" s="2">
        <v>1419</v>
      </c>
      <c r="D8" s="9">
        <f>SUM(MemberOfAssemblyAssemblyDistrict147General[[#This Row],[Wyoming County Vote Results]:[Part of Erie County Vote Results]])</f>
        <v>1627</v>
      </c>
      <c r="E8" s="11"/>
    </row>
    <row r="9" spans="1:5" ht="13.8" x14ac:dyDescent="0.3">
      <c r="A9" s="13" t="s">
        <v>2</v>
      </c>
      <c r="B9" s="2">
        <f>SUM(MemberOfAssemblyAssemblyDistrict147General[Wyoming County Vote Results])</f>
        <v>18831</v>
      </c>
      <c r="C9" s="2">
        <f>SUM(MemberOfAssemblyAssemblyDistrict147General[Part of Erie County Vote Results])</f>
        <v>55787</v>
      </c>
      <c r="D9" s="9">
        <f>SUM(MemberOfAssemblyAssemblyDistrict147General[Total Votes by Party])</f>
        <v>74618</v>
      </c>
      <c r="E9" s="11"/>
    </row>
  </sheetData>
  <pageMargins left="0.7" right="0.7" top="0.75" bottom="0.75" header="0.3" footer="0.3"/>
  <tableParts count="1">
    <tablePart r:id="rId1"/>
  </tableParts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E85D-380F-4112-902F-A499D4AA2B94}">
  <dimension ref="A1:F10"/>
  <sheetViews>
    <sheetView workbookViewId="0">
      <selection activeCell="C10" sqref="C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30" t="s">
        <v>736</v>
      </c>
    </row>
    <row r="2" spans="1:6" ht="27.6" x14ac:dyDescent="0.25">
      <c r="A2" s="5" t="s">
        <v>5</v>
      </c>
      <c r="B2" s="6" t="s">
        <v>16</v>
      </c>
      <c r="C2" s="6" t="s">
        <v>17</v>
      </c>
      <c r="D2" s="6" t="s">
        <v>649</v>
      </c>
      <c r="E2" s="7" t="s">
        <v>3</v>
      </c>
      <c r="F2" s="8" t="s">
        <v>4</v>
      </c>
    </row>
    <row r="3" spans="1:6" ht="13.8" x14ac:dyDescent="0.3">
      <c r="A3" s="1" t="s">
        <v>737</v>
      </c>
      <c r="B3" s="2">
        <v>4886</v>
      </c>
      <c r="C3" s="2">
        <v>8889</v>
      </c>
      <c r="D3" s="2">
        <v>229</v>
      </c>
      <c r="E3" s="9">
        <f>SUM(MemberOfAssemblyAssemblyDistrict148General[[#This Row],[Allegany County Vote Results]:[Part of Steuben County Vote Results]])</f>
        <v>14004</v>
      </c>
      <c r="F3" s="10">
        <f>SUM(MemberOfAssemblyAssemblyDistrict148General[[#This Row],[Total Votes by Party]])</f>
        <v>14004</v>
      </c>
    </row>
    <row r="4" spans="1:6" ht="13.8" x14ac:dyDescent="0.3">
      <c r="A4" s="1" t="s">
        <v>738</v>
      </c>
      <c r="B4" s="2">
        <v>13436</v>
      </c>
      <c r="C4" s="2">
        <v>20940</v>
      </c>
      <c r="D4" s="2">
        <v>1133</v>
      </c>
      <c r="E4" s="9">
        <f>SUM(MemberOfAssemblyAssemblyDistrict148General[[#This Row],[Allegany County Vote Results]:[Part of Steuben County Vote Results]])</f>
        <v>35509</v>
      </c>
      <c r="F4" s="10">
        <f>SUM(MemberOfAssemblyAssemblyDistrict148General[[#This Row],[Total Votes by Party]],E5,E6)</f>
        <v>39964</v>
      </c>
    </row>
    <row r="5" spans="1:6" ht="13.8" x14ac:dyDescent="0.3">
      <c r="A5" s="3" t="s">
        <v>739</v>
      </c>
      <c r="B5" s="2">
        <v>1142</v>
      </c>
      <c r="C5" s="2">
        <v>2323</v>
      </c>
      <c r="D5" s="2">
        <v>68</v>
      </c>
      <c r="E5" s="9">
        <f>SUM(MemberOfAssemblyAssemblyDistrict148General[[#This Row],[Allegany County Vote Results]:[Part of Steuben County Vote Results]])</f>
        <v>3533</v>
      </c>
      <c r="F5" s="14"/>
    </row>
    <row r="6" spans="1:6" ht="13.8" x14ac:dyDescent="0.3">
      <c r="A6" s="1" t="s">
        <v>740</v>
      </c>
      <c r="B6" s="2">
        <v>304</v>
      </c>
      <c r="C6" s="2">
        <v>609</v>
      </c>
      <c r="D6" s="2">
        <v>9</v>
      </c>
      <c r="E6" s="9">
        <f>SUM(MemberOfAssemblyAssemblyDistrict148General[[#This Row],[Allegany County Vote Results]:[Part of Steuben County Vote Results]])</f>
        <v>922</v>
      </c>
      <c r="F6" s="11"/>
    </row>
    <row r="7" spans="1:6" ht="13.8" x14ac:dyDescent="0.3">
      <c r="A7" s="3" t="s">
        <v>0</v>
      </c>
      <c r="B7" s="2">
        <v>1118</v>
      </c>
      <c r="C7" s="2">
        <v>2154</v>
      </c>
      <c r="D7" s="2">
        <v>151</v>
      </c>
      <c r="E7" s="9">
        <f>SUM(MemberOfAssemblyAssemblyDistrict148General[[#This Row],[Allegany County Vote Results]:[Part of Steuben County Vote Results]])</f>
        <v>3423</v>
      </c>
      <c r="F7" s="11"/>
    </row>
    <row r="8" spans="1:6" ht="13.8" x14ac:dyDescent="0.3">
      <c r="A8" s="3" t="s">
        <v>1</v>
      </c>
      <c r="B8" s="2">
        <v>4</v>
      </c>
      <c r="C8" s="2">
        <v>21</v>
      </c>
      <c r="D8" s="2">
        <v>0</v>
      </c>
      <c r="E8" s="9">
        <f>SUM(MemberOfAssemblyAssemblyDistrict148General[[#This Row],[Allegany County Vote Results]:[Part of Steuben County Vote Results]])</f>
        <v>25</v>
      </c>
      <c r="F8" s="11"/>
    </row>
    <row r="9" spans="1:6" ht="13.8" x14ac:dyDescent="0.3">
      <c r="A9" s="3" t="s">
        <v>6</v>
      </c>
      <c r="B9" s="2">
        <v>5</v>
      </c>
      <c r="C9" s="2">
        <v>2</v>
      </c>
      <c r="D9" s="2">
        <v>2</v>
      </c>
      <c r="E9" s="9">
        <f>SUM(MemberOfAssemblyAssemblyDistrict148General[[#This Row],[Allegany County Vote Results]:[Part of Steuben County Vote Results]])</f>
        <v>9</v>
      </c>
      <c r="F9" s="11"/>
    </row>
    <row r="10" spans="1:6" ht="13.8" x14ac:dyDescent="0.3">
      <c r="A10" s="13" t="s">
        <v>2</v>
      </c>
      <c r="B10" s="2">
        <f>SUM(MemberOfAssemblyAssemblyDistrict148General[Allegany County Vote Results])</f>
        <v>20895</v>
      </c>
      <c r="C10" s="2">
        <f>SUM(MemberOfAssemblyAssemblyDistrict148General[Cattaraugus County Vote Results])</f>
        <v>34938</v>
      </c>
      <c r="D10" s="2">
        <f>SUM(MemberOfAssemblyAssemblyDistrict148General[Part of Steuben County Vote Results])</f>
        <v>1592</v>
      </c>
      <c r="E10" s="9">
        <f>SUM(MemberOfAssemblyAssemblyDistrict148General[Total Votes by Party])</f>
        <v>57425</v>
      </c>
      <c r="F10" s="11"/>
    </row>
  </sheetData>
  <pageMargins left="0.7" right="0.7" top="0.75" bottom="0.75" header="0.3" footer="0.3"/>
  <tableParts count="1">
    <tablePart r:id="rId1"/>
  </tableParts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583C-B832-4D6B-9C34-8D824D3EA9CD}">
  <dimension ref="A1:D10"/>
  <sheetViews>
    <sheetView workbookViewId="0">
      <selection activeCell="D16" sqref="D1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741</v>
      </c>
    </row>
    <row r="2" spans="1:4" ht="27.6" x14ac:dyDescent="0.25">
      <c r="A2" s="5" t="s">
        <v>5</v>
      </c>
      <c r="B2" s="6" t="s">
        <v>43</v>
      </c>
      <c r="C2" s="7" t="s">
        <v>3</v>
      </c>
      <c r="D2" s="8" t="s">
        <v>4</v>
      </c>
    </row>
    <row r="3" spans="1:4" ht="13.8" x14ac:dyDescent="0.3">
      <c r="A3" s="1" t="s">
        <v>742</v>
      </c>
      <c r="B3" s="2">
        <v>33121</v>
      </c>
      <c r="C3" s="9">
        <f>MemberOfAssemblyAssemblyDistrict149General[[#This Row],[Part of Erie County Vote Results]]</f>
        <v>33121</v>
      </c>
      <c r="D3" s="10">
        <f>SUM(MemberOfAssemblyAssemblyDistrict149General[[#This Row],[Total Votes by Party]],C5,C6)</f>
        <v>38585</v>
      </c>
    </row>
    <row r="4" spans="1:4" ht="13.8" x14ac:dyDescent="0.3">
      <c r="A4" s="1" t="s">
        <v>743</v>
      </c>
      <c r="B4" s="2">
        <v>19911</v>
      </c>
      <c r="C4" s="9">
        <f>MemberOfAssemblyAssemblyDistrict149General[[#This Row],[Part of Erie County Vote Results]]</f>
        <v>19911</v>
      </c>
      <c r="D4" s="10">
        <f>SUM(MemberOfAssemblyAssemblyDistrict149General[[#This Row],[Total Votes by Party]])</f>
        <v>19911</v>
      </c>
    </row>
    <row r="5" spans="1:4" ht="13.8" x14ac:dyDescent="0.3">
      <c r="A5" s="1" t="s">
        <v>744</v>
      </c>
      <c r="B5" s="2">
        <v>4398</v>
      </c>
      <c r="C5" s="9">
        <f>MemberOfAssemblyAssemblyDistrict149General[[#This Row],[Part of Erie County Vote Results]]</f>
        <v>4398</v>
      </c>
      <c r="D5" s="11"/>
    </row>
    <row r="6" spans="1:4" ht="13.8" x14ac:dyDescent="0.3">
      <c r="A6" s="1" t="s">
        <v>745</v>
      </c>
      <c r="B6" s="2">
        <v>1066</v>
      </c>
      <c r="C6" s="9">
        <f>MemberOfAssemblyAssemblyDistrict149General[[#This Row],[Part of Erie County Vote Results]]</f>
        <v>1066</v>
      </c>
      <c r="D6" s="11"/>
    </row>
    <row r="7" spans="1:4" ht="13.8" x14ac:dyDescent="0.3">
      <c r="A7" s="3" t="s">
        <v>0</v>
      </c>
      <c r="B7" s="2">
        <v>4458</v>
      </c>
      <c r="C7" s="9">
        <f>MemberOfAssemblyAssemblyDistrict149General[[#This Row],[Part of Erie County Vote Results]]</f>
        <v>4458</v>
      </c>
      <c r="D7" s="11"/>
    </row>
    <row r="8" spans="1:4" ht="13.8" x14ac:dyDescent="0.3">
      <c r="A8" s="3" t="s">
        <v>1</v>
      </c>
      <c r="B8" s="2">
        <v>6</v>
      </c>
      <c r="C8" s="9">
        <f>MemberOfAssemblyAssemblyDistrict149General[[#This Row],[Part of Erie County Vote Results]]</f>
        <v>6</v>
      </c>
      <c r="D8" s="11"/>
    </row>
    <row r="9" spans="1:4" ht="13.8" x14ac:dyDescent="0.3">
      <c r="A9" s="3" t="s">
        <v>6</v>
      </c>
      <c r="B9" s="2">
        <v>111</v>
      </c>
      <c r="C9" s="9">
        <f>MemberOfAssemblyAssemblyDistrict149General[[#This Row],[Part of Erie County Vote Results]]</f>
        <v>111</v>
      </c>
      <c r="D9" s="11"/>
    </row>
    <row r="10" spans="1:4" ht="13.8" x14ac:dyDescent="0.3">
      <c r="A10" s="13" t="s">
        <v>2</v>
      </c>
      <c r="B10" s="2">
        <f>SUM(MemberOfAssemblyAssemblyDistrict149General[Part of Erie County Vote Results])</f>
        <v>63071</v>
      </c>
      <c r="C10" s="9">
        <f>SUM(MemberOfAssemblyAssemblyDistrict149General[Total Votes by Party])</f>
        <v>63071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8563-D0B0-4E57-A532-FCB750CC1222}">
  <dimension ref="A1:D12"/>
  <sheetViews>
    <sheetView workbookViewId="0">
      <selection activeCell="D17" sqref="D17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143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144</v>
      </c>
      <c r="B3" s="21">
        <v>28013</v>
      </c>
      <c r="C3" s="9">
        <f>MemberOfAssemblyAssemblyDistrict15General[[#This Row],[Part of Nassau County Vote Results]]</f>
        <v>28013</v>
      </c>
      <c r="D3" s="10">
        <f>SUM(MemberOfAssemblyAssemblyDistrict15General[[#This Row],[Total Votes by Party]],C6)</f>
        <v>29331</v>
      </c>
    </row>
    <row r="4" spans="1:4" ht="13.8" x14ac:dyDescent="0.3">
      <c r="A4" s="1" t="s">
        <v>145</v>
      </c>
      <c r="B4" s="21">
        <v>33011</v>
      </c>
      <c r="C4" s="9">
        <f>MemberOfAssemblyAssemblyDistrict15General[[#This Row],[Part of Nassau County Vote Results]]</f>
        <v>33011</v>
      </c>
      <c r="D4" s="10">
        <f>SUM(MemberOfAssemblyAssemblyDistrict15General[[#This Row],[Total Votes by Party]],C5,C7,C8)</f>
        <v>36850</v>
      </c>
    </row>
    <row r="5" spans="1:4" ht="13.8" x14ac:dyDescent="0.3">
      <c r="A5" s="1" t="s">
        <v>146</v>
      </c>
      <c r="B5" s="21">
        <v>2973</v>
      </c>
      <c r="C5" s="9">
        <f>MemberOfAssemblyAssemblyDistrict15General[[#This Row],[Part of Nassau County Vote Results]]</f>
        <v>2973</v>
      </c>
      <c r="D5" s="11"/>
    </row>
    <row r="6" spans="1:4" ht="13.8" x14ac:dyDescent="0.3">
      <c r="A6" s="1" t="s">
        <v>147</v>
      </c>
      <c r="B6" s="21">
        <v>1318</v>
      </c>
      <c r="C6" s="9">
        <f>MemberOfAssemblyAssemblyDistrict15General[[#This Row],[Part of Nassau County Vote Results]]</f>
        <v>1318</v>
      </c>
      <c r="D6" s="11"/>
    </row>
    <row r="7" spans="1:4" ht="13.8" x14ac:dyDescent="0.3">
      <c r="A7" s="1" t="s">
        <v>148</v>
      </c>
      <c r="B7" s="21">
        <v>335</v>
      </c>
      <c r="C7" s="9">
        <f>MemberOfAssemblyAssemblyDistrict15General[[#This Row],[Part of Nassau County Vote Results]]</f>
        <v>335</v>
      </c>
      <c r="D7" s="11"/>
    </row>
    <row r="8" spans="1:4" ht="13.8" x14ac:dyDescent="0.3">
      <c r="A8" s="1" t="s">
        <v>149</v>
      </c>
      <c r="B8" s="21">
        <v>531</v>
      </c>
      <c r="C8" s="9">
        <f>MemberOfAssemblyAssemblyDistrict15General[[#This Row],[Part of Nassau County Vote Results]]</f>
        <v>531</v>
      </c>
      <c r="D8" s="11"/>
    </row>
    <row r="9" spans="1:4" ht="13.8" x14ac:dyDescent="0.3">
      <c r="A9" s="3" t="s">
        <v>0</v>
      </c>
      <c r="B9" s="21">
        <v>6155</v>
      </c>
      <c r="C9" s="9">
        <f>MemberOfAssemblyAssemblyDistrict15General[[#This Row],[Part of Nassau County Vote Results]]</f>
        <v>6155</v>
      </c>
      <c r="D9" s="11"/>
    </row>
    <row r="10" spans="1:4" ht="13.8" x14ac:dyDescent="0.3">
      <c r="A10" s="3" t="s">
        <v>1</v>
      </c>
      <c r="B10" s="21">
        <v>21</v>
      </c>
      <c r="C10" s="9">
        <f>MemberOfAssemblyAssemblyDistrict15General[[#This Row],[Part of Nassau County Vote Results]]</f>
        <v>21</v>
      </c>
      <c r="D10" s="11"/>
    </row>
    <row r="11" spans="1:4" ht="13.8" x14ac:dyDescent="0.3">
      <c r="A11" s="3" t="s">
        <v>6</v>
      </c>
      <c r="B11" s="21">
        <v>17</v>
      </c>
      <c r="C11" s="9">
        <f>MemberOfAssemblyAssemblyDistrict15General[[#This Row],[Part of Nassau County Vote Results]]</f>
        <v>17</v>
      </c>
      <c r="D11" s="11"/>
    </row>
    <row r="12" spans="1:4" ht="13.8" x14ac:dyDescent="0.3">
      <c r="A12" s="13" t="s">
        <v>2</v>
      </c>
      <c r="B12" s="21">
        <f>SUM(MemberOfAssemblyAssemblyDistrict15General[Part of Nassau County Vote Results])</f>
        <v>72374</v>
      </c>
      <c r="C12" s="9">
        <f>SUM(MemberOfAssemblyAssemblyDistrict15General[Total Votes by Party])</f>
        <v>72374</v>
      </c>
      <c r="D12" s="11"/>
    </row>
  </sheetData>
  <pageMargins left="0.7" right="0.7" top="0.75" bottom="0.75" header="0.3" footer="0.3"/>
  <tableParts count="1">
    <tablePart r:id="rId1"/>
  </tableParts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AFEB-71FC-4E16-BF04-2791371109FC}">
  <dimension ref="A1:D10"/>
  <sheetViews>
    <sheetView workbookViewId="0">
      <selection activeCell="C18" sqref="C18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746</v>
      </c>
    </row>
    <row r="2" spans="1:4" ht="27.6" x14ac:dyDescent="0.25">
      <c r="A2" s="5" t="s">
        <v>5</v>
      </c>
      <c r="B2" s="6" t="s">
        <v>18</v>
      </c>
      <c r="C2" s="7" t="s">
        <v>3</v>
      </c>
      <c r="D2" s="8" t="s">
        <v>4</v>
      </c>
    </row>
    <row r="3" spans="1:4" ht="13.8" x14ac:dyDescent="0.3">
      <c r="A3" s="1" t="s">
        <v>747</v>
      </c>
      <c r="B3" s="2">
        <v>17844</v>
      </c>
      <c r="C3" s="9">
        <f>MemberOfAssemblyAssemblyDistrict150General[[#This Row],[Chautauqua County Vote Results]]</f>
        <v>17844</v>
      </c>
      <c r="D3" s="10">
        <f>SUM(MemberOfAssemblyAssemblyDistrict150General[[#This Row],[Total Votes by Party]])</f>
        <v>17844</v>
      </c>
    </row>
    <row r="4" spans="1:4" ht="13.8" x14ac:dyDescent="0.3">
      <c r="A4" s="1" t="s">
        <v>748</v>
      </c>
      <c r="B4" s="2">
        <v>33746</v>
      </c>
      <c r="C4" s="9">
        <f>MemberOfAssemblyAssemblyDistrict150General[[#This Row],[Chautauqua County Vote Results]]</f>
        <v>33746</v>
      </c>
      <c r="D4" s="10">
        <f>SUM(MemberOfAssemblyAssemblyDistrict150General[[#This Row],[Total Votes by Party]],C5,C6)</f>
        <v>39593</v>
      </c>
    </row>
    <row r="5" spans="1:4" ht="13.8" x14ac:dyDescent="0.3">
      <c r="A5" s="1" t="s">
        <v>749</v>
      </c>
      <c r="B5" s="2">
        <v>4441</v>
      </c>
      <c r="C5" s="9">
        <f>MemberOfAssemblyAssemblyDistrict150General[[#This Row],[Chautauqua County Vote Results]]</f>
        <v>4441</v>
      </c>
      <c r="D5" s="11"/>
    </row>
    <row r="6" spans="1:4" ht="13.8" x14ac:dyDescent="0.3">
      <c r="A6" s="1" t="s">
        <v>750</v>
      </c>
      <c r="B6" s="2">
        <v>1406</v>
      </c>
      <c r="C6" s="9">
        <f>MemberOfAssemblyAssemblyDistrict150General[[#This Row],[Chautauqua County Vote Results]]</f>
        <v>1406</v>
      </c>
      <c r="D6" s="11"/>
    </row>
    <row r="7" spans="1:4" ht="13.8" x14ac:dyDescent="0.3">
      <c r="A7" s="3" t="s">
        <v>0</v>
      </c>
      <c r="B7" s="2">
        <v>2161</v>
      </c>
      <c r="C7" s="9">
        <f>MemberOfAssemblyAssemblyDistrict150General[[#This Row],[Chautauqua County Vote Results]]</f>
        <v>2161</v>
      </c>
      <c r="D7" s="11"/>
    </row>
    <row r="8" spans="1:4" ht="13.8" x14ac:dyDescent="0.3">
      <c r="A8" s="3" t="s">
        <v>1</v>
      </c>
      <c r="B8" s="2">
        <v>31</v>
      </c>
      <c r="C8" s="9">
        <f>MemberOfAssemblyAssemblyDistrict150General[[#This Row],[Chautauqua County Vote Results]]</f>
        <v>31</v>
      </c>
      <c r="D8" s="11"/>
    </row>
    <row r="9" spans="1:4" ht="13.8" x14ac:dyDescent="0.3">
      <c r="A9" s="3" t="s">
        <v>6</v>
      </c>
      <c r="B9" s="2">
        <v>20</v>
      </c>
      <c r="C9" s="9">
        <f>MemberOfAssemblyAssemblyDistrict150General[[#This Row],[Chautauqua County Vote Results]]</f>
        <v>20</v>
      </c>
      <c r="D9" s="11"/>
    </row>
    <row r="10" spans="1:4" ht="13.8" x14ac:dyDescent="0.3">
      <c r="A10" s="13" t="s">
        <v>2</v>
      </c>
      <c r="B10" s="2">
        <f>SUM(MemberOfAssemblyAssemblyDistrict150General[Chautauqua County Vote Results])</f>
        <v>59649</v>
      </c>
      <c r="C10" s="9">
        <f>SUM(MemberOfAssemblyAssemblyDistrict150General[Total Votes by Party])</f>
        <v>59649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1075-D918-4060-BF71-8D1A53A927F3}">
  <dimension ref="A1:D12"/>
  <sheetViews>
    <sheetView workbookViewId="0">
      <selection activeCell="D19" sqref="D19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150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151</v>
      </c>
      <c r="B3" s="21">
        <v>33933</v>
      </c>
      <c r="C3" s="9">
        <f>MemberOfAssemblyAssemblyDistrict16General[[#This Row],[Part of Nassau County Vote Results]]</f>
        <v>33933</v>
      </c>
      <c r="D3" s="10">
        <f>SUM(MemberOfAssemblyAssemblyDistrict16General[[#This Row],[Total Votes by Party]],C6)</f>
        <v>35455</v>
      </c>
    </row>
    <row r="4" spans="1:4" ht="13.8" x14ac:dyDescent="0.3">
      <c r="A4" s="1" t="s">
        <v>152</v>
      </c>
      <c r="B4" s="21">
        <v>27776</v>
      </c>
      <c r="C4" s="9">
        <f>MemberOfAssemblyAssemblyDistrict16General[[#This Row],[Part of Nassau County Vote Results]]</f>
        <v>27776</v>
      </c>
      <c r="D4" s="10">
        <f>SUM(MemberOfAssemblyAssemblyDistrict16General[[#This Row],[Total Votes by Party]],C5,C8)</f>
        <v>30263</v>
      </c>
    </row>
    <row r="5" spans="1:4" ht="13.8" x14ac:dyDescent="0.3">
      <c r="A5" s="1" t="s">
        <v>153</v>
      </c>
      <c r="B5" s="21">
        <v>1967</v>
      </c>
      <c r="C5" s="9">
        <f>MemberOfAssemblyAssemblyDistrict16General[[#This Row],[Part of Nassau County Vote Results]]</f>
        <v>1967</v>
      </c>
      <c r="D5" s="11"/>
    </row>
    <row r="6" spans="1:4" ht="13.8" x14ac:dyDescent="0.3">
      <c r="A6" s="1" t="s">
        <v>154</v>
      </c>
      <c r="B6" s="21">
        <v>1522</v>
      </c>
      <c r="C6" s="9">
        <f>MemberOfAssemblyAssemblyDistrict16General[[#This Row],[Part of Nassau County Vote Results]]</f>
        <v>1522</v>
      </c>
      <c r="D6" s="11"/>
    </row>
    <row r="7" spans="1:4" ht="13.8" x14ac:dyDescent="0.3">
      <c r="A7" s="1" t="s">
        <v>155</v>
      </c>
      <c r="B7" s="21">
        <v>339</v>
      </c>
      <c r="C7" s="9">
        <f>MemberOfAssemblyAssemblyDistrict16General[[#This Row],[Part of Nassau County Vote Results]]</f>
        <v>339</v>
      </c>
      <c r="D7" s="10">
        <f>SUM(MemberOfAssemblyAssemblyDistrict16General[[#This Row],[Total Votes by Party]])</f>
        <v>339</v>
      </c>
    </row>
    <row r="8" spans="1:4" ht="13.8" x14ac:dyDescent="0.3">
      <c r="A8" s="1" t="s">
        <v>156</v>
      </c>
      <c r="B8" s="21">
        <v>520</v>
      </c>
      <c r="C8" s="9">
        <f>MemberOfAssemblyAssemblyDistrict16General[[#This Row],[Part of Nassau County Vote Results]]</f>
        <v>520</v>
      </c>
      <c r="D8" s="11"/>
    </row>
    <row r="9" spans="1:4" ht="13.8" x14ac:dyDescent="0.3">
      <c r="A9" s="3" t="s">
        <v>0</v>
      </c>
      <c r="B9" s="21">
        <v>6728</v>
      </c>
      <c r="C9" s="9">
        <f>MemberOfAssemblyAssemblyDistrict16General[[#This Row],[Part of Nassau County Vote Results]]</f>
        <v>6728</v>
      </c>
      <c r="D9" s="11"/>
    </row>
    <row r="10" spans="1:4" ht="13.8" x14ac:dyDescent="0.3">
      <c r="A10" s="3" t="s">
        <v>1</v>
      </c>
      <c r="B10" s="21">
        <v>34</v>
      </c>
      <c r="C10" s="9">
        <f>MemberOfAssemblyAssemblyDistrict16General[[#This Row],[Part of Nassau County Vote Results]]</f>
        <v>34</v>
      </c>
      <c r="D10" s="11"/>
    </row>
    <row r="11" spans="1:4" ht="13.8" x14ac:dyDescent="0.3">
      <c r="A11" s="3" t="s">
        <v>6</v>
      </c>
      <c r="B11" s="21">
        <v>19</v>
      </c>
      <c r="C11" s="9">
        <f>MemberOfAssemblyAssemblyDistrict16General[[#This Row],[Part of Nassau County Vote Results]]</f>
        <v>19</v>
      </c>
      <c r="D11" s="11"/>
    </row>
    <row r="12" spans="1:4" ht="13.8" x14ac:dyDescent="0.3">
      <c r="A12" s="13" t="s">
        <v>2</v>
      </c>
      <c r="B12" s="21">
        <f>SUM(MemberOfAssemblyAssemblyDistrict16General[Part of Nassau County Vote Results])</f>
        <v>72838</v>
      </c>
      <c r="C12" s="9">
        <f>SUM(MemberOfAssemblyAssemblyDistrict16General[Total Votes by Party])</f>
        <v>72838</v>
      </c>
      <c r="D12" s="11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C6D9-9B9D-4A91-931E-25AC2E70F566}">
  <dimension ref="A1:D10"/>
  <sheetViews>
    <sheetView workbookViewId="0">
      <selection activeCell="D14" sqref="D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157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158</v>
      </c>
      <c r="B3" s="21">
        <v>26768</v>
      </c>
      <c r="C3" s="9">
        <f>MemberOfAssemblyAssemblyDistrict17General[[#This Row],[Part of Nassau County Vote Results]]</f>
        <v>26768</v>
      </c>
      <c r="D3" s="10">
        <f>SUM(MemberOfAssemblyAssemblyDistrict17General[[#This Row],[Total Votes by Party]])</f>
        <v>26768</v>
      </c>
    </row>
    <row r="4" spans="1:4" ht="13.8" x14ac:dyDescent="0.3">
      <c r="A4" s="1" t="s">
        <v>159</v>
      </c>
      <c r="B4" s="21">
        <v>35745</v>
      </c>
      <c r="C4" s="9">
        <f>MemberOfAssemblyAssemblyDistrict17General[[#This Row],[Part of Nassau County Vote Results]]</f>
        <v>35745</v>
      </c>
      <c r="D4" s="10">
        <f>SUM(MemberOfAssemblyAssemblyDistrict17General[[#This Row],[Total Votes by Party]],C5,C6)</f>
        <v>39681</v>
      </c>
    </row>
    <row r="5" spans="1:4" ht="13.8" x14ac:dyDescent="0.3">
      <c r="A5" s="1" t="s">
        <v>160</v>
      </c>
      <c r="B5" s="21">
        <v>3226</v>
      </c>
      <c r="C5" s="9">
        <f>MemberOfAssemblyAssemblyDistrict17General[[#This Row],[Part of Nassau County Vote Results]]</f>
        <v>3226</v>
      </c>
      <c r="D5" s="11"/>
    </row>
    <row r="6" spans="1:4" ht="13.8" x14ac:dyDescent="0.3">
      <c r="A6" s="1" t="s">
        <v>161</v>
      </c>
      <c r="B6" s="21">
        <v>710</v>
      </c>
      <c r="C6" s="9">
        <f>MemberOfAssemblyAssemblyDistrict17General[[#This Row],[Part of Nassau County Vote Results]]</f>
        <v>710</v>
      </c>
      <c r="D6" s="11"/>
    </row>
    <row r="7" spans="1:4" ht="13.8" x14ac:dyDescent="0.3">
      <c r="A7" s="3" t="s">
        <v>0</v>
      </c>
      <c r="B7" s="21">
        <v>7283</v>
      </c>
      <c r="C7" s="9">
        <f>MemberOfAssemblyAssemblyDistrict17General[[#This Row],[Part of Nassau County Vote Results]]</f>
        <v>7283</v>
      </c>
      <c r="D7" s="11"/>
    </row>
    <row r="8" spans="1:4" ht="13.8" x14ac:dyDescent="0.3">
      <c r="A8" s="3" t="s">
        <v>1</v>
      </c>
      <c r="B8" s="21">
        <v>9</v>
      </c>
      <c r="C8" s="9">
        <f>MemberOfAssemblyAssemblyDistrict17General[[#This Row],[Part of Nassau County Vote Results]]</f>
        <v>9</v>
      </c>
      <c r="D8" s="11"/>
    </row>
    <row r="9" spans="1:4" ht="13.8" x14ac:dyDescent="0.3">
      <c r="A9" s="3" t="s">
        <v>6</v>
      </c>
      <c r="B9" s="21">
        <v>19</v>
      </c>
      <c r="C9" s="9">
        <f>MemberOfAssemblyAssemblyDistrict17General[[#This Row],[Part of Nassau County Vote Results]]</f>
        <v>19</v>
      </c>
      <c r="D9" s="11"/>
    </row>
    <row r="10" spans="1:4" ht="13.8" x14ac:dyDescent="0.3">
      <c r="A10" s="13" t="s">
        <v>2</v>
      </c>
      <c r="B10" s="21">
        <f>SUM(MemberOfAssemblyAssemblyDistrict17General[Part of Nassau County Vote Results])</f>
        <v>73760</v>
      </c>
      <c r="C10" s="9">
        <f>SUM(MemberOfAssemblyAssemblyDistrict17General[Total Votes by Party])</f>
        <v>73760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DE6E-0618-4434-BC76-88135526E584}">
  <dimension ref="A1:D9"/>
  <sheetViews>
    <sheetView workbookViewId="0">
      <selection activeCell="D12" sqref="D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162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163</v>
      </c>
      <c r="B3" s="21">
        <v>36878</v>
      </c>
      <c r="C3" s="9">
        <f>MemberOfAssemblyAssemblyDistrict18General[[#This Row],[Part of Nassau County Vote Results]]</f>
        <v>36878</v>
      </c>
      <c r="D3" s="10">
        <f>SUM(MemberOfAssemblyAssemblyDistrict18General[[#This Row],[Total Votes by Party]])</f>
        <v>36878</v>
      </c>
    </row>
    <row r="4" spans="1:4" ht="13.8" x14ac:dyDescent="0.3">
      <c r="A4" s="1" t="s">
        <v>164</v>
      </c>
      <c r="B4" s="21">
        <v>5734</v>
      </c>
      <c r="C4" s="9">
        <f>MemberOfAssemblyAssemblyDistrict18General[[#This Row],[Part of Nassau County Vote Results]]</f>
        <v>5734</v>
      </c>
      <c r="D4" s="10">
        <f>SUM(MemberOfAssemblyAssemblyDistrict18General[[#This Row],[Total Votes by Party]],C5)</f>
        <v>6695</v>
      </c>
    </row>
    <row r="5" spans="1:4" ht="13.8" x14ac:dyDescent="0.3">
      <c r="A5" s="1" t="s">
        <v>165</v>
      </c>
      <c r="B5" s="21">
        <v>961</v>
      </c>
      <c r="C5" s="9">
        <f>MemberOfAssemblyAssemblyDistrict18General[[#This Row],[Part of Nassau County Vote Results]]</f>
        <v>961</v>
      </c>
      <c r="D5" s="11"/>
    </row>
    <row r="6" spans="1:4" ht="13.8" x14ac:dyDescent="0.3">
      <c r="A6" s="3" t="s">
        <v>0</v>
      </c>
      <c r="B6" s="21">
        <v>5582</v>
      </c>
      <c r="C6" s="9">
        <f>MemberOfAssemblyAssemblyDistrict18General[[#This Row],[Part of Nassau County Vote Results]]</f>
        <v>5582</v>
      </c>
      <c r="D6" s="11"/>
    </row>
    <row r="7" spans="1:4" ht="13.8" x14ac:dyDescent="0.3">
      <c r="A7" s="3" t="s">
        <v>1</v>
      </c>
      <c r="B7" s="21">
        <v>45</v>
      </c>
      <c r="C7" s="9">
        <f>MemberOfAssemblyAssemblyDistrict18General[[#This Row],[Part of Nassau County Vote Results]]</f>
        <v>45</v>
      </c>
      <c r="D7" s="11"/>
    </row>
    <row r="8" spans="1:4" ht="13.8" x14ac:dyDescent="0.3">
      <c r="A8" s="3" t="s">
        <v>6</v>
      </c>
      <c r="B8" s="21">
        <v>244</v>
      </c>
      <c r="C8" s="9">
        <f>MemberOfAssemblyAssemblyDistrict18General[[#This Row],[Part of Nassau County Vote Results]]</f>
        <v>244</v>
      </c>
      <c r="D8" s="11"/>
    </row>
    <row r="9" spans="1:4" ht="13.8" x14ac:dyDescent="0.3">
      <c r="A9" s="13" t="s">
        <v>2</v>
      </c>
      <c r="B9" s="21">
        <f>SUM(MemberOfAssemblyAssemblyDistrict18General[Part of Nassau County Vote Results])</f>
        <v>49444</v>
      </c>
      <c r="C9" s="9">
        <f>SUM(MemberOfAssemblyAssemblyDistrict18General[Total Votes by Party])</f>
        <v>49444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3028-4C99-4DC6-AAD4-5B8842B9AA71}">
  <dimension ref="A1:D11"/>
  <sheetViews>
    <sheetView workbookViewId="0">
      <selection activeCell="D16" sqref="D1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166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167</v>
      </c>
      <c r="B3" s="21">
        <v>26831</v>
      </c>
      <c r="C3" s="9">
        <f>MemberOfAssemblyAssemblyDistrict19General[[#This Row],[Part of Nassau County Vote Results]]</f>
        <v>26831</v>
      </c>
      <c r="D3" s="10">
        <f>SUM(MemberOfAssemblyAssemblyDistrict19General[[#This Row],[Total Votes by Party]])</f>
        <v>26831</v>
      </c>
    </row>
    <row r="4" spans="1:4" ht="13.8" x14ac:dyDescent="0.3">
      <c r="A4" s="1" t="s">
        <v>168</v>
      </c>
      <c r="B4" s="21">
        <v>34377</v>
      </c>
      <c r="C4" s="9">
        <f>MemberOfAssemblyAssemblyDistrict19General[[#This Row],[Part of Nassau County Vote Results]]</f>
        <v>34377</v>
      </c>
      <c r="D4" s="10">
        <f>SUM(MemberOfAssemblyAssemblyDistrict19General[[#This Row],[Total Votes by Party]],C5,C6,C7)</f>
        <v>38509</v>
      </c>
    </row>
    <row r="5" spans="1:4" ht="13.8" x14ac:dyDescent="0.3">
      <c r="A5" s="1" t="s">
        <v>169</v>
      </c>
      <c r="B5" s="21">
        <v>3264</v>
      </c>
      <c r="C5" s="9">
        <f>MemberOfAssemblyAssemblyDistrict19General[[#This Row],[Part of Nassau County Vote Results]]</f>
        <v>3264</v>
      </c>
      <c r="D5" s="11"/>
    </row>
    <row r="6" spans="1:4" ht="13.8" x14ac:dyDescent="0.3">
      <c r="A6" s="1" t="s">
        <v>170</v>
      </c>
      <c r="B6" s="21">
        <v>253</v>
      </c>
      <c r="C6" s="9">
        <f>MemberOfAssemblyAssemblyDistrict19General[[#This Row],[Part of Nassau County Vote Results]]</f>
        <v>253</v>
      </c>
      <c r="D6" s="11"/>
    </row>
    <row r="7" spans="1:4" ht="13.8" x14ac:dyDescent="0.3">
      <c r="A7" s="1" t="s">
        <v>171</v>
      </c>
      <c r="B7" s="21">
        <v>615</v>
      </c>
      <c r="C7" s="9">
        <f>MemberOfAssemblyAssemblyDistrict19General[[#This Row],[Part of Nassau County Vote Results]]</f>
        <v>615</v>
      </c>
      <c r="D7" s="11"/>
    </row>
    <row r="8" spans="1:4" ht="13.8" x14ac:dyDescent="0.3">
      <c r="A8" s="3" t="s">
        <v>0</v>
      </c>
      <c r="B8" s="22">
        <v>6596</v>
      </c>
      <c r="C8" s="9">
        <f>MemberOfAssemblyAssemblyDistrict19General[[#This Row],[Part of Nassau County Vote Results]]</f>
        <v>6596</v>
      </c>
      <c r="D8" s="11"/>
    </row>
    <row r="9" spans="1:4" ht="13.8" x14ac:dyDescent="0.3">
      <c r="A9" s="3" t="s">
        <v>1</v>
      </c>
      <c r="B9" s="22">
        <v>17</v>
      </c>
      <c r="C9" s="9">
        <f>MemberOfAssemblyAssemblyDistrict19General[[#This Row],[Part of Nassau County Vote Results]]</f>
        <v>17</v>
      </c>
      <c r="D9" s="11"/>
    </row>
    <row r="10" spans="1:4" ht="13.8" x14ac:dyDescent="0.3">
      <c r="A10" s="3" t="s">
        <v>6</v>
      </c>
      <c r="B10" s="22">
        <v>20</v>
      </c>
      <c r="C10" s="9">
        <f>MemberOfAssemblyAssemblyDistrict19General[[#This Row],[Part of Nassau County Vote Results]]</f>
        <v>20</v>
      </c>
      <c r="D10" s="11"/>
    </row>
    <row r="11" spans="1:4" ht="13.8" x14ac:dyDescent="0.3">
      <c r="A11" s="13" t="s">
        <v>2</v>
      </c>
      <c r="B11" s="21">
        <f>SUM(MemberOfAssemblyAssemblyDistrict19General[Part of Nassau County Vote Results])</f>
        <v>71973</v>
      </c>
      <c r="C11" s="9">
        <f>SUM(MemberOfAssemblyAssemblyDistrict19General[Total Votes by Party])</f>
        <v>71973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7CEC-9FF0-4C02-9D03-C2654B3154CB}">
  <dimension ref="A1:D12"/>
  <sheetViews>
    <sheetView workbookViewId="0">
      <selection activeCell="B3" sqref="B3: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65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66</v>
      </c>
      <c r="B3" s="21">
        <v>28332</v>
      </c>
      <c r="C3" s="9">
        <f>MemberOfAssemblyAssemblyDistrict2General[[#This Row],[Part of Suffolk County Vote Results]]</f>
        <v>28332</v>
      </c>
      <c r="D3" s="10">
        <f>SUM(MemberOfAssemblyAssemblyDistrict2General[[#This Row],[Total Votes by Party]],C6)</f>
        <v>29966</v>
      </c>
    </row>
    <row r="4" spans="1:4" ht="13.8" x14ac:dyDescent="0.3">
      <c r="A4" s="1" t="s">
        <v>67</v>
      </c>
      <c r="B4" s="21">
        <v>34837</v>
      </c>
      <c r="C4" s="9">
        <f>MemberOfAssemblyAssemblyDistrict2General[[#This Row],[Part of Suffolk County Vote Results]]</f>
        <v>34837</v>
      </c>
      <c r="D4" s="10">
        <f>SUM(MemberOfAssemblyAssemblyDistrict2General[[#This Row],[Total Votes by Party]],C5,C8)</f>
        <v>39851</v>
      </c>
    </row>
    <row r="5" spans="1:4" ht="13.8" x14ac:dyDescent="0.3">
      <c r="A5" s="1" t="s">
        <v>68</v>
      </c>
      <c r="B5" s="21">
        <v>4368</v>
      </c>
      <c r="C5" s="9">
        <f>MemberOfAssemblyAssemblyDistrict2General[[#This Row],[Part of Suffolk County Vote Results]]</f>
        <v>4368</v>
      </c>
      <c r="D5" s="11"/>
    </row>
    <row r="6" spans="1:4" ht="13.8" x14ac:dyDescent="0.3">
      <c r="A6" s="1" t="s">
        <v>69</v>
      </c>
      <c r="B6" s="21">
        <v>1634</v>
      </c>
      <c r="C6" s="9">
        <f>MemberOfAssemblyAssemblyDistrict2General[[#This Row],[Part of Suffolk County Vote Results]]</f>
        <v>1634</v>
      </c>
      <c r="D6" s="11"/>
    </row>
    <row r="7" spans="1:4" ht="13.8" x14ac:dyDescent="0.3">
      <c r="A7" s="1" t="s">
        <v>70</v>
      </c>
      <c r="B7" s="21">
        <v>925</v>
      </c>
      <c r="C7" s="9">
        <f>MemberOfAssemblyAssemblyDistrict2General[[#This Row],[Part of Suffolk County Vote Results]]</f>
        <v>925</v>
      </c>
      <c r="D7" s="10">
        <f>SUM(MemberOfAssemblyAssemblyDistrict2General[[#This Row],[Total Votes by Party]])</f>
        <v>925</v>
      </c>
    </row>
    <row r="8" spans="1:4" ht="13.8" x14ac:dyDescent="0.3">
      <c r="A8" s="1" t="s">
        <v>71</v>
      </c>
      <c r="B8" s="21">
        <v>646</v>
      </c>
      <c r="C8" s="9">
        <f>MemberOfAssemblyAssemblyDistrict2General[[#This Row],[Part of Suffolk County Vote Results]]</f>
        <v>646</v>
      </c>
      <c r="D8" s="11"/>
    </row>
    <row r="9" spans="1:4" ht="13.8" x14ac:dyDescent="0.3">
      <c r="A9" s="3" t="s">
        <v>0</v>
      </c>
      <c r="B9" s="21">
        <v>4485</v>
      </c>
      <c r="C9" s="9">
        <f>MemberOfAssemblyAssemblyDistrict2General[[#This Row],[Part of Suffolk County Vote Results]]</f>
        <v>4485</v>
      </c>
      <c r="D9" s="11"/>
    </row>
    <row r="10" spans="1:4" ht="13.8" x14ac:dyDescent="0.3">
      <c r="A10" s="3" t="s">
        <v>1</v>
      </c>
      <c r="B10" s="21">
        <v>29</v>
      </c>
      <c r="C10" s="9">
        <f>MemberOfAssemblyAssemblyDistrict2General[[#This Row],[Part of Suffolk County Vote Results]]</f>
        <v>29</v>
      </c>
      <c r="D10" s="11"/>
    </row>
    <row r="11" spans="1:4" ht="13.8" x14ac:dyDescent="0.3">
      <c r="A11" s="3" t="s">
        <v>6</v>
      </c>
      <c r="B11" s="21">
        <v>6</v>
      </c>
      <c r="C11" s="9">
        <f>MemberOfAssemblyAssemblyDistrict2General[[#This Row],[Part of Suffolk County Vote Results]]</f>
        <v>6</v>
      </c>
      <c r="D11" s="11"/>
    </row>
    <row r="12" spans="1:4" ht="13.8" x14ac:dyDescent="0.3">
      <c r="A12" s="13" t="s">
        <v>2</v>
      </c>
      <c r="B12" s="21">
        <f>SUM(MemberOfAssemblyAssemblyDistrict2General[Part of Suffolk County Vote Results])</f>
        <v>75262</v>
      </c>
      <c r="C12" s="9">
        <f>SUM(MemberOfAssemblyAssemblyDistrict2General[Total Votes by Party])</f>
        <v>75262</v>
      </c>
      <c r="D12" s="1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7AF4-1D11-4C5E-BF8A-4A3A11FF0D06}">
  <dimension ref="A1:D11"/>
  <sheetViews>
    <sheetView workbookViewId="0">
      <selection activeCell="D16" sqref="D1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172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173</v>
      </c>
      <c r="B3" s="21">
        <v>26632</v>
      </c>
      <c r="C3" s="9">
        <f>MemberOfAssemblyAssemblyDistrict20General[[#This Row],[Part of Nassau County Vote Results]]</f>
        <v>26632</v>
      </c>
      <c r="D3" s="10">
        <f>MemberOfAssemblyAssemblyDistrict20General[[#This Row],[Total Votes by Party]]</f>
        <v>26632</v>
      </c>
    </row>
    <row r="4" spans="1:4" ht="13.8" x14ac:dyDescent="0.3">
      <c r="A4" s="1" t="s">
        <v>174</v>
      </c>
      <c r="B4" s="21">
        <v>34862</v>
      </c>
      <c r="C4" s="9">
        <f>MemberOfAssemblyAssemblyDistrict20General[[#This Row],[Part of Nassau County Vote Results]]</f>
        <v>34862</v>
      </c>
      <c r="D4" s="10">
        <f>SUM(MemberOfAssemblyAssemblyDistrict20General[[#This Row],[Total Votes by Party]],C5,C6,C7)</f>
        <v>38318</v>
      </c>
    </row>
    <row r="5" spans="1:4" ht="13.8" x14ac:dyDescent="0.3">
      <c r="A5" s="1" t="s">
        <v>175</v>
      </c>
      <c r="B5" s="21">
        <v>2576</v>
      </c>
      <c r="C5" s="9">
        <f>MemberOfAssemblyAssemblyDistrict20General[[#This Row],[Part of Nassau County Vote Results]]</f>
        <v>2576</v>
      </c>
      <c r="D5" s="11"/>
    </row>
    <row r="6" spans="1:4" ht="13.8" x14ac:dyDescent="0.3">
      <c r="A6" s="1" t="s">
        <v>176</v>
      </c>
      <c r="B6" s="21">
        <v>229</v>
      </c>
      <c r="C6" s="9">
        <f>MemberOfAssemblyAssemblyDistrict20General[[#This Row],[Part of Nassau County Vote Results]]</f>
        <v>229</v>
      </c>
      <c r="D6" s="11"/>
    </row>
    <row r="7" spans="1:4" ht="13.8" x14ac:dyDescent="0.3">
      <c r="A7" s="1" t="s">
        <v>177</v>
      </c>
      <c r="B7" s="21">
        <v>651</v>
      </c>
      <c r="C7" s="9">
        <f>MemberOfAssemblyAssemblyDistrict20General[[#This Row],[Part of Nassau County Vote Results]]</f>
        <v>651</v>
      </c>
      <c r="D7" s="11"/>
    </row>
    <row r="8" spans="1:4" ht="13.8" x14ac:dyDescent="0.3">
      <c r="A8" s="3" t="s">
        <v>0</v>
      </c>
      <c r="B8" s="21">
        <v>6265</v>
      </c>
      <c r="C8" s="9">
        <f>MemberOfAssemblyAssemblyDistrict20General[[#This Row],[Part of Nassau County Vote Results]]</f>
        <v>6265</v>
      </c>
      <c r="D8" s="11"/>
    </row>
    <row r="9" spans="1:4" ht="13.8" x14ac:dyDescent="0.3">
      <c r="A9" s="3" t="s">
        <v>1</v>
      </c>
      <c r="B9" s="21">
        <v>44</v>
      </c>
      <c r="C9" s="9">
        <f>MemberOfAssemblyAssemblyDistrict20General[[#This Row],[Part of Nassau County Vote Results]]</f>
        <v>44</v>
      </c>
      <c r="D9" s="11"/>
    </row>
    <row r="10" spans="1:4" ht="13.8" x14ac:dyDescent="0.3">
      <c r="A10" s="3" t="s">
        <v>6</v>
      </c>
      <c r="B10" s="21">
        <v>23</v>
      </c>
      <c r="C10" s="9">
        <f>MemberOfAssemblyAssemblyDistrict20General[[#This Row],[Part of Nassau County Vote Results]]</f>
        <v>23</v>
      </c>
      <c r="D10" s="11"/>
    </row>
    <row r="11" spans="1:4" ht="13.8" x14ac:dyDescent="0.3">
      <c r="A11" s="13" t="s">
        <v>2</v>
      </c>
      <c r="B11" s="21">
        <f>SUM(MemberOfAssemblyAssemblyDistrict20General[Part of Nassau County Vote Results])</f>
        <v>71282</v>
      </c>
      <c r="C11" s="9">
        <f>SUM(MemberOfAssemblyAssemblyDistrict20General[Total Votes by Party])</f>
        <v>71282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5E4C-B722-40AF-86F1-B5E842F61496}">
  <dimension ref="A1:D10"/>
  <sheetViews>
    <sheetView workbookViewId="0">
      <selection activeCell="D18" sqref="D18"/>
    </sheetView>
  </sheetViews>
  <sheetFormatPr defaultRowHeight="13.2" x14ac:dyDescent="0.25"/>
  <cols>
    <col min="1" max="1" width="31.33203125" customWidth="1"/>
    <col min="2" max="4" width="20.5546875" customWidth="1"/>
    <col min="5" max="6" width="23.5546875" customWidth="1"/>
  </cols>
  <sheetData>
    <row r="1" spans="1:4" ht="18" x14ac:dyDescent="0.25">
      <c r="A1" s="30" t="s">
        <v>178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179</v>
      </c>
      <c r="B3" s="21">
        <v>36373</v>
      </c>
      <c r="C3" s="9">
        <f>MemberOfAssemblyAssemblyDistrict21General[[#This Row],[Part of Nassau County Vote Results]]</f>
        <v>36373</v>
      </c>
      <c r="D3" s="10">
        <f>SUM(MemberOfAssemblyAssemblyDistrict21General[[#This Row],[Total Votes by Party]])</f>
        <v>36373</v>
      </c>
    </row>
    <row r="4" spans="1:4" ht="13.8" x14ac:dyDescent="0.3">
      <c r="A4" s="1" t="s">
        <v>180</v>
      </c>
      <c r="B4" s="21">
        <v>28583</v>
      </c>
      <c r="C4" s="9">
        <f>MemberOfAssemblyAssemblyDistrict21General[[#This Row],[Part of Nassau County Vote Results]]</f>
        <v>28583</v>
      </c>
      <c r="D4" s="10">
        <f>SUM(MemberOfAssemblyAssemblyDistrict21General[[#This Row],[Total Votes by Party]],C5)</f>
        <v>31656</v>
      </c>
    </row>
    <row r="5" spans="1:4" ht="13.8" x14ac:dyDescent="0.3">
      <c r="A5" s="1" t="s">
        <v>181</v>
      </c>
      <c r="B5" s="21">
        <v>3073</v>
      </c>
      <c r="C5" s="9">
        <f>MemberOfAssemblyAssemblyDistrict21General[[#This Row],[Part of Nassau County Vote Results]]</f>
        <v>3073</v>
      </c>
      <c r="D5" s="11"/>
    </row>
    <row r="6" spans="1:4" ht="13.8" x14ac:dyDescent="0.3">
      <c r="A6" s="1" t="s">
        <v>182</v>
      </c>
      <c r="B6" s="21">
        <v>487</v>
      </c>
      <c r="C6" s="9">
        <f>MemberOfAssemblyAssemblyDistrict21General[[#This Row],[Part of Nassau County Vote Results]]</f>
        <v>487</v>
      </c>
      <c r="D6" s="10">
        <f>SUM(MemberOfAssemblyAssemblyDistrict21General[[#This Row],[Total Votes by Party]])</f>
        <v>487</v>
      </c>
    </row>
    <row r="7" spans="1:4" ht="13.8" x14ac:dyDescent="0.3">
      <c r="A7" s="3" t="s">
        <v>0</v>
      </c>
      <c r="B7" s="21">
        <v>5835</v>
      </c>
      <c r="C7" s="9">
        <f>MemberOfAssemblyAssemblyDistrict21General[[#This Row],[Part of Nassau County Vote Results]]</f>
        <v>5835</v>
      </c>
      <c r="D7" s="11"/>
    </row>
    <row r="8" spans="1:4" ht="13.8" x14ac:dyDescent="0.3">
      <c r="A8" s="3" t="s">
        <v>1</v>
      </c>
      <c r="B8" s="21">
        <v>33</v>
      </c>
      <c r="C8" s="9">
        <f>MemberOfAssemblyAssemblyDistrict21General[[#This Row],[Part of Nassau County Vote Results]]</f>
        <v>33</v>
      </c>
      <c r="D8" s="11"/>
    </row>
    <row r="9" spans="1:4" ht="13.8" x14ac:dyDescent="0.3">
      <c r="A9" s="3" t="s">
        <v>6</v>
      </c>
      <c r="B9" s="21">
        <v>28</v>
      </c>
      <c r="C9" s="9">
        <f>MemberOfAssemblyAssemblyDistrict21General[[#This Row],[Part of Nassau County Vote Results]]</f>
        <v>28</v>
      </c>
      <c r="D9" s="11"/>
    </row>
    <row r="10" spans="1:4" ht="13.8" x14ac:dyDescent="0.3">
      <c r="A10" s="13" t="s">
        <v>2</v>
      </c>
      <c r="B10" s="21">
        <f>SUM(MemberOfAssemblyAssemblyDistrict21General[Part of Nassau County Vote Results])</f>
        <v>74412</v>
      </c>
      <c r="C10" s="9">
        <f>SUM(MemberOfAssemblyAssemblyDistrict21General[Total Votes by Party])</f>
        <v>74412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6B82-8D3D-48D5-96A0-3F9E54898E6D}">
  <dimension ref="A1:D12"/>
  <sheetViews>
    <sheetView workbookViewId="0">
      <selection activeCell="D14" sqref="D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183</v>
      </c>
    </row>
    <row r="2" spans="1:4" ht="27.6" x14ac:dyDescent="0.25">
      <c r="A2" s="5" t="s">
        <v>5</v>
      </c>
      <c r="B2" s="6" t="s">
        <v>22</v>
      </c>
      <c r="C2" s="7" t="s">
        <v>3</v>
      </c>
      <c r="D2" s="8" t="s">
        <v>4</v>
      </c>
    </row>
    <row r="3" spans="1:4" ht="13.8" x14ac:dyDescent="0.3">
      <c r="A3" s="1" t="s">
        <v>184</v>
      </c>
      <c r="B3" s="21">
        <v>40650</v>
      </c>
      <c r="C3" s="9">
        <f>MemberOfAssemblyAssemblyDistrict22General[[#This Row],[Part of Nassau County Vote Results]]</f>
        <v>40650</v>
      </c>
      <c r="D3" s="10">
        <f>SUM(MemberOfAssemblyAssemblyDistrict22General[[#This Row],[Total Votes by Party]],C6,C7)</f>
        <v>42352</v>
      </c>
    </row>
    <row r="4" spans="1:4" ht="13.8" x14ac:dyDescent="0.3">
      <c r="A4" s="1" t="s">
        <v>185</v>
      </c>
      <c r="B4" s="21">
        <v>18078</v>
      </c>
      <c r="C4" s="9">
        <f>MemberOfAssemblyAssemblyDistrict22General[[#This Row],[Part of Nassau County Vote Results]]</f>
        <v>18078</v>
      </c>
      <c r="D4" s="10">
        <f>SUM(MemberOfAssemblyAssemblyDistrict22General[[#This Row],[Total Votes by Party]],C5)</f>
        <v>19931</v>
      </c>
    </row>
    <row r="5" spans="1:4" ht="13.8" x14ac:dyDescent="0.3">
      <c r="A5" s="1" t="s">
        <v>186</v>
      </c>
      <c r="B5" s="21">
        <v>1853</v>
      </c>
      <c r="C5" s="9">
        <f>MemberOfAssemblyAssemblyDistrict22General[[#This Row],[Part of Nassau County Vote Results]]</f>
        <v>1853</v>
      </c>
      <c r="D5" s="11"/>
    </row>
    <row r="6" spans="1:4" ht="13.8" x14ac:dyDescent="0.3">
      <c r="A6" s="1" t="s">
        <v>187</v>
      </c>
      <c r="B6" s="21">
        <v>1189</v>
      </c>
      <c r="C6" s="9">
        <f>MemberOfAssemblyAssemblyDistrict22General[[#This Row],[Part of Nassau County Vote Results]]</f>
        <v>1189</v>
      </c>
      <c r="D6" s="11"/>
    </row>
    <row r="7" spans="1:4" ht="13.8" x14ac:dyDescent="0.3">
      <c r="A7" s="1" t="s">
        <v>188</v>
      </c>
      <c r="B7" s="21">
        <v>513</v>
      </c>
      <c r="C7" s="9">
        <f>MemberOfAssemblyAssemblyDistrict22General[[#This Row],[Part of Nassau County Vote Results]]</f>
        <v>513</v>
      </c>
      <c r="D7" s="11"/>
    </row>
    <row r="8" spans="1:4" ht="13.8" x14ac:dyDescent="0.3">
      <c r="A8" s="3" t="s">
        <v>0</v>
      </c>
      <c r="B8" s="21">
        <v>5632</v>
      </c>
      <c r="C8" s="9">
        <f>MemberOfAssemblyAssemblyDistrict22General[[#This Row],[Part of Nassau County Vote Results]]</f>
        <v>5632</v>
      </c>
      <c r="D8" s="11"/>
    </row>
    <row r="9" spans="1:4" ht="13.8" x14ac:dyDescent="0.3">
      <c r="A9" s="3" t="s">
        <v>1</v>
      </c>
      <c r="B9" s="21">
        <v>39</v>
      </c>
      <c r="C9" s="9">
        <f>MemberOfAssemblyAssemblyDistrict22General[[#This Row],[Part of Nassau County Vote Results]]</f>
        <v>39</v>
      </c>
      <c r="D9" s="11"/>
    </row>
    <row r="10" spans="1:4" ht="13.8" x14ac:dyDescent="0.3">
      <c r="A10" s="3" t="s">
        <v>6</v>
      </c>
      <c r="B10" s="21">
        <v>18</v>
      </c>
      <c r="C10" s="9">
        <f>MemberOfAssemblyAssemblyDistrict22General[[#This Row],[Part of Nassau County Vote Results]]</f>
        <v>18</v>
      </c>
      <c r="D10" s="11"/>
    </row>
    <row r="11" spans="1:4" ht="13.8" x14ac:dyDescent="0.3">
      <c r="A11" s="13" t="s">
        <v>2</v>
      </c>
      <c r="B11" s="21">
        <f>SUM(MemberOfAssemblyAssemblyDistrict22General[Part of Nassau County Vote Results])</f>
        <v>67972</v>
      </c>
      <c r="C11" s="9">
        <f>SUM(MemberOfAssemblyAssemblyDistrict22General[Total Votes by Party])</f>
        <v>67972</v>
      </c>
      <c r="D11" s="11"/>
    </row>
    <row r="12" spans="1:4" x14ac:dyDescent="0.25">
      <c r="B12" s="29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C37E-8A3F-4971-AB21-D49CC43B020E}">
  <dimension ref="A1:D10"/>
  <sheetViews>
    <sheetView workbookViewId="0">
      <selection activeCell="B12" sqref="B12"/>
    </sheetView>
  </sheetViews>
  <sheetFormatPr defaultRowHeight="13.2" x14ac:dyDescent="0.25"/>
  <cols>
    <col min="1" max="1" width="29" customWidth="1"/>
    <col min="2" max="4" width="20.5546875" customWidth="1"/>
    <col min="5" max="6" width="23.5546875" customWidth="1"/>
  </cols>
  <sheetData>
    <row r="1" spans="1:4" ht="18" x14ac:dyDescent="0.25">
      <c r="A1" s="30" t="s">
        <v>189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190</v>
      </c>
      <c r="B3" s="24">
        <v>29065</v>
      </c>
      <c r="C3" s="9">
        <f>MemberOfAssemblyAssemblyDistrict23General[[#This Row],[Part of Queens County Vote Results]]</f>
        <v>29065</v>
      </c>
      <c r="D3" s="10">
        <f>SUM(MemberOfAssemblyAssemblyDistrict23General[[#This Row],[Total Votes by Party]])</f>
        <v>29065</v>
      </c>
    </row>
    <row r="4" spans="1:4" ht="13.8" x14ac:dyDescent="0.3">
      <c r="A4" s="1" t="s">
        <v>191</v>
      </c>
      <c r="B4" s="24">
        <v>16153</v>
      </c>
      <c r="C4" s="9">
        <f>MemberOfAssemblyAssemblyDistrict23General[[#This Row],[Part of Queens County Vote Results]]</f>
        <v>16153</v>
      </c>
      <c r="D4" s="10">
        <f>SUM(MemberOfAssemblyAssemblyDistrict23General[[#This Row],[Total Votes by Party]],C5,C6)</f>
        <v>18133</v>
      </c>
    </row>
    <row r="5" spans="1:4" ht="13.8" x14ac:dyDescent="0.3">
      <c r="A5" s="1" t="s">
        <v>192</v>
      </c>
      <c r="B5" s="24">
        <v>1574</v>
      </c>
      <c r="C5" s="9">
        <f>MemberOfAssemblyAssemblyDistrict23General[[#This Row],[Part of Queens County Vote Results]]</f>
        <v>1574</v>
      </c>
      <c r="D5" s="11"/>
    </row>
    <row r="6" spans="1:4" ht="13.8" x14ac:dyDescent="0.3">
      <c r="A6" s="1" t="s">
        <v>193</v>
      </c>
      <c r="B6" s="23">
        <v>406</v>
      </c>
      <c r="C6" s="9">
        <f>MemberOfAssemblyAssemblyDistrict23General[[#This Row],[Part of Queens County Vote Results]]</f>
        <v>406</v>
      </c>
      <c r="D6" s="11"/>
    </row>
    <row r="7" spans="1:4" ht="13.8" x14ac:dyDescent="0.3">
      <c r="A7" s="3" t="s">
        <v>0</v>
      </c>
      <c r="B7" s="2">
        <v>2550</v>
      </c>
      <c r="C7" s="9">
        <f>MemberOfAssemblyAssemblyDistrict23General[[#This Row],[Part of Queens County Vote Results]]</f>
        <v>2550</v>
      </c>
      <c r="D7" s="11"/>
    </row>
    <row r="8" spans="1:4" ht="13.8" x14ac:dyDescent="0.3">
      <c r="A8" s="3" t="s">
        <v>1</v>
      </c>
      <c r="B8" s="2">
        <v>14</v>
      </c>
      <c r="C8" s="9">
        <f>MemberOfAssemblyAssemblyDistrict23General[[#This Row],[Part of Queens County Vote Results]]</f>
        <v>14</v>
      </c>
      <c r="D8" s="11"/>
    </row>
    <row r="9" spans="1:4" ht="13.8" x14ac:dyDescent="0.3">
      <c r="A9" s="3" t="s">
        <v>6</v>
      </c>
      <c r="B9" s="2">
        <v>42</v>
      </c>
      <c r="C9" s="9">
        <f>MemberOfAssemblyAssemblyDistrict23General[[#This Row],[Part of Queens County Vote Results]]</f>
        <v>42</v>
      </c>
      <c r="D9" s="11"/>
    </row>
    <row r="10" spans="1:4" ht="13.8" x14ac:dyDescent="0.3">
      <c r="A10" s="13" t="s">
        <v>2</v>
      </c>
      <c r="B10" s="2">
        <f>SUM(MemberOfAssemblyAssemblyDistrict23General[Part of Queens County Vote Results])</f>
        <v>49804</v>
      </c>
      <c r="C10" s="9">
        <f>SUM(MemberOfAssemblyAssemblyDistrict23General[Total Votes by Party])</f>
        <v>49804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1964-B37C-43CB-9726-F1D849E754BD}">
  <dimension ref="A1:D8"/>
  <sheetViews>
    <sheetView workbookViewId="0">
      <selection activeCell="B13" sqref="B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194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195</v>
      </c>
      <c r="B3" s="24">
        <v>34000</v>
      </c>
      <c r="C3" s="9">
        <f>MemberOfAssemblyAssemblyDistrict24General[[#This Row],[Part of Queens County Vote Results]]</f>
        <v>34000</v>
      </c>
      <c r="D3" s="10">
        <f>MemberOfAssemblyAssemblyDistrict24General[[#This Row],[Total Votes by Party]]</f>
        <v>34000</v>
      </c>
    </row>
    <row r="4" spans="1:4" ht="13.8" x14ac:dyDescent="0.3">
      <c r="A4" s="3" t="s">
        <v>0</v>
      </c>
      <c r="B4" s="2">
        <v>10133</v>
      </c>
      <c r="C4" s="9">
        <f>MemberOfAssemblyAssemblyDistrict24General[[#This Row],[Part of Queens County Vote Results]]</f>
        <v>10133</v>
      </c>
      <c r="D4" s="11"/>
    </row>
    <row r="5" spans="1:4" ht="13.8" x14ac:dyDescent="0.3">
      <c r="A5" s="3" t="s">
        <v>1</v>
      </c>
      <c r="B5" s="2">
        <v>8</v>
      </c>
      <c r="C5" s="9">
        <f>MemberOfAssemblyAssemblyDistrict24General[[#This Row],[Part of Queens County Vote Results]]</f>
        <v>8</v>
      </c>
      <c r="D5" s="11"/>
    </row>
    <row r="6" spans="1:4" ht="13.8" x14ac:dyDescent="0.3">
      <c r="A6" s="3" t="s">
        <v>6</v>
      </c>
      <c r="B6" s="2">
        <v>276</v>
      </c>
      <c r="C6" s="9">
        <f>MemberOfAssemblyAssemblyDistrict24General[[#This Row],[Part of Queens County Vote Results]]</f>
        <v>276</v>
      </c>
      <c r="D6" s="11"/>
    </row>
    <row r="7" spans="1:4" ht="13.8" x14ac:dyDescent="0.3">
      <c r="A7" s="13" t="s">
        <v>2</v>
      </c>
      <c r="B7" s="2">
        <f>SUM(MemberOfAssemblyAssemblyDistrict24General[Part of Queens County Vote Results])</f>
        <v>44417</v>
      </c>
      <c r="C7" s="9">
        <f>SUM(MemberOfAssemblyAssemblyDistrict24General[Total Votes by Party])</f>
        <v>44417</v>
      </c>
      <c r="D7" s="11"/>
    </row>
    <row r="8" spans="1:4" x14ac:dyDescent="0.25">
      <c r="B8" s="1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298B-6E4D-4505-AF0B-CEF0D26D5BB8}">
  <dimension ref="A1:D8"/>
  <sheetViews>
    <sheetView workbookViewId="0">
      <selection activeCell="B11" sqref="B11: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196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197</v>
      </c>
      <c r="B3" s="24">
        <v>24197</v>
      </c>
      <c r="C3" s="9">
        <f>MemberOfAssemblyAssemblyDistrict25General[[#This Row],[Part of Queens County Vote Results]]</f>
        <v>24197</v>
      </c>
      <c r="D3" s="10">
        <f>SUM(MemberOfAssemblyAssemblyDistrict25General[[#This Row],[Total Votes by Party]],C4)</f>
        <v>28155</v>
      </c>
    </row>
    <row r="4" spans="1:4" ht="13.8" x14ac:dyDescent="0.3">
      <c r="A4" s="1" t="s">
        <v>198</v>
      </c>
      <c r="B4" s="24">
        <v>3958</v>
      </c>
      <c r="C4" s="9">
        <f>MemberOfAssemblyAssemblyDistrict25General[[#This Row],[Part of Queens County Vote Results]]</f>
        <v>3958</v>
      </c>
      <c r="D4" s="11"/>
    </row>
    <row r="5" spans="1:4" ht="13.8" x14ac:dyDescent="0.3">
      <c r="A5" s="3" t="s">
        <v>0</v>
      </c>
      <c r="B5" s="2">
        <v>11866</v>
      </c>
      <c r="C5" s="9">
        <f>MemberOfAssemblyAssemblyDistrict25General[[#This Row],[Part of Queens County Vote Results]]</f>
        <v>11866</v>
      </c>
      <c r="D5" s="11"/>
    </row>
    <row r="6" spans="1:4" ht="13.8" x14ac:dyDescent="0.3">
      <c r="A6" s="3" t="s">
        <v>1</v>
      </c>
      <c r="B6" s="2">
        <v>2</v>
      </c>
      <c r="C6" s="9">
        <f>MemberOfAssemblyAssemblyDistrict25General[[#This Row],[Part of Queens County Vote Results]]</f>
        <v>2</v>
      </c>
      <c r="D6" s="11"/>
    </row>
    <row r="7" spans="1:4" ht="13.8" x14ac:dyDescent="0.3">
      <c r="A7" s="3" t="s">
        <v>6</v>
      </c>
      <c r="B7" s="2">
        <v>288</v>
      </c>
      <c r="C7" s="9">
        <f>MemberOfAssemblyAssemblyDistrict25General[[#This Row],[Part of Queens County Vote Results]]</f>
        <v>288</v>
      </c>
      <c r="D7" s="11"/>
    </row>
    <row r="8" spans="1:4" ht="13.8" x14ac:dyDescent="0.3">
      <c r="A8" s="13" t="s">
        <v>2</v>
      </c>
      <c r="B8" s="2">
        <f>SUM(MemberOfAssemblyAssemblyDistrict25General[Part of Queens County Vote Results])</f>
        <v>40311</v>
      </c>
      <c r="C8" s="9">
        <f>SUM(MemberOfAssemblyAssemblyDistrict25General[Total Votes by Party])</f>
        <v>40311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80A3-B093-4946-8F3D-523ADED36CEC}">
  <dimension ref="A1:D10"/>
  <sheetViews>
    <sheetView workbookViewId="0">
      <selection activeCell="B14" sqref="B14"/>
    </sheetView>
  </sheetViews>
  <sheetFormatPr defaultRowHeight="13.2" x14ac:dyDescent="0.25"/>
  <cols>
    <col min="1" max="1" width="33.5546875" customWidth="1"/>
    <col min="2" max="4" width="20.5546875" customWidth="1"/>
    <col min="5" max="6" width="23.5546875" customWidth="1"/>
  </cols>
  <sheetData>
    <row r="1" spans="1:4" ht="18" x14ac:dyDescent="0.25">
      <c r="A1" s="30" t="s">
        <v>199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200</v>
      </c>
      <c r="B3" s="24">
        <v>28683</v>
      </c>
      <c r="C3" s="9">
        <f>MemberOfAssemblyAssemblyDistrict26General[[#This Row],[Part of Queens County Vote Results]]</f>
        <v>28683</v>
      </c>
      <c r="D3" s="10">
        <f>SUM(MemberOfAssemblyAssemblyDistrict26General[[#This Row],[Total Votes by Party]])</f>
        <v>28683</v>
      </c>
    </row>
    <row r="4" spans="1:4" ht="13.8" x14ac:dyDescent="0.3">
      <c r="A4" s="1" t="s">
        <v>201</v>
      </c>
      <c r="B4" s="24">
        <v>20846</v>
      </c>
      <c r="C4" s="9">
        <f>MemberOfAssemblyAssemblyDistrict26General[[#This Row],[Part of Queens County Vote Results]]</f>
        <v>20846</v>
      </c>
      <c r="D4" s="10">
        <f>SUM(MemberOfAssemblyAssemblyDistrict26General[[#This Row],[Total Votes by Party]],C5,C6)</f>
        <v>23603</v>
      </c>
    </row>
    <row r="5" spans="1:4" ht="13.8" x14ac:dyDescent="0.3">
      <c r="A5" s="1" t="s">
        <v>202</v>
      </c>
      <c r="B5" s="24">
        <v>1911</v>
      </c>
      <c r="C5" s="9">
        <f>MemberOfAssemblyAssemblyDistrict26General[[#This Row],[Part of Queens County Vote Results]]</f>
        <v>1911</v>
      </c>
      <c r="D5" s="11"/>
    </row>
    <row r="6" spans="1:4" ht="13.8" x14ac:dyDescent="0.3">
      <c r="A6" s="1" t="s">
        <v>203</v>
      </c>
      <c r="B6" s="23">
        <v>846</v>
      </c>
      <c r="C6" s="9">
        <f>MemberOfAssemblyAssemblyDistrict26General[[#This Row],[Part of Queens County Vote Results]]</f>
        <v>846</v>
      </c>
      <c r="D6" s="11"/>
    </row>
    <row r="7" spans="1:4" ht="13.8" x14ac:dyDescent="0.3">
      <c r="A7" s="3" t="s">
        <v>0</v>
      </c>
      <c r="B7" s="2">
        <v>3218</v>
      </c>
      <c r="C7" s="9">
        <f>MemberOfAssemblyAssemblyDistrict26General[[#This Row],[Part of Queens County Vote Results]]</f>
        <v>3218</v>
      </c>
      <c r="D7" s="11"/>
    </row>
    <row r="8" spans="1:4" ht="13.8" x14ac:dyDescent="0.3">
      <c r="A8" s="3" t="s">
        <v>1</v>
      </c>
      <c r="B8" s="2">
        <v>7</v>
      </c>
      <c r="C8" s="9">
        <f>MemberOfAssemblyAssemblyDistrict26General[[#This Row],[Part of Queens County Vote Results]]</f>
        <v>7</v>
      </c>
      <c r="D8" s="11"/>
    </row>
    <row r="9" spans="1:4" ht="13.8" x14ac:dyDescent="0.3">
      <c r="A9" s="3" t="s">
        <v>6</v>
      </c>
      <c r="B9" s="2">
        <v>34</v>
      </c>
      <c r="C9" s="9">
        <f>MemberOfAssemblyAssemblyDistrict26General[[#This Row],[Part of Queens County Vote Results]]</f>
        <v>34</v>
      </c>
      <c r="D9" s="11"/>
    </row>
    <row r="10" spans="1:4" ht="13.8" x14ac:dyDescent="0.3">
      <c r="A10" s="13" t="s">
        <v>2</v>
      </c>
      <c r="B10" s="2">
        <f>SUM(MemberOfAssemblyAssemblyDistrict26General[Part of Queens County Vote Results])</f>
        <v>55545</v>
      </c>
      <c r="C10" s="9">
        <f>SUM(MemberOfAssemblyAssemblyDistrict26General[Total Votes by Party])</f>
        <v>55545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9CE1-0F40-429D-851D-DC7BD2196071}">
  <dimension ref="A1:D7"/>
  <sheetViews>
    <sheetView workbookViewId="0">
      <selection activeCell="B13" sqref="B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204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205</v>
      </c>
      <c r="B3" s="24">
        <v>30789</v>
      </c>
      <c r="C3" s="9">
        <f>MemberOfAssemblyAssemblyDistrict27General[[#This Row],[Part of Queens County Vote Results]]</f>
        <v>30789</v>
      </c>
      <c r="D3" s="10">
        <f>SUM(MemberOfAssemblyAssemblyDistrict27General[[#This Row],[Total Votes by Party]])</f>
        <v>30789</v>
      </c>
    </row>
    <row r="4" spans="1:4" ht="13.8" x14ac:dyDescent="0.3">
      <c r="A4" s="3" t="s">
        <v>0</v>
      </c>
      <c r="B4" s="2">
        <v>13250</v>
      </c>
      <c r="C4" s="9">
        <f>MemberOfAssemblyAssemblyDistrict27General[[#This Row],[Part of Queens County Vote Results]]</f>
        <v>13250</v>
      </c>
      <c r="D4" s="11"/>
    </row>
    <row r="5" spans="1:4" ht="13.8" x14ac:dyDescent="0.3">
      <c r="A5" s="3" t="s">
        <v>1</v>
      </c>
      <c r="B5" s="2">
        <v>4</v>
      </c>
      <c r="C5" s="9">
        <f>MemberOfAssemblyAssemblyDistrict27General[[#This Row],[Part of Queens County Vote Results]]</f>
        <v>4</v>
      </c>
      <c r="D5" s="11"/>
    </row>
    <row r="6" spans="1:4" ht="13.8" x14ac:dyDescent="0.3">
      <c r="A6" s="3" t="s">
        <v>6</v>
      </c>
      <c r="B6" s="2">
        <v>371</v>
      </c>
      <c r="C6" s="9">
        <f>MemberOfAssemblyAssemblyDistrict27General[[#This Row],[Part of Queens County Vote Results]]</f>
        <v>371</v>
      </c>
      <c r="D6" s="11"/>
    </row>
    <row r="7" spans="1:4" ht="13.8" x14ac:dyDescent="0.3">
      <c r="A7" s="13" t="s">
        <v>2</v>
      </c>
      <c r="B7" s="2">
        <f>SUM(MemberOfAssemblyAssemblyDistrict27General[Part of Queens County Vote Results])</f>
        <v>44414</v>
      </c>
      <c r="C7" s="9">
        <f>SUM(MemberOfAssemblyAssemblyDistrict27General[Total Votes by Party])</f>
        <v>44414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8F7E-4791-425D-9015-5AF0CC7D1B79}">
  <dimension ref="A1:D8"/>
  <sheetViews>
    <sheetView workbookViewId="0">
      <selection activeCell="B12" sqref="B12"/>
    </sheetView>
  </sheetViews>
  <sheetFormatPr defaultRowHeight="13.2" x14ac:dyDescent="0.25"/>
  <cols>
    <col min="1" max="1" width="27.44140625" customWidth="1"/>
    <col min="2" max="4" width="20.5546875" customWidth="1"/>
    <col min="5" max="6" width="23.5546875" customWidth="1"/>
  </cols>
  <sheetData>
    <row r="1" spans="1:4" ht="18" x14ac:dyDescent="0.25">
      <c r="A1" s="30" t="s">
        <v>206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207</v>
      </c>
      <c r="B3" s="24">
        <v>34634</v>
      </c>
      <c r="C3" s="9">
        <f>MemberOfAssemblyAssemblyDistrict28General[[#This Row],[Part of Queens County Vote Results]]</f>
        <v>34634</v>
      </c>
      <c r="D3" s="10">
        <f>SUM(MemberOfAssemblyAssemblyDistrict28General[[#This Row],[Total Votes by Party]])</f>
        <v>34634</v>
      </c>
    </row>
    <row r="4" spans="1:4" ht="15" customHeight="1" x14ac:dyDescent="0.3">
      <c r="A4" s="1" t="s">
        <v>208</v>
      </c>
      <c r="B4" s="24">
        <v>5384</v>
      </c>
      <c r="C4" s="9">
        <f>MemberOfAssemblyAssemblyDistrict28General[[#This Row],[Part of Queens County Vote Results]]</f>
        <v>5384</v>
      </c>
      <c r="D4" s="10">
        <f>SUM(MemberOfAssemblyAssemblyDistrict28General[[#This Row],[Total Votes by Party]])</f>
        <v>5384</v>
      </c>
    </row>
    <row r="5" spans="1:4" ht="13.8" x14ac:dyDescent="0.3">
      <c r="A5" s="3" t="s">
        <v>0</v>
      </c>
      <c r="B5" s="2">
        <v>13129</v>
      </c>
      <c r="C5" s="9">
        <f>MemberOfAssemblyAssemblyDistrict28General[[#This Row],[Part of Queens County Vote Results]]</f>
        <v>13129</v>
      </c>
      <c r="D5" s="11"/>
    </row>
    <row r="6" spans="1:4" ht="13.8" x14ac:dyDescent="0.3">
      <c r="A6" s="3" t="s">
        <v>1</v>
      </c>
      <c r="B6" s="2">
        <v>3</v>
      </c>
      <c r="C6" s="9">
        <f>MemberOfAssemblyAssemblyDistrict28General[[#This Row],[Part of Queens County Vote Results]]</f>
        <v>3</v>
      </c>
      <c r="D6" s="11"/>
    </row>
    <row r="7" spans="1:4" ht="13.8" x14ac:dyDescent="0.3">
      <c r="A7" s="3" t="s">
        <v>6</v>
      </c>
      <c r="B7" s="2">
        <v>242</v>
      </c>
      <c r="C7" s="9">
        <f>MemberOfAssemblyAssemblyDistrict28General[[#This Row],[Part of Queens County Vote Results]]</f>
        <v>242</v>
      </c>
      <c r="D7" s="11"/>
    </row>
    <row r="8" spans="1:4" ht="13.8" x14ac:dyDescent="0.3">
      <c r="A8" s="13" t="s">
        <v>2</v>
      </c>
      <c r="B8" s="2">
        <f>SUM(MemberOfAssemblyAssemblyDistrict28General[Part of Queens County Vote Results])</f>
        <v>53392</v>
      </c>
      <c r="C8" s="9">
        <f>SUM(MemberOfAssemblyAssemblyDistrict28General[Total Votes by Party])</f>
        <v>53392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F058-F3FD-41E6-A95C-5351E1A86B0E}">
  <dimension ref="A1:D7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209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210</v>
      </c>
      <c r="B3" s="24">
        <v>45687</v>
      </c>
      <c r="C3" s="9">
        <f>MemberOfAssemblyAssemblyDistrict29General[[#This Row],[Part of Queens County Vote Results]]</f>
        <v>45687</v>
      </c>
      <c r="D3" s="10">
        <f>SUM(MemberOfAssemblyAssemblyDistrict29General[[#This Row],[Total Votes by Party]])</f>
        <v>45687</v>
      </c>
    </row>
    <row r="4" spans="1:4" ht="13.8" x14ac:dyDescent="0.3">
      <c r="A4" s="3" t="s">
        <v>0</v>
      </c>
      <c r="B4" s="2">
        <v>4586</v>
      </c>
      <c r="C4" s="9">
        <f>MemberOfAssemblyAssemblyDistrict29General[[#This Row],[Part of Queens County Vote Results]]</f>
        <v>4586</v>
      </c>
      <c r="D4" s="11"/>
    </row>
    <row r="5" spans="1:4" ht="13.8" x14ac:dyDescent="0.3">
      <c r="A5" s="3" t="s">
        <v>1</v>
      </c>
      <c r="B5" s="2">
        <v>4</v>
      </c>
      <c r="C5" s="9">
        <f>MemberOfAssemblyAssemblyDistrict29General[[#This Row],[Part of Queens County Vote Results]]</f>
        <v>4</v>
      </c>
      <c r="D5" s="11"/>
    </row>
    <row r="6" spans="1:4" ht="13.8" x14ac:dyDescent="0.3">
      <c r="A6" s="3" t="s">
        <v>6</v>
      </c>
      <c r="B6" s="2">
        <v>103</v>
      </c>
      <c r="C6" s="9">
        <f>MemberOfAssemblyAssemblyDistrict29General[[#This Row],[Part of Queens County Vote Results]]</f>
        <v>103</v>
      </c>
      <c r="D6" s="11"/>
    </row>
    <row r="7" spans="1:4" ht="13.8" x14ac:dyDescent="0.3">
      <c r="A7" s="13" t="s">
        <v>2</v>
      </c>
      <c r="B7" s="2">
        <f>SUM(MemberOfAssemblyAssemblyDistrict29General[Part of Queens County Vote Results])</f>
        <v>50380</v>
      </c>
      <c r="C7" s="9">
        <f>SUM(MemberOfAssemblyAssemblyDistrict29General[Total Votes by Party])</f>
        <v>50380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9E58-8EEA-4988-92B5-D5B6561FDBD7}">
  <dimension ref="A1:D11"/>
  <sheetViews>
    <sheetView workbookViewId="0">
      <selection activeCell="B3" sqref="B3: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72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73</v>
      </c>
      <c r="B3" s="21">
        <v>19220</v>
      </c>
      <c r="C3" s="9">
        <f>MemberOfAssemblyAssemblyDistrict3General[[#This Row],[Part of Suffolk County Vote Results]]</f>
        <v>19220</v>
      </c>
      <c r="D3" s="10">
        <f>MemberOfAssemblyAssemblyDistrict3General[[#This Row],[Total Votes by Party]]</f>
        <v>19220</v>
      </c>
    </row>
    <row r="4" spans="1:4" ht="13.8" x14ac:dyDescent="0.3">
      <c r="A4" s="1" t="s">
        <v>74</v>
      </c>
      <c r="B4" s="21">
        <v>24920</v>
      </c>
      <c r="C4" s="9">
        <f>MemberOfAssemblyAssemblyDistrict3General[[#This Row],[Part of Suffolk County Vote Results]]</f>
        <v>24920</v>
      </c>
      <c r="D4" s="10">
        <f>SUM(MemberOfAssemblyAssemblyDistrict3General[[#This Row],[Total Votes by Party]],C5,C7)</f>
        <v>28491</v>
      </c>
    </row>
    <row r="5" spans="1:4" ht="13.8" x14ac:dyDescent="0.3">
      <c r="A5" s="1" t="s">
        <v>75</v>
      </c>
      <c r="B5" s="21">
        <v>2983</v>
      </c>
      <c r="C5" s="9">
        <f>MemberOfAssemblyAssemblyDistrict3General[[#This Row],[Part of Suffolk County Vote Results]]</f>
        <v>2983</v>
      </c>
      <c r="D5" s="11"/>
    </row>
    <row r="6" spans="1:4" ht="13.8" x14ac:dyDescent="0.3">
      <c r="A6" s="1" t="s">
        <v>76</v>
      </c>
      <c r="B6" s="21">
        <v>373</v>
      </c>
      <c r="C6" s="9">
        <f>MemberOfAssemblyAssemblyDistrict3General[[#This Row],[Part of Suffolk County Vote Results]]</f>
        <v>373</v>
      </c>
      <c r="D6" s="10">
        <f>MemberOfAssemblyAssemblyDistrict3General[[#This Row],[Total Votes by Party]]</f>
        <v>373</v>
      </c>
    </row>
    <row r="7" spans="1:4" ht="13.8" x14ac:dyDescent="0.3">
      <c r="A7" s="1" t="s">
        <v>77</v>
      </c>
      <c r="B7" s="21">
        <v>588</v>
      </c>
      <c r="C7" s="9">
        <f>MemberOfAssemblyAssemblyDistrict3General[[#This Row],[Part of Suffolk County Vote Results]]</f>
        <v>588</v>
      </c>
      <c r="D7" s="11"/>
    </row>
    <row r="8" spans="1:4" ht="13.8" x14ac:dyDescent="0.3">
      <c r="A8" s="3" t="s">
        <v>0</v>
      </c>
      <c r="B8" s="21">
        <v>4563</v>
      </c>
      <c r="C8" s="9">
        <f>MemberOfAssemblyAssemblyDistrict3General[[#This Row],[Part of Suffolk County Vote Results]]</f>
        <v>4563</v>
      </c>
      <c r="D8" s="11"/>
    </row>
    <row r="9" spans="1:4" ht="13.8" x14ac:dyDescent="0.3">
      <c r="A9" s="3" t="s">
        <v>1</v>
      </c>
      <c r="B9" s="21">
        <v>15</v>
      </c>
      <c r="C9" s="9">
        <f>MemberOfAssemblyAssemblyDistrict3General[[#This Row],[Part of Suffolk County Vote Results]]</f>
        <v>15</v>
      </c>
      <c r="D9" s="11"/>
    </row>
    <row r="10" spans="1:4" ht="13.8" x14ac:dyDescent="0.3">
      <c r="A10" s="3" t="s">
        <v>6</v>
      </c>
      <c r="B10" s="21">
        <v>15</v>
      </c>
      <c r="C10" s="9">
        <f>MemberOfAssemblyAssemblyDistrict3General[[#This Row],[Part of Suffolk County Vote Results]]</f>
        <v>15</v>
      </c>
      <c r="D10" s="11"/>
    </row>
    <row r="11" spans="1:4" ht="13.8" x14ac:dyDescent="0.3">
      <c r="A11" s="13" t="s">
        <v>2</v>
      </c>
      <c r="B11" s="21">
        <f>SUM(MemberOfAssemblyAssemblyDistrict3General[Part of Suffolk County Vote Results])</f>
        <v>52677</v>
      </c>
      <c r="C11" s="9">
        <f>SUM(MemberOfAssemblyAssemblyDistrict3General[Total Votes by Party])</f>
        <v>52677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67E4-9FA3-4AD0-851E-1DDFCB05ED95}">
  <dimension ref="A1:D7"/>
  <sheetViews>
    <sheetView workbookViewId="0">
      <selection activeCell="B10" sqref="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211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212</v>
      </c>
      <c r="B3" s="24">
        <v>32866</v>
      </c>
      <c r="C3" s="9">
        <f>MemberOfAssemblyAssemblyDistrict30General[[#This Row],[Part of Queens County Vote Results]]</f>
        <v>32866</v>
      </c>
      <c r="D3" s="10">
        <f>SUM(MemberOfAssemblyAssemblyDistrict30General[[#This Row],[Total Votes by Party]])</f>
        <v>32866</v>
      </c>
    </row>
    <row r="4" spans="1:4" ht="13.8" x14ac:dyDescent="0.3">
      <c r="A4" s="3" t="s">
        <v>0</v>
      </c>
      <c r="B4" s="2">
        <v>12911</v>
      </c>
      <c r="C4" s="9">
        <f>MemberOfAssemblyAssemblyDistrict30General[[#This Row],[Part of Queens County Vote Results]]</f>
        <v>12911</v>
      </c>
      <c r="D4" s="11"/>
    </row>
    <row r="5" spans="1:4" ht="13.8" x14ac:dyDescent="0.3">
      <c r="A5" s="3" t="s">
        <v>1</v>
      </c>
      <c r="B5" s="2">
        <v>5</v>
      </c>
      <c r="C5" s="9">
        <f>MemberOfAssemblyAssemblyDistrict30General[[#This Row],[Part of Queens County Vote Results]]</f>
        <v>5</v>
      </c>
      <c r="D5" s="11"/>
    </row>
    <row r="6" spans="1:4" ht="13.8" x14ac:dyDescent="0.3">
      <c r="A6" s="3" t="s">
        <v>6</v>
      </c>
      <c r="B6" s="2">
        <v>333</v>
      </c>
      <c r="C6" s="9">
        <f>MemberOfAssemblyAssemblyDistrict30General[[#This Row],[Part of Queens County Vote Results]]</f>
        <v>333</v>
      </c>
      <c r="D6" s="11"/>
    </row>
    <row r="7" spans="1:4" ht="13.8" x14ac:dyDescent="0.3">
      <c r="A7" s="13" t="s">
        <v>2</v>
      </c>
      <c r="B7" s="2">
        <f>SUM(MemberOfAssemblyAssemblyDistrict30General[Part of Queens County Vote Results])</f>
        <v>46115</v>
      </c>
      <c r="C7" s="9">
        <f>SUM(MemberOfAssemblyAssemblyDistrict30General[Total Votes by Party])</f>
        <v>46115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984D-B7C5-47C1-8B87-A133ACFA42C3}">
  <dimension ref="A1:D9"/>
  <sheetViews>
    <sheetView workbookViewId="0">
      <selection activeCell="B12" sqref="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213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214</v>
      </c>
      <c r="B3" s="24">
        <v>32319</v>
      </c>
      <c r="C3" s="9">
        <f>MemberOfAssemblyAssemblyDistrict31General[[#This Row],[Part of Queens County Vote Results]]</f>
        <v>32319</v>
      </c>
      <c r="D3" s="10">
        <f>SUM(MemberOfAssemblyAssemblyDistrict31General[[#This Row],[Total Votes by Party]],C5)</f>
        <v>34014</v>
      </c>
    </row>
    <row r="4" spans="1:4" ht="13.8" x14ac:dyDescent="0.3">
      <c r="A4" s="1" t="s">
        <v>215</v>
      </c>
      <c r="B4" s="24">
        <v>4086</v>
      </c>
      <c r="C4" s="9">
        <f>MemberOfAssemblyAssemblyDistrict31General[[#This Row],[Part of Queens County Vote Results]]</f>
        <v>4086</v>
      </c>
      <c r="D4" s="10">
        <f>SUM(MemberOfAssemblyAssemblyDistrict31General[[#This Row],[Total Votes by Party]])</f>
        <v>4086</v>
      </c>
    </row>
    <row r="5" spans="1:4" ht="13.8" x14ac:dyDescent="0.3">
      <c r="A5" s="1" t="s">
        <v>216</v>
      </c>
      <c r="B5" s="24">
        <v>1695</v>
      </c>
      <c r="C5" s="9">
        <f>MemberOfAssemblyAssemblyDistrict31General[[#This Row],[Part of Queens County Vote Results]]</f>
        <v>1695</v>
      </c>
      <c r="D5" s="11"/>
    </row>
    <row r="6" spans="1:4" ht="13.8" x14ac:dyDescent="0.3">
      <c r="A6" s="3" t="s">
        <v>0</v>
      </c>
      <c r="B6" s="2">
        <v>2180</v>
      </c>
      <c r="C6" s="9">
        <f>MemberOfAssemblyAssemblyDistrict31General[[#This Row],[Part of Queens County Vote Results]]</f>
        <v>2180</v>
      </c>
      <c r="D6" s="11"/>
    </row>
    <row r="7" spans="1:4" ht="13.8" x14ac:dyDescent="0.3">
      <c r="A7" s="3" t="s">
        <v>1</v>
      </c>
      <c r="B7" s="2">
        <v>3</v>
      </c>
      <c r="C7" s="9">
        <f>MemberOfAssemblyAssemblyDistrict31General[[#This Row],[Part of Queens County Vote Results]]</f>
        <v>3</v>
      </c>
      <c r="D7" s="11"/>
    </row>
    <row r="8" spans="1:4" ht="13.8" x14ac:dyDescent="0.3">
      <c r="A8" s="3" t="s">
        <v>6</v>
      </c>
      <c r="B8" s="2">
        <v>33</v>
      </c>
      <c r="C8" s="9">
        <f>MemberOfAssemblyAssemblyDistrict31General[[#This Row],[Part of Queens County Vote Results]]</f>
        <v>33</v>
      </c>
      <c r="D8" s="11"/>
    </row>
    <row r="9" spans="1:4" ht="13.8" x14ac:dyDescent="0.3">
      <c r="A9" s="13" t="s">
        <v>2</v>
      </c>
      <c r="B9" s="2">
        <f>SUM(MemberOfAssemblyAssemblyDistrict31General[Part of Queens County Vote Results])</f>
        <v>40316</v>
      </c>
      <c r="C9" s="9">
        <f>SUM(MemberOfAssemblyAssemblyDistrict31General[Total Votes by Party])</f>
        <v>40316</v>
      </c>
      <c r="D9" s="11"/>
    </row>
  </sheetData>
  <pageMargins left="0.7" right="0.7" top="0.75" bottom="0.75" header="0.3" footer="0.3"/>
  <ignoredErrors>
    <ignoredError sqref="D3:D4" calculatedColumn="1"/>
  </ignoredErrors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3BFE-D1C9-412C-8C49-77298E4D961C}">
  <dimension ref="A1:D8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217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218</v>
      </c>
      <c r="B3" s="24">
        <v>42061</v>
      </c>
      <c r="C3" s="9">
        <f>MemberOfAssemblyAssemblyDistrict32General[[#This Row],[Part of Queens County Vote Results]]</f>
        <v>42061</v>
      </c>
      <c r="D3" s="10">
        <f>SUM(MemberOfAssemblyAssemblyDistrict32General[[#This Row],[Total Votes by Party]])</f>
        <v>42061</v>
      </c>
    </row>
    <row r="4" spans="1:4" ht="13.8" x14ac:dyDescent="0.3">
      <c r="A4" s="3" t="s">
        <v>0</v>
      </c>
      <c r="B4" s="2">
        <v>4449</v>
      </c>
      <c r="C4" s="9">
        <f>MemberOfAssemblyAssemblyDistrict32General[[#This Row],[Part of Queens County Vote Results]]</f>
        <v>4449</v>
      </c>
      <c r="D4" s="11"/>
    </row>
    <row r="5" spans="1:4" ht="13.8" x14ac:dyDescent="0.3">
      <c r="A5" s="3" t="s">
        <v>1</v>
      </c>
      <c r="B5" s="2">
        <v>8</v>
      </c>
      <c r="C5" s="9">
        <f>MemberOfAssemblyAssemblyDistrict32General[[#This Row],[Part of Queens County Vote Results]]</f>
        <v>8</v>
      </c>
      <c r="D5" s="11"/>
    </row>
    <row r="6" spans="1:4" ht="13.8" x14ac:dyDescent="0.3">
      <c r="A6" s="3" t="s">
        <v>6</v>
      </c>
      <c r="B6" s="2">
        <v>99</v>
      </c>
      <c r="C6" s="9">
        <f>MemberOfAssemblyAssemblyDistrict32General[[#This Row],[Part of Queens County Vote Results]]</f>
        <v>99</v>
      </c>
      <c r="D6" s="11"/>
    </row>
    <row r="7" spans="1:4" ht="13.8" x14ac:dyDescent="0.3">
      <c r="A7" s="13" t="s">
        <v>2</v>
      </c>
      <c r="B7" s="2">
        <f>SUM(MemberOfAssemblyAssemblyDistrict32General[Part of Queens County Vote Results])</f>
        <v>46617</v>
      </c>
      <c r="C7" s="9">
        <f>SUM(MemberOfAssemblyAssemblyDistrict32General[Total Votes by Party])</f>
        <v>46617</v>
      </c>
      <c r="D7" s="11"/>
    </row>
    <row r="8" spans="1:4" x14ac:dyDescent="0.25">
      <c r="B8" s="12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3FF8-79DC-4C9B-BAD7-F496B3D6C509}">
  <dimension ref="A1:D8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219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220</v>
      </c>
      <c r="B3" s="24">
        <v>47035</v>
      </c>
      <c r="C3" s="9">
        <f>MemberOfAssemblyAssemblyDistrict33General[[#This Row],[Part of Queens County Vote Results]]</f>
        <v>47035</v>
      </c>
      <c r="D3" s="10">
        <f>SUM(MemberOfAssemblyAssemblyDistrict33General[[#This Row],[Total Votes by Party]])</f>
        <v>47035</v>
      </c>
    </row>
    <row r="4" spans="1:4" ht="13.8" x14ac:dyDescent="0.3">
      <c r="A4" s="3" t="s">
        <v>0</v>
      </c>
      <c r="B4" s="2">
        <v>7335</v>
      </c>
      <c r="C4" s="9">
        <f>MemberOfAssemblyAssemblyDistrict33General[[#This Row],[Part of Queens County Vote Results]]</f>
        <v>7335</v>
      </c>
      <c r="D4" s="11"/>
    </row>
    <row r="5" spans="1:4" ht="13.8" x14ac:dyDescent="0.3">
      <c r="A5" s="3" t="s">
        <v>1</v>
      </c>
      <c r="B5" s="2">
        <v>6</v>
      </c>
      <c r="C5" s="9">
        <f>MemberOfAssemblyAssemblyDistrict33General[[#This Row],[Part of Queens County Vote Results]]</f>
        <v>6</v>
      </c>
      <c r="D5" s="11"/>
    </row>
    <row r="6" spans="1:4" ht="13.8" x14ac:dyDescent="0.3">
      <c r="A6" s="3" t="s">
        <v>6</v>
      </c>
      <c r="B6" s="2">
        <v>199</v>
      </c>
      <c r="C6" s="9">
        <f>MemberOfAssemblyAssemblyDistrict33General[[#This Row],[Part of Queens County Vote Results]]</f>
        <v>199</v>
      </c>
      <c r="D6" s="11"/>
    </row>
    <row r="7" spans="1:4" ht="13.8" x14ac:dyDescent="0.3">
      <c r="A7" s="13" t="s">
        <v>2</v>
      </c>
      <c r="B7" s="2">
        <f>SUM(MemberOfAssemblyAssemblyDistrict33General[Part of Queens County Vote Results])</f>
        <v>54575</v>
      </c>
      <c r="C7" s="9">
        <f>SUM(MemberOfAssemblyAssemblyDistrict33General[Total Votes by Party])</f>
        <v>54575</v>
      </c>
      <c r="D7" s="11"/>
    </row>
    <row r="8" spans="1:4" x14ac:dyDescent="0.25">
      <c r="B8" s="12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B7BA-D4CE-46BB-820D-8C04BCD8E619}">
  <dimension ref="A1:D11"/>
  <sheetViews>
    <sheetView workbookViewId="0">
      <selection activeCell="B14" sqref="B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221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222</v>
      </c>
      <c r="B3" s="24">
        <v>22631</v>
      </c>
      <c r="C3" s="9">
        <f>MemberOfAssemblyAssemblyDistrict34General[[#This Row],[Part of Queens County Vote Results]]</f>
        <v>22631</v>
      </c>
      <c r="D3" s="10">
        <f>SUM(MemberOfAssemblyAssemblyDistrict34General[[#This Row],[Total Votes by Party]],C6)</f>
        <v>26152</v>
      </c>
    </row>
    <row r="4" spans="1:4" ht="13.8" x14ac:dyDescent="0.3">
      <c r="A4" s="1" t="s">
        <v>223</v>
      </c>
      <c r="B4" s="24">
        <v>6661</v>
      </c>
      <c r="C4" s="9">
        <f>MemberOfAssemblyAssemblyDistrict34General[[#This Row],[Part of Queens County Vote Results]]</f>
        <v>6661</v>
      </c>
      <c r="D4" s="10">
        <f>SUM(MemberOfAssemblyAssemblyDistrict34General[[#This Row],[Total Votes by Party]],C5)</f>
        <v>7236</v>
      </c>
    </row>
    <row r="5" spans="1:4" ht="13.8" x14ac:dyDescent="0.3">
      <c r="A5" s="1" t="s">
        <v>224</v>
      </c>
      <c r="B5" s="23">
        <v>575</v>
      </c>
      <c r="C5" s="9">
        <f>MemberOfAssemblyAssemblyDistrict34General[[#This Row],[Part of Queens County Vote Results]]</f>
        <v>575</v>
      </c>
      <c r="D5" s="11"/>
    </row>
    <row r="6" spans="1:4" ht="13.8" x14ac:dyDescent="0.3">
      <c r="A6" s="1" t="s">
        <v>225</v>
      </c>
      <c r="B6" s="24">
        <v>3521</v>
      </c>
      <c r="C6" s="9">
        <f>MemberOfAssemblyAssemblyDistrict34General[[#This Row],[Part of Queens County Vote Results]]</f>
        <v>3521</v>
      </c>
      <c r="D6" s="11"/>
    </row>
    <row r="7" spans="1:4" ht="13.8" x14ac:dyDescent="0.3">
      <c r="A7" s="3" t="s">
        <v>0</v>
      </c>
      <c r="B7" s="2">
        <v>2589</v>
      </c>
      <c r="C7" s="9">
        <f>MemberOfAssemblyAssemblyDistrict34General[[#This Row],[Part of Queens County Vote Results]]</f>
        <v>2589</v>
      </c>
      <c r="D7" s="11"/>
    </row>
    <row r="8" spans="1:4" ht="13.8" x14ac:dyDescent="0.3">
      <c r="A8" s="3" t="s">
        <v>1</v>
      </c>
      <c r="B8" s="2">
        <v>3</v>
      </c>
      <c r="C8" s="9">
        <f>MemberOfAssemblyAssemblyDistrict34General[[#This Row],[Part of Queens County Vote Results]]</f>
        <v>3</v>
      </c>
      <c r="D8" s="11"/>
    </row>
    <row r="9" spans="1:4" ht="12" customHeight="1" x14ac:dyDescent="0.3">
      <c r="A9" s="3" t="s">
        <v>6</v>
      </c>
      <c r="B9" s="2">
        <v>44</v>
      </c>
      <c r="C9" s="9">
        <f>MemberOfAssemblyAssemblyDistrict34General[[#This Row],[Part of Queens County Vote Results]]</f>
        <v>44</v>
      </c>
      <c r="D9" s="11"/>
    </row>
    <row r="10" spans="1:4" ht="13.8" x14ac:dyDescent="0.3">
      <c r="A10" s="13" t="s">
        <v>2</v>
      </c>
      <c r="B10" s="2">
        <f>SUM(MemberOfAssemblyAssemblyDistrict34General[Part of Queens County Vote Results])</f>
        <v>36024</v>
      </c>
      <c r="C10" s="9">
        <f>SUM(MemberOfAssemblyAssemblyDistrict34General[Total Votes by Party])</f>
        <v>36024</v>
      </c>
      <c r="D10" s="11"/>
    </row>
    <row r="11" spans="1:4" x14ac:dyDescent="0.25">
      <c r="B11" s="12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D3E4-8ED0-4B94-96F7-5F561FDDF0A8}">
  <dimension ref="A1:D11"/>
  <sheetViews>
    <sheetView workbookViewId="0">
      <selection activeCell="B12" sqref="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226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5" t="s">
        <v>227</v>
      </c>
      <c r="B3" s="24">
        <v>22723</v>
      </c>
      <c r="C3" s="9">
        <f>MemberOfAssemblyAssemblyDistrict35General[[#This Row],[Part of Queens County Vote Results]]</f>
        <v>22723</v>
      </c>
      <c r="D3" s="10">
        <f>SUM(MemberOfAssemblyAssemblyDistrict35General[[#This Row],[Total Votes by Party]])</f>
        <v>22723</v>
      </c>
    </row>
    <row r="4" spans="1:4" ht="13.8" x14ac:dyDescent="0.3">
      <c r="A4" s="15" t="s">
        <v>228</v>
      </c>
      <c r="B4" s="24">
        <v>5589</v>
      </c>
      <c r="C4" s="9">
        <f>MemberOfAssemblyAssemblyDistrict35General[[#This Row],[Part of Queens County Vote Results]]</f>
        <v>5589</v>
      </c>
      <c r="D4" s="10">
        <f>SUM(MemberOfAssemblyAssemblyDistrict35General[[#This Row],[Total Votes by Party]],C5,C6)</f>
        <v>6412</v>
      </c>
    </row>
    <row r="5" spans="1:4" ht="13.8" x14ac:dyDescent="0.3">
      <c r="A5" s="15" t="s">
        <v>229</v>
      </c>
      <c r="B5" s="23">
        <v>457</v>
      </c>
      <c r="C5" s="9">
        <f>MemberOfAssemblyAssemblyDistrict35General[[#This Row],[Part of Queens County Vote Results]]</f>
        <v>457</v>
      </c>
      <c r="D5" s="16"/>
    </row>
    <row r="6" spans="1:4" ht="13.8" x14ac:dyDescent="0.3">
      <c r="A6" s="1" t="s">
        <v>230</v>
      </c>
      <c r="B6" s="23">
        <v>366</v>
      </c>
      <c r="C6" s="9">
        <f>MemberOfAssemblyAssemblyDistrict35General[[#This Row],[Part of Queens County Vote Results]]</f>
        <v>366</v>
      </c>
      <c r="D6" s="11"/>
    </row>
    <row r="7" spans="1:4" ht="13.8" x14ac:dyDescent="0.3">
      <c r="A7" s="3" t="s">
        <v>0</v>
      </c>
      <c r="B7" s="2">
        <v>2797</v>
      </c>
      <c r="C7" s="9">
        <f>MemberOfAssemblyAssemblyDistrict35General[[#This Row],[Part of Queens County Vote Results]]</f>
        <v>2797</v>
      </c>
      <c r="D7" s="11"/>
    </row>
    <row r="8" spans="1:4" ht="13.8" x14ac:dyDescent="0.3">
      <c r="A8" s="3" t="s">
        <v>1</v>
      </c>
      <c r="B8" s="2">
        <v>4</v>
      </c>
      <c r="C8" s="9">
        <f>MemberOfAssemblyAssemblyDistrict35General[[#This Row],[Part of Queens County Vote Results]]</f>
        <v>4</v>
      </c>
      <c r="D8" s="11"/>
    </row>
    <row r="9" spans="1:4" ht="13.8" x14ac:dyDescent="0.3">
      <c r="A9" s="3" t="s">
        <v>6</v>
      </c>
      <c r="B9" s="2">
        <v>33</v>
      </c>
      <c r="C9" s="9">
        <f>MemberOfAssemblyAssemblyDistrict35General[[#This Row],[Part of Queens County Vote Results]]</f>
        <v>33</v>
      </c>
      <c r="D9" s="11"/>
    </row>
    <row r="10" spans="1:4" ht="13.8" x14ac:dyDescent="0.3">
      <c r="A10" s="13" t="s">
        <v>2</v>
      </c>
      <c r="B10" s="2">
        <f>SUM(MemberOfAssemblyAssemblyDistrict35General[Part of Queens County Vote Results])</f>
        <v>31969</v>
      </c>
      <c r="C10" s="9">
        <f>SUM(MemberOfAssemblyAssemblyDistrict35General[Total Votes by Party])</f>
        <v>31969</v>
      </c>
      <c r="D10" s="11"/>
    </row>
    <row r="11" spans="1:4" x14ac:dyDescent="0.25">
      <c r="B11" s="12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8341-08A7-48A7-9510-46815823B965}">
  <dimension ref="A1:D7"/>
  <sheetViews>
    <sheetView workbookViewId="0">
      <selection activeCell="B9" sqref="B9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231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232</v>
      </c>
      <c r="B3" s="24">
        <v>38221</v>
      </c>
      <c r="C3" s="9">
        <f>MemberOfAssemblyAssemblyDistrict36General[[#This Row],[Part of Queens County Vote Results]]</f>
        <v>38221</v>
      </c>
      <c r="D3" s="10">
        <f>SUM(MemberOfAssemblyAssemblyDistrict36General[[#This Row],[Total Votes by Party]])</f>
        <v>38221</v>
      </c>
    </row>
    <row r="4" spans="1:4" ht="13.8" x14ac:dyDescent="0.3">
      <c r="A4" s="3" t="s">
        <v>0</v>
      </c>
      <c r="B4" s="2">
        <v>11956</v>
      </c>
      <c r="C4" s="9">
        <f>MemberOfAssemblyAssemblyDistrict36General[[#This Row],[Part of Queens County Vote Results]]</f>
        <v>11956</v>
      </c>
      <c r="D4" s="11"/>
    </row>
    <row r="5" spans="1:4" ht="13.8" x14ac:dyDescent="0.3">
      <c r="A5" s="3" t="s">
        <v>1</v>
      </c>
      <c r="B5" s="2">
        <v>1</v>
      </c>
      <c r="C5" s="9">
        <f>MemberOfAssemblyAssemblyDistrict36General[[#This Row],[Part of Queens County Vote Results]]</f>
        <v>1</v>
      </c>
      <c r="D5" s="11"/>
    </row>
    <row r="6" spans="1:4" ht="13.8" x14ac:dyDescent="0.3">
      <c r="A6" s="3" t="s">
        <v>6</v>
      </c>
      <c r="B6" s="2">
        <v>596</v>
      </c>
      <c r="C6" s="9">
        <f>MemberOfAssemblyAssemblyDistrict36General[[#This Row],[Part of Queens County Vote Results]]</f>
        <v>596</v>
      </c>
      <c r="D6" s="11"/>
    </row>
    <row r="7" spans="1:4" ht="13.8" x14ac:dyDescent="0.3">
      <c r="A7" s="13" t="s">
        <v>2</v>
      </c>
      <c r="B7" s="2">
        <f>SUM(MemberOfAssemblyAssemblyDistrict36General[Part of Queens County Vote Results])</f>
        <v>50774</v>
      </c>
      <c r="C7" s="9">
        <f>SUM(MemberOfAssemblyAssemblyDistrict36General[Total Votes by Party])</f>
        <v>50774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D165-AA2B-4BDA-A40C-E2A4542D0EBF}">
  <dimension ref="A1:D7"/>
  <sheetViews>
    <sheetView workbookViewId="0">
      <selection activeCell="E13" sqref="E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233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234</v>
      </c>
      <c r="B3" s="24">
        <v>40614</v>
      </c>
      <c r="C3" s="9">
        <f>MemberOfAssemblyAssemblyDistrict37General[[#This Row],[Part of Queens County Vote Results]]</f>
        <v>40614</v>
      </c>
      <c r="D3" s="10">
        <f>SUM(MemberOfAssemblyAssemblyDistrict37General[[#This Row],[Total Votes by Party]])</f>
        <v>40614</v>
      </c>
    </row>
    <row r="4" spans="1:4" ht="13.8" x14ac:dyDescent="0.3">
      <c r="A4" s="3" t="s">
        <v>0</v>
      </c>
      <c r="B4" s="2">
        <v>9266</v>
      </c>
      <c r="C4" s="9">
        <f>MemberOfAssemblyAssemblyDistrict37General[[#This Row],[Part of Queens County Vote Results]]</f>
        <v>9266</v>
      </c>
      <c r="D4" s="11"/>
    </row>
    <row r="5" spans="1:4" ht="13.8" x14ac:dyDescent="0.3">
      <c r="A5" s="3" t="s">
        <v>1</v>
      </c>
      <c r="B5" s="2">
        <v>5</v>
      </c>
      <c r="C5" s="9">
        <f>MemberOfAssemblyAssemblyDistrict37General[[#This Row],[Part of Queens County Vote Results]]</f>
        <v>5</v>
      </c>
      <c r="D5" s="11"/>
    </row>
    <row r="6" spans="1:4" ht="13.8" x14ac:dyDescent="0.3">
      <c r="A6" s="3" t="s">
        <v>6</v>
      </c>
      <c r="B6" s="2">
        <v>443</v>
      </c>
      <c r="C6" s="9">
        <f>MemberOfAssemblyAssemblyDistrict37General[[#This Row],[Part of Queens County Vote Results]]</f>
        <v>443</v>
      </c>
      <c r="D6" s="11"/>
    </row>
    <row r="7" spans="1:4" ht="13.8" x14ac:dyDescent="0.3">
      <c r="A7" s="13" t="s">
        <v>2</v>
      </c>
      <c r="B7" s="2">
        <f>SUM(MemberOfAssemblyAssemblyDistrict37General[Part of Queens County Vote Results])</f>
        <v>50328</v>
      </c>
      <c r="C7" s="9">
        <f>SUM(MemberOfAssemblyAssemblyDistrict37General[Total Votes by Party])</f>
        <v>50328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9805-C4EC-48AE-843D-F5386A3FD07A}">
  <dimension ref="A1:D10"/>
  <sheetViews>
    <sheetView workbookViewId="0">
      <selection activeCell="B17" sqref="B17"/>
    </sheetView>
  </sheetViews>
  <sheetFormatPr defaultRowHeight="13.2" x14ac:dyDescent="0.25"/>
  <cols>
    <col min="1" max="1" width="27.6640625" customWidth="1"/>
    <col min="2" max="4" width="20.5546875" customWidth="1"/>
    <col min="5" max="6" width="23.5546875" customWidth="1"/>
  </cols>
  <sheetData>
    <row r="1" spans="1:4" ht="18" x14ac:dyDescent="0.25">
      <c r="A1" s="30" t="s">
        <v>235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236</v>
      </c>
      <c r="B3" s="24">
        <v>25232</v>
      </c>
      <c r="C3" s="9">
        <f>MemberOfAssemblyAssemblyDistrict38General[[#This Row],[Part of Queens County Vote Results]]</f>
        <v>25232</v>
      </c>
      <c r="D3" s="10">
        <f>SUM(MemberOfAssemblyAssemblyDistrict38General[[#This Row],[Total Votes by Party]])</f>
        <v>25232</v>
      </c>
    </row>
    <row r="4" spans="1:4" ht="13.8" x14ac:dyDescent="0.3">
      <c r="A4" s="1" t="s">
        <v>237</v>
      </c>
      <c r="B4" s="24">
        <v>8172</v>
      </c>
      <c r="C4" s="9">
        <f>MemberOfAssemblyAssemblyDistrict38General[[#This Row],[Part of Queens County Vote Results]]</f>
        <v>8172</v>
      </c>
      <c r="D4" s="10">
        <f>SUM(MemberOfAssemblyAssemblyDistrict38General[[#This Row],[Total Votes by Party]],C5,C6)</f>
        <v>9443</v>
      </c>
    </row>
    <row r="5" spans="1:4" ht="13.8" x14ac:dyDescent="0.3">
      <c r="A5" s="1" t="s">
        <v>238</v>
      </c>
      <c r="B5" s="23">
        <v>832</v>
      </c>
      <c r="C5" s="9">
        <f>MemberOfAssemblyAssemblyDistrict38General[[#This Row],[Part of Queens County Vote Results]]</f>
        <v>832</v>
      </c>
      <c r="D5" s="11"/>
    </row>
    <row r="6" spans="1:4" ht="13.8" x14ac:dyDescent="0.3">
      <c r="A6" s="1" t="s">
        <v>239</v>
      </c>
      <c r="B6" s="23">
        <v>439</v>
      </c>
      <c r="C6" s="9">
        <f>MemberOfAssemblyAssemblyDistrict38General[[#This Row],[Part of Queens County Vote Results]]</f>
        <v>439</v>
      </c>
      <c r="D6" s="11"/>
    </row>
    <row r="7" spans="1:4" ht="13.8" x14ac:dyDescent="0.3">
      <c r="A7" s="3" t="s">
        <v>0</v>
      </c>
      <c r="B7" s="2">
        <v>2399</v>
      </c>
      <c r="C7" s="9">
        <f>MemberOfAssemblyAssemblyDistrict38General[[#This Row],[Part of Queens County Vote Results]]</f>
        <v>2399</v>
      </c>
      <c r="D7" s="11"/>
    </row>
    <row r="8" spans="1:4" ht="13.8" x14ac:dyDescent="0.3">
      <c r="A8" s="3" t="s">
        <v>1</v>
      </c>
      <c r="B8" s="2">
        <v>11</v>
      </c>
      <c r="C8" s="9">
        <f>MemberOfAssemblyAssemblyDistrict38General[[#This Row],[Part of Queens County Vote Results]]</f>
        <v>11</v>
      </c>
      <c r="D8" s="11"/>
    </row>
    <row r="9" spans="1:4" ht="13.8" x14ac:dyDescent="0.3">
      <c r="A9" s="3" t="s">
        <v>6</v>
      </c>
      <c r="B9" s="2">
        <v>66</v>
      </c>
      <c r="C9" s="9">
        <f>MemberOfAssemblyAssemblyDistrict38General[[#This Row],[Part of Queens County Vote Results]]</f>
        <v>66</v>
      </c>
      <c r="D9" s="11"/>
    </row>
    <row r="10" spans="1:4" ht="13.8" x14ac:dyDescent="0.3">
      <c r="A10" s="13" t="s">
        <v>2</v>
      </c>
      <c r="B10" s="2">
        <f>SUM(MemberOfAssemblyAssemblyDistrict38General[Part of Queens County Vote Results])</f>
        <v>37151</v>
      </c>
      <c r="C10" s="9">
        <f>SUM(MemberOfAssemblyAssemblyDistrict38General[Total Votes by Party])</f>
        <v>37151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C6D6-B4EA-46C2-96AF-D4D311911F36}">
  <dimension ref="A1:D7"/>
  <sheetViews>
    <sheetView workbookViewId="0">
      <selection activeCell="F11" sqref="F11:F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240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241</v>
      </c>
      <c r="B3" s="24">
        <v>21765</v>
      </c>
      <c r="C3" s="9">
        <f>MemberOfAssemblyAssemblyDistrict39General[[#This Row],[Part of Queens County Vote Results]]</f>
        <v>21765</v>
      </c>
      <c r="D3" s="10">
        <f>SUM(MemberOfAssemblyAssemblyDistrict39General[[#This Row],[Total Votes by Party]])</f>
        <v>21765</v>
      </c>
    </row>
    <row r="4" spans="1:4" ht="13.8" x14ac:dyDescent="0.3">
      <c r="A4" s="3" t="s">
        <v>0</v>
      </c>
      <c r="B4" s="2">
        <v>6514</v>
      </c>
      <c r="C4" s="9">
        <f>MemberOfAssemblyAssemblyDistrict39General[[#This Row],[Part of Queens County Vote Results]]</f>
        <v>6514</v>
      </c>
      <c r="D4" s="11"/>
    </row>
    <row r="5" spans="1:4" ht="13.8" x14ac:dyDescent="0.3">
      <c r="A5" s="3" t="s">
        <v>1</v>
      </c>
      <c r="B5" s="2">
        <v>6</v>
      </c>
      <c r="C5" s="9">
        <f>MemberOfAssemblyAssemblyDistrict39General[[#This Row],[Part of Queens County Vote Results]]</f>
        <v>6</v>
      </c>
      <c r="D5" s="11"/>
    </row>
    <row r="6" spans="1:4" ht="13.8" x14ac:dyDescent="0.3">
      <c r="A6" s="3" t="s">
        <v>6</v>
      </c>
      <c r="B6" s="2">
        <v>165</v>
      </c>
      <c r="C6" s="9">
        <f>MemberOfAssemblyAssemblyDistrict39General[[#This Row],[Part of Queens County Vote Results]]</f>
        <v>165</v>
      </c>
      <c r="D6" s="11"/>
    </row>
    <row r="7" spans="1:4" ht="13.8" x14ac:dyDescent="0.3">
      <c r="A7" s="13" t="s">
        <v>2</v>
      </c>
      <c r="B7" s="2">
        <f>SUM(MemberOfAssemblyAssemblyDistrict39General[Part of Queens County Vote Results])</f>
        <v>28450</v>
      </c>
      <c r="C7" s="9">
        <f>SUM(MemberOfAssemblyAssemblyDistrict39General[Total Votes by Party])</f>
        <v>28450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BE7-870E-4D2B-AD7C-2A94D9A5BD59}">
  <dimension ref="A1:D12"/>
  <sheetViews>
    <sheetView workbookViewId="0">
      <selection activeCell="B3" sqref="B3: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78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79</v>
      </c>
      <c r="B3" s="21">
        <v>30990</v>
      </c>
      <c r="C3" s="9">
        <f>MemberOfAssemblyAssemblyDistrict4General[[#This Row],[Part of Suffolk County Vote Results]]</f>
        <v>30990</v>
      </c>
      <c r="D3" s="10">
        <f>SUM(MemberOfAssemblyAssemblyDistrict4General[[#This Row],[Total Votes by Party]],C6,C8)</f>
        <v>33610</v>
      </c>
    </row>
    <row r="4" spans="1:4" ht="13.8" x14ac:dyDescent="0.3">
      <c r="A4" s="1" t="s">
        <v>80</v>
      </c>
      <c r="B4" s="21">
        <v>24027</v>
      </c>
      <c r="C4" s="9">
        <f>MemberOfAssemblyAssemblyDistrict4General[[#This Row],[Part of Suffolk County Vote Results]]</f>
        <v>24027</v>
      </c>
      <c r="D4" s="10">
        <f>SUM(MemberOfAssemblyAssemblyDistrict4General[[#This Row],[Total Votes by Party]],C5)</f>
        <v>26913</v>
      </c>
    </row>
    <row r="5" spans="1:4" ht="13.8" x14ac:dyDescent="0.3">
      <c r="A5" s="1" t="s">
        <v>81</v>
      </c>
      <c r="B5" s="21">
        <v>2886</v>
      </c>
      <c r="C5" s="9">
        <f>MemberOfAssemblyAssemblyDistrict4General[[#This Row],[Part of Suffolk County Vote Results]]</f>
        <v>2886</v>
      </c>
      <c r="D5" s="11"/>
    </row>
    <row r="6" spans="1:4" ht="13.8" x14ac:dyDescent="0.3">
      <c r="A6" s="1" t="s">
        <v>82</v>
      </c>
      <c r="B6" s="21">
        <v>1833</v>
      </c>
      <c r="C6" s="9">
        <f>MemberOfAssemblyAssemblyDistrict4General[[#This Row],[Part of Suffolk County Vote Results]]</f>
        <v>1833</v>
      </c>
      <c r="D6" s="11"/>
    </row>
    <row r="7" spans="1:4" ht="13.8" x14ac:dyDescent="0.3">
      <c r="A7" s="1" t="s">
        <v>83</v>
      </c>
      <c r="B7" s="21">
        <v>438</v>
      </c>
      <c r="C7" s="9">
        <f>MemberOfAssemblyAssemblyDistrict4General[[#This Row],[Part of Suffolk County Vote Results]]</f>
        <v>438</v>
      </c>
      <c r="D7" s="10">
        <f>SUM(MemberOfAssemblyAssemblyDistrict4General[[#This Row],[Total Votes by Party]])</f>
        <v>438</v>
      </c>
    </row>
    <row r="8" spans="1:4" ht="13.8" x14ac:dyDescent="0.3">
      <c r="A8" s="1" t="s">
        <v>84</v>
      </c>
      <c r="B8" s="21">
        <v>787</v>
      </c>
      <c r="C8" s="9">
        <f>MemberOfAssemblyAssemblyDistrict4General[[#This Row],[Part of Suffolk County Vote Results]]</f>
        <v>787</v>
      </c>
      <c r="D8" s="11"/>
    </row>
    <row r="9" spans="1:4" ht="13.8" x14ac:dyDescent="0.3">
      <c r="A9" s="3" t="s">
        <v>0</v>
      </c>
      <c r="B9" s="21">
        <v>4943</v>
      </c>
      <c r="C9" s="9">
        <f>MemberOfAssemblyAssemblyDistrict4General[[#This Row],[Part of Suffolk County Vote Results]]</f>
        <v>4943</v>
      </c>
      <c r="D9" s="11"/>
    </row>
    <row r="10" spans="1:4" ht="13.8" x14ac:dyDescent="0.3">
      <c r="A10" s="3" t="s">
        <v>1</v>
      </c>
      <c r="B10" s="21">
        <v>42</v>
      </c>
      <c r="C10" s="9">
        <f>MemberOfAssemblyAssemblyDistrict4General[[#This Row],[Part of Suffolk County Vote Results]]</f>
        <v>42</v>
      </c>
      <c r="D10" s="11"/>
    </row>
    <row r="11" spans="1:4" ht="13.8" x14ac:dyDescent="0.3">
      <c r="A11" s="3" t="s">
        <v>6</v>
      </c>
      <c r="B11" s="21">
        <v>7</v>
      </c>
      <c r="C11" s="9">
        <f>MemberOfAssemblyAssemblyDistrict4General[[#This Row],[Part of Suffolk County Vote Results]]</f>
        <v>7</v>
      </c>
      <c r="D11" s="11"/>
    </row>
    <row r="12" spans="1:4" ht="13.8" x14ac:dyDescent="0.3">
      <c r="A12" s="13" t="s">
        <v>2</v>
      </c>
      <c r="B12" s="21">
        <f>SUM(MemberOfAssemblyAssemblyDistrict4General[Part of Suffolk County Vote Results])</f>
        <v>65953</v>
      </c>
      <c r="C12" s="9">
        <f>SUM(MemberOfAssemblyAssemblyDistrict4General[Total Votes by Party])</f>
        <v>65953</v>
      </c>
      <c r="D12" s="11"/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A4D4-45C8-463F-83CE-2E39F527AB31}">
  <dimension ref="A1:D8"/>
  <sheetViews>
    <sheetView workbookViewId="0">
      <selection activeCell="B12" sqref="B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242</v>
      </c>
    </row>
    <row r="2" spans="1:4" ht="27.6" x14ac:dyDescent="0.25">
      <c r="A2" s="5" t="s">
        <v>5</v>
      </c>
      <c r="B2" s="6" t="s">
        <v>23</v>
      </c>
      <c r="C2" s="7" t="s">
        <v>3</v>
      </c>
      <c r="D2" s="8" t="s">
        <v>4</v>
      </c>
    </row>
    <row r="3" spans="1:4" ht="13.8" x14ac:dyDescent="0.3">
      <c r="A3" s="1" t="s">
        <v>243</v>
      </c>
      <c r="B3" s="24">
        <v>18214</v>
      </c>
      <c r="C3" s="9">
        <f>MemberOfAssemblyAssemblyDistrict40General[[#This Row],[Part of Queens County Vote Results]]</f>
        <v>18214</v>
      </c>
      <c r="D3" s="10">
        <f>SUM(MemberOfAssemblyAssemblyDistrict40General[[#This Row],[Total Votes by Party]])</f>
        <v>18214</v>
      </c>
    </row>
    <row r="4" spans="1:4" ht="13.8" x14ac:dyDescent="0.3">
      <c r="A4" s="1" t="s">
        <v>244</v>
      </c>
      <c r="B4" s="24">
        <v>3566</v>
      </c>
      <c r="C4" s="9">
        <f>MemberOfAssemblyAssemblyDistrict40General[[#This Row],[Part of Queens County Vote Results]]</f>
        <v>3566</v>
      </c>
      <c r="D4" s="10">
        <f>SUM(MemberOfAssemblyAssemblyDistrict40General[[#This Row],[Total Votes by Party]])</f>
        <v>3566</v>
      </c>
    </row>
    <row r="5" spans="1:4" ht="13.8" x14ac:dyDescent="0.3">
      <c r="A5" s="3" t="s">
        <v>0</v>
      </c>
      <c r="B5" s="2">
        <v>7742</v>
      </c>
      <c r="C5" s="9">
        <f>MemberOfAssemblyAssemblyDistrict40General[[#This Row],[Part of Queens County Vote Results]]</f>
        <v>7742</v>
      </c>
      <c r="D5" s="11"/>
    </row>
    <row r="6" spans="1:4" ht="13.8" x14ac:dyDescent="0.3">
      <c r="A6" s="3" t="s">
        <v>1</v>
      </c>
      <c r="B6" s="2">
        <v>3</v>
      </c>
      <c r="C6" s="9">
        <f>MemberOfAssemblyAssemblyDistrict40General[[#This Row],[Part of Queens County Vote Results]]</f>
        <v>3</v>
      </c>
      <c r="D6" s="11"/>
    </row>
    <row r="7" spans="1:4" ht="13.8" x14ac:dyDescent="0.3">
      <c r="A7" s="3" t="s">
        <v>6</v>
      </c>
      <c r="B7" s="2">
        <v>134</v>
      </c>
      <c r="C7" s="9">
        <f>MemberOfAssemblyAssemblyDistrict40General[[#This Row],[Part of Queens County Vote Results]]</f>
        <v>134</v>
      </c>
      <c r="D7" s="11"/>
    </row>
    <row r="8" spans="1:4" ht="13.8" x14ac:dyDescent="0.3">
      <c r="A8" s="13" t="s">
        <v>2</v>
      </c>
      <c r="B8" s="2">
        <f>SUM(MemberOfAssemblyAssemblyDistrict40General[Part of Queens County Vote Results])</f>
        <v>29659</v>
      </c>
      <c r="C8" s="9">
        <f>SUM(MemberOfAssemblyAssemblyDistrict40General[Total Votes by Party])</f>
        <v>29659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AC2A-D11C-4709-B9BC-AD456AC2CE3F}">
  <dimension ref="A1:D10"/>
  <sheetViews>
    <sheetView workbookViewId="0">
      <selection activeCell="C14" sqref="C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245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246</v>
      </c>
      <c r="B3" s="24">
        <v>25679</v>
      </c>
      <c r="C3" s="9">
        <f>MemberOfAssemblyAssemblyDistrict41General[[#This Row],[Part of Kings County Vote Results]]</f>
        <v>25679</v>
      </c>
      <c r="D3" s="10">
        <f>SUM(MemberOfAssemblyAssemblyDistrict41General[[#This Row],[Total Votes by Party]],C6)</f>
        <v>27979</v>
      </c>
    </row>
    <row r="4" spans="1:4" ht="13.8" x14ac:dyDescent="0.3">
      <c r="A4" s="1" t="s">
        <v>247</v>
      </c>
      <c r="B4" s="24">
        <v>14270</v>
      </c>
      <c r="C4" s="9">
        <f>MemberOfAssemblyAssemblyDistrict41General[[#This Row],[Part of Kings County Vote Results]]</f>
        <v>14270</v>
      </c>
      <c r="D4" s="10">
        <f>SUM(MemberOfAssemblyAssemblyDistrict41General[[#This Row],[Total Votes by Party]],C5)</f>
        <v>15263</v>
      </c>
    </row>
    <row r="5" spans="1:4" ht="13.8" x14ac:dyDescent="0.3">
      <c r="A5" s="1" t="s">
        <v>248</v>
      </c>
      <c r="B5" s="23">
        <v>993</v>
      </c>
      <c r="C5" s="9">
        <f>MemberOfAssemblyAssemblyDistrict41General[[#This Row],[Part of Kings County Vote Results]]</f>
        <v>993</v>
      </c>
      <c r="D5" s="11"/>
    </row>
    <row r="6" spans="1:4" ht="13.8" x14ac:dyDescent="0.3">
      <c r="A6" s="1" t="s">
        <v>249</v>
      </c>
      <c r="B6" s="24">
        <v>2300</v>
      </c>
      <c r="C6" s="9">
        <f>MemberOfAssemblyAssemblyDistrict41General[[#This Row],[Part of Kings County Vote Results]]</f>
        <v>2300</v>
      </c>
      <c r="D6" s="11"/>
    </row>
    <row r="7" spans="1:4" ht="13.8" x14ac:dyDescent="0.3">
      <c r="A7" s="3" t="s">
        <v>0</v>
      </c>
      <c r="B7" s="23">
        <v>2326</v>
      </c>
      <c r="C7" s="9">
        <f>MemberOfAssemblyAssemblyDistrict41General[[#This Row],[Part of Kings County Vote Results]]</f>
        <v>2326</v>
      </c>
      <c r="D7" s="11"/>
    </row>
    <row r="8" spans="1:4" ht="13.8" x14ac:dyDescent="0.3">
      <c r="A8" s="3" t="s">
        <v>1</v>
      </c>
      <c r="B8" s="23">
        <v>0</v>
      </c>
      <c r="C8" s="9">
        <f>MemberOfAssemblyAssemblyDistrict41General[[#This Row],[Part of Kings County Vote Results]]</f>
        <v>0</v>
      </c>
      <c r="D8" s="11"/>
    </row>
    <row r="9" spans="1:4" ht="13.8" x14ac:dyDescent="0.3">
      <c r="A9" s="3" t="s">
        <v>6</v>
      </c>
      <c r="B9" s="23">
        <v>63</v>
      </c>
      <c r="C9" s="9">
        <f>MemberOfAssemblyAssemblyDistrict41General[[#This Row],[Part of Kings County Vote Results]]</f>
        <v>63</v>
      </c>
      <c r="D9" s="11"/>
    </row>
    <row r="10" spans="1:4" ht="13.8" x14ac:dyDescent="0.3">
      <c r="A10" s="13" t="s">
        <v>2</v>
      </c>
      <c r="B10" s="2">
        <f>SUM(MemberOfAssemblyAssemblyDistrict41General[Part of Kings County Vote Results])</f>
        <v>45631</v>
      </c>
      <c r="C10" s="9">
        <f>SUM(MemberOfAssemblyAssemblyDistrict41General[Total Votes by Party])</f>
        <v>45631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8743-D9EF-4F4D-8D0E-9B4779550395}">
  <dimension ref="A1:D7"/>
  <sheetViews>
    <sheetView workbookViewId="0">
      <selection activeCell="C12" sqref="C12: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250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251</v>
      </c>
      <c r="B3" s="24">
        <v>39649</v>
      </c>
      <c r="C3" s="9">
        <f>MemberOfAssemblyAssemblyDistrict42General[[#This Row],[Part of Kings County Vote Results]]</f>
        <v>39649</v>
      </c>
      <c r="D3" s="10">
        <f>SUM(MemberOfAssemblyAssemblyDistrict42General[[#This Row],[Total Votes by Party]])</f>
        <v>39649</v>
      </c>
    </row>
    <row r="4" spans="1:4" ht="13.8" x14ac:dyDescent="0.3">
      <c r="A4" s="3" t="s">
        <v>0</v>
      </c>
      <c r="B4" s="23">
        <v>6566</v>
      </c>
      <c r="C4" s="9">
        <f>MemberOfAssemblyAssemblyDistrict42General[[#This Row],[Part of Kings County Vote Results]]</f>
        <v>6566</v>
      </c>
      <c r="D4" s="11"/>
    </row>
    <row r="5" spans="1:4" ht="13.8" x14ac:dyDescent="0.3">
      <c r="A5" s="3" t="s">
        <v>1</v>
      </c>
      <c r="B5" s="23">
        <v>0</v>
      </c>
      <c r="C5" s="9">
        <f>MemberOfAssemblyAssemblyDistrict42General[[#This Row],[Part of Kings County Vote Results]]</f>
        <v>0</v>
      </c>
      <c r="D5" s="11"/>
    </row>
    <row r="6" spans="1:4" ht="13.8" x14ac:dyDescent="0.3">
      <c r="A6" s="3" t="s">
        <v>6</v>
      </c>
      <c r="B6" s="23">
        <v>235</v>
      </c>
      <c r="C6" s="9">
        <f>MemberOfAssemblyAssemblyDistrict42General[[#This Row],[Part of Kings County Vote Results]]</f>
        <v>235</v>
      </c>
      <c r="D6" s="11"/>
    </row>
    <row r="7" spans="1:4" ht="13.8" x14ac:dyDescent="0.3">
      <c r="A7" s="13" t="s">
        <v>2</v>
      </c>
      <c r="B7" s="2">
        <f>SUM(MemberOfAssemblyAssemblyDistrict42General[Part of Kings County Vote Results])</f>
        <v>46450</v>
      </c>
      <c r="C7" s="9">
        <f>SUM(MemberOfAssemblyAssemblyDistrict42General[Total Votes by Party])</f>
        <v>46450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1B6D-19AB-47B6-B5E0-E549738574E4}">
  <dimension ref="A1:D8"/>
  <sheetViews>
    <sheetView workbookViewId="0">
      <selection activeCell="C14" sqref="C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252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253</v>
      </c>
      <c r="B3" s="24">
        <v>43629</v>
      </c>
      <c r="C3" s="9">
        <f>MemberOfAssemblyAssemblyDistrict43General[[#This Row],[Part of Kings County Vote Results]]</f>
        <v>43629</v>
      </c>
      <c r="D3" s="10">
        <f>SUM(MemberOfAssemblyAssemblyDistrict43General[[#This Row],[Total Votes by Party]])</f>
        <v>43629</v>
      </c>
    </row>
    <row r="4" spans="1:4" ht="13.8" x14ac:dyDescent="0.3">
      <c r="A4" s="1" t="s">
        <v>254</v>
      </c>
      <c r="B4" s="24">
        <v>5277</v>
      </c>
      <c r="C4" s="9">
        <f>MemberOfAssemblyAssemblyDistrict43General[[#This Row],[Part of Kings County Vote Results]]</f>
        <v>5277</v>
      </c>
      <c r="D4" s="10">
        <f>SUM(MemberOfAssemblyAssemblyDistrict43General[[#This Row],[Total Votes by Party]])</f>
        <v>5277</v>
      </c>
    </row>
    <row r="5" spans="1:4" ht="13.8" x14ac:dyDescent="0.3">
      <c r="A5" s="3" t="s">
        <v>0</v>
      </c>
      <c r="B5" s="23">
        <v>2005</v>
      </c>
      <c r="C5" s="9">
        <f>MemberOfAssemblyAssemblyDistrict43General[[#This Row],[Part of Kings County Vote Results]]</f>
        <v>2005</v>
      </c>
      <c r="D5" s="11"/>
    </row>
    <row r="6" spans="1:4" ht="13.8" x14ac:dyDescent="0.3">
      <c r="A6" s="3" t="s">
        <v>1</v>
      </c>
      <c r="B6" s="23">
        <v>2</v>
      </c>
      <c r="C6" s="9">
        <f>MemberOfAssemblyAssemblyDistrict43General[[#This Row],[Part of Kings County Vote Results]]</f>
        <v>2</v>
      </c>
      <c r="D6" s="11"/>
    </row>
    <row r="7" spans="1:4" ht="13.8" x14ac:dyDescent="0.3">
      <c r="A7" s="3" t="s">
        <v>6</v>
      </c>
      <c r="B7" s="23">
        <v>52</v>
      </c>
      <c r="C7" s="9">
        <f>MemberOfAssemblyAssemblyDistrict43General[[#This Row],[Part of Kings County Vote Results]]</f>
        <v>52</v>
      </c>
      <c r="D7" s="11"/>
    </row>
    <row r="8" spans="1:4" ht="13.8" x14ac:dyDescent="0.3">
      <c r="A8" s="13" t="s">
        <v>2</v>
      </c>
      <c r="B8" s="2">
        <f>SUM(MemberOfAssemblyAssemblyDistrict43General[Part of Kings County Vote Results])</f>
        <v>50965</v>
      </c>
      <c r="C8" s="9">
        <f>SUM(MemberOfAssemblyAssemblyDistrict43General[Total Votes by Party])</f>
        <v>50965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CB36-BC31-4516-A700-44C57F3B400D}">
  <dimension ref="A1:D10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255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256</v>
      </c>
      <c r="B3" s="24">
        <v>27790</v>
      </c>
      <c r="C3" s="9">
        <f>MemberOfAssemblyAssemblyDistrict44General[[#This Row],[Part of Kings County Vote Results]]</f>
        <v>27790</v>
      </c>
      <c r="D3" s="10">
        <f>SUM(MemberOfAssemblyAssemblyDistrict44General[[#This Row],[Total Votes by Party]],C6)</f>
        <v>37457</v>
      </c>
    </row>
    <row r="4" spans="1:4" ht="13.8" x14ac:dyDescent="0.3">
      <c r="A4" s="1" t="s">
        <v>257</v>
      </c>
      <c r="B4" s="24">
        <v>8674</v>
      </c>
      <c r="C4" s="9">
        <f>MemberOfAssemblyAssemblyDistrict44General[[#This Row],[Part of Kings County Vote Results]]</f>
        <v>8674</v>
      </c>
      <c r="D4" s="10">
        <f>SUM(MemberOfAssemblyAssemblyDistrict44General[[#This Row],[Total Votes by Party]],C5)</f>
        <v>9804</v>
      </c>
    </row>
    <row r="5" spans="1:4" ht="13.8" x14ac:dyDescent="0.3">
      <c r="A5" s="1" t="s">
        <v>258</v>
      </c>
      <c r="B5" s="24">
        <v>1130</v>
      </c>
      <c r="C5" s="9">
        <f>MemberOfAssemblyAssemblyDistrict44General[[#This Row],[Part of Kings County Vote Results]]</f>
        <v>1130</v>
      </c>
      <c r="D5" s="11"/>
    </row>
    <row r="6" spans="1:4" ht="13.8" x14ac:dyDescent="0.3">
      <c r="A6" s="1" t="s">
        <v>259</v>
      </c>
      <c r="B6" s="24">
        <v>9667</v>
      </c>
      <c r="C6" s="9">
        <f>MemberOfAssemblyAssemblyDistrict44General[[#This Row],[Part of Kings County Vote Results]]</f>
        <v>9667</v>
      </c>
      <c r="D6" s="11"/>
    </row>
    <row r="7" spans="1:4" ht="13.8" x14ac:dyDescent="0.3">
      <c r="A7" s="3" t="s">
        <v>0</v>
      </c>
      <c r="B7" s="23">
        <v>2197</v>
      </c>
      <c r="C7" s="9">
        <f>MemberOfAssemblyAssemblyDistrict44General[[#This Row],[Part of Kings County Vote Results]]</f>
        <v>2197</v>
      </c>
      <c r="D7" s="11"/>
    </row>
    <row r="8" spans="1:4" ht="13.8" x14ac:dyDescent="0.3">
      <c r="A8" s="3" t="s">
        <v>1</v>
      </c>
      <c r="B8" s="23">
        <v>3</v>
      </c>
      <c r="C8" s="9">
        <f>MemberOfAssemblyAssemblyDistrict44General[[#This Row],[Part of Kings County Vote Results]]</f>
        <v>3</v>
      </c>
      <c r="D8" s="11"/>
    </row>
    <row r="9" spans="1:4" ht="13.8" x14ac:dyDescent="0.3">
      <c r="A9" s="3" t="s">
        <v>6</v>
      </c>
      <c r="B9" s="23">
        <v>72</v>
      </c>
      <c r="C9" s="9">
        <f>MemberOfAssemblyAssemblyDistrict44General[[#This Row],[Part of Kings County Vote Results]]</f>
        <v>72</v>
      </c>
      <c r="D9" s="11"/>
    </row>
    <row r="10" spans="1:4" ht="13.8" x14ac:dyDescent="0.3">
      <c r="A10" s="13" t="s">
        <v>2</v>
      </c>
      <c r="B10" s="2">
        <f>SUM(MemberOfAssemblyAssemblyDistrict44General[Part of Kings County Vote Results])</f>
        <v>49533</v>
      </c>
      <c r="C10" s="9">
        <f>SUM(MemberOfAssemblyAssemblyDistrict44General[Total Votes by Party])</f>
        <v>49533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92B1-5944-4345-9F5B-FEE9F77240C5}">
  <dimension ref="A1:D9"/>
  <sheetViews>
    <sheetView workbookViewId="0">
      <selection activeCell="C14" sqref="C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260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261</v>
      </c>
      <c r="B3" s="24">
        <v>16808</v>
      </c>
      <c r="C3" s="9">
        <f>MemberOfAssemblyAssemblyDistrict45General[[#This Row],[Part of Kings County Vote Results]]</f>
        <v>16808</v>
      </c>
      <c r="D3" s="10">
        <f>SUM(MemberOfAssemblyAssemblyDistrict45General[[#This Row],[Total Votes by Party]],C4,C5)</f>
        <v>23470</v>
      </c>
    </row>
    <row r="4" spans="1:4" ht="13.8" x14ac:dyDescent="0.3">
      <c r="A4" s="1" t="s">
        <v>262</v>
      </c>
      <c r="B4" s="24">
        <v>5252</v>
      </c>
      <c r="C4" s="9">
        <f>MemberOfAssemblyAssemblyDistrict45General[[#This Row],[Part of Kings County Vote Results]]</f>
        <v>5252</v>
      </c>
      <c r="D4" s="11"/>
    </row>
    <row r="5" spans="1:4" ht="13.8" x14ac:dyDescent="0.3">
      <c r="A5" s="1" t="s">
        <v>263</v>
      </c>
      <c r="B5" s="24">
        <v>1410</v>
      </c>
      <c r="C5" s="9">
        <f>MemberOfAssemblyAssemblyDistrict45General[[#This Row],[Part of Kings County Vote Results]]</f>
        <v>1410</v>
      </c>
      <c r="D5" s="11"/>
    </row>
    <row r="6" spans="1:4" ht="13.8" x14ac:dyDescent="0.3">
      <c r="A6" s="3" t="s">
        <v>0</v>
      </c>
      <c r="B6" s="23">
        <v>13462</v>
      </c>
      <c r="C6" s="9">
        <f>MemberOfAssemblyAssemblyDistrict45General[[#This Row],[Part of Kings County Vote Results]]</f>
        <v>13462</v>
      </c>
      <c r="D6" s="11"/>
    </row>
    <row r="7" spans="1:4" ht="13.8" x14ac:dyDescent="0.3">
      <c r="A7" s="3" t="s">
        <v>1</v>
      </c>
      <c r="B7" s="23">
        <v>4</v>
      </c>
      <c r="C7" s="9">
        <f>MemberOfAssemblyAssemblyDistrict45General[[#This Row],[Part of Kings County Vote Results]]</f>
        <v>4</v>
      </c>
      <c r="D7" s="11"/>
    </row>
    <row r="8" spans="1:4" ht="13.8" x14ac:dyDescent="0.3">
      <c r="A8" s="3" t="s">
        <v>6</v>
      </c>
      <c r="B8" s="23">
        <v>306</v>
      </c>
      <c r="C8" s="9">
        <f>MemberOfAssemblyAssemblyDistrict45General[[#This Row],[Part of Kings County Vote Results]]</f>
        <v>306</v>
      </c>
      <c r="D8" s="11"/>
    </row>
    <row r="9" spans="1:4" ht="13.8" x14ac:dyDescent="0.3">
      <c r="A9" s="13" t="s">
        <v>2</v>
      </c>
      <c r="B9" s="2">
        <f>SUM(MemberOfAssemblyAssemblyDistrict45General[Part of Kings County Vote Results])</f>
        <v>37242</v>
      </c>
      <c r="C9" s="9">
        <f>SUM(MemberOfAssemblyAssemblyDistrict45General[Total Votes by Party])</f>
        <v>37242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5E50-9983-469D-920A-F52BF0C4F9F5}">
  <dimension ref="A1:D9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264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265</v>
      </c>
      <c r="B3" s="24">
        <v>21993</v>
      </c>
      <c r="C3" s="9">
        <f>MemberOfAssemblyAssemblyDistrict46General[[#This Row],[Part of Kings County Vote Results]]</f>
        <v>21993</v>
      </c>
      <c r="D3" s="10">
        <f>SUM(MemberOfAssemblyAssemblyDistrict46General[[#This Row],[Total Votes by Party]])</f>
        <v>21993</v>
      </c>
    </row>
    <row r="4" spans="1:4" ht="13.8" x14ac:dyDescent="0.3">
      <c r="A4" s="1" t="s">
        <v>266</v>
      </c>
      <c r="B4" s="24">
        <v>19537</v>
      </c>
      <c r="C4" s="9">
        <f>MemberOfAssemblyAssemblyDistrict46General[[#This Row],[Part of Kings County Vote Results]]</f>
        <v>19537</v>
      </c>
      <c r="D4" s="10">
        <f>SUM(MemberOfAssemblyAssemblyDistrict46General[[#This Row],[Total Votes by Party]],C5)</f>
        <v>21155</v>
      </c>
    </row>
    <row r="5" spans="1:4" ht="13.8" x14ac:dyDescent="0.3">
      <c r="A5" s="1" t="s">
        <v>267</v>
      </c>
      <c r="B5" s="24">
        <v>1618</v>
      </c>
      <c r="C5" s="9">
        <f>MemberOfAssemblyAssemblyDistrict46General[[#This Row],[Part of Kings County Vote Results]]</f>
        <v>1618</v>
      </c>
      <c r="D5" s="11"/>
    </row>
    <row r="6" spans="1:4" ht="13.8" x14ac:dyDescent="0.3">
      <c r="A6" s="3" t="s">
        <v>0</v>
      </c>
      <c r="B6" s="23">
        <v>2738</v>
      </c>
      <c r="C6" s="9">
        <f>MemberOfAssemblyAssemblyDistrict46General[[#This Row],[Part of Kings County Vote Results]]</f>
        <v>2738</v>
      </c>
      <c r="D6" s="11"/>
    </row>
    <row r="7" spans="1:4" ht="13.8" x14ac:dyDescent="0.3">
      <c r="A7" s="3" t="s">
        <v>1</v>
      </c>
      <c r="B7" s="23">
        <v>2</v>
      </c>
      <c r="C7" s="9">
        <f>MemberOfAssemblyAssemblyDistrict46General[[#This Row],[Part of Kings County Vote Results]]</f>
        <v>2</v>
      </c>
      <c r="D7" s="11"/>
    </row>
    <row r="8" spans="1:4" ht="13.8" x14ac:dyDescent="0.3">
      <c r="A8" s="3" t="s">
        <v>6</v>
      </c>
      <c r="B8" s="23">
        <v>51</v>
      </c>
      <c r="C8" s="9">
        <f>MemberOfAssemblyAssemblyDistrict46General[[#This Row],[Part of Kings County Vote Results]]</f>
        <v>51</v>
      </c>
      <c r="D8" s="11"/>
    </row>
    <row r="9" spans="1:4" ht="13.8" x14ac:dyDescent="0.3">
      <c r="A9" s="13" t="s">
        <v>2</v>
      </c>
      <c r="B9" s="2">
        <f>SUM(MemberOfAssemblyAssemblyDistrict46General[Part of Kings County Vote Results])</f>
        <v>45939</v>
      </c>
      <c r="C9" s="9">
        <f>SUM(MemberOfAssemblyAssemblyDistrict46General[Total Votes by Party])</f>
        <v>45939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0791-39BB-4C98-BE3A-B3AE14E8AD63}">
  <dimension ref="A1:D10"/>
  <sheetViews>
    <sheetView workbookViewId="0">
      <selection activeCell="C14" sqref="C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268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269</v>
      </c>
      <c r="B3" s="24">
        <v>16977</v>
      </c>
      <c r="C3" s="9">
        <f>MemberOfAssemblyAssemblyDistrict47General[[#This Row],[Part of Kings County Vote Results]]</f>
        <v>16977</v>
      </c>
      <c r="D3" s="10">
        <f>SUM(MemberOfAssemblyAssemblyDistrict47General[[#This Row],[Total Votes by Party]],C6)</f>
        <v>18859</v>
      </c>
    </row>
    <row r="4" spans="1:4" ht="13.8" x14ac:dyDescent="0.3">
      <c r="A4" s="1" t="s">
        <v>270</v>
      </c>
      <c r="B4" s="24">
        <v>10769</v>
      </c>
      <c r="C4" s="9">
        <f>MemberOfAssemblyAssemblyDistrict47General[[#This Row],[Part of Kings County Vote Results]]</f>
        <v>10769</v>
      </c>
      <c r="D4" s="10">
        <f>SUM(MemberOfAssemblyAssemblyDistrict47General[[#This Row],[Total Votes by Party]],C5)</f>
        <v>11612</v>
      </c>
    </row>
    <row r="5" spans="1:4" ht="13.8" x14ac:dyDescent="0.3">
      <c r="A5" s="1" t="s">
        <v>271</v>
      </c>
      <c r="B5" s="23">
        <v>843</v>
      </c>
      <c r="C5" s="9">
        <f>MemberOfAssemblyAssemblyDistrict47General[[#This Row],[Part of Kings County Vote Results]]</f>
        <v>843</v>
      </c>
      <c r="D5" s="11"/>
    </row>
    <row r="6" spans="1:4" ht="13.8" x14ac:dyDescent="0.3">
      <c r="A6" s="1" t="s">
        <v>272</v>
      </c>
      <c r="B6" s="24">
        <v>1882</v>
      </c>
      <c r="C6" s="9">
        <f>MemberOfAssemblyAssemblyDistrict47General[[#This Row],[Part of Kings County Vote Results]]</f>
        <v>1882</v>
      </c>
      <c r="D6" s="11"/>
    </row>
    <row r="7" spans="1:4" ht="13.8" x14ac:dyDescent="0.3">
      <c r="A7" s="3" t="s">
        <v>0</v>
      </c>
      <c r="B7" s="23">
        <v>1750</v>
      </c>
      <c r="C7" s="9">
        <f>MemberOfAssemblyAssemblyDistrict47General[[#This Row],[Part of Kings County Vote Results]]</f>
        <v>1750</v>
      </c>
      <c r="D7" s="11"/>
    </row>
    <row r="8" spans="1:4" ht="13.8" x14ac:dyDescent="0.3">
      <c r="A8" s="3" t="s">
        <v>1</v>
      </c>
      <c r="B8" s="23">
        <v>0</v>
      </c>
      <c r="C8" s="9">
        <f>MemberOfAssemblyAssemblyDistrict47General[[#This Row],[Part of Kings County Vote Results]]</f>
        <v>0</v>
      </c>
      <c r="D8" s="11"/>
    </row>
    <row r="9" spans="1:4" ht="13.8" x14ac:dyDescent="0.3">
      <c r="A9" s="3" t="s">
        <v>6</v>
      </c>
      <c r="B9" s="23">
        <v>43</v>
      </c>
      <c r="C9" s="9">
        <f>MemberOfAssemblyAssemblyDistrict47General[[#This Row],[Part of Kings County Vote Results]]</f>
        <v>43</v>
      </c>
      <c r="D9" s="11"/>
    </row>
    <row r="10" spans="1:4" ht="13.8" x14ac:dyDescent="0.3">
      <c r="A10" s="13" t="s">
        <v>2</v>
      </c>
      <c r="B10" s="2">
        <f>SUM(MemberOfAssemblyAssemblyDistrict47General[Part of Kings County Vote Results])</f>
        <v>32264</v>
      </c>
      <c r="C10" s="9">
        <f>SUM(MemberOfAssemblyAssemblyDistrict47General[Total Votes by Party])</f>
        <v>32264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3D12-E52B-4178-85E4-9F10D8A37AAA}">
  <dimension ref="A1:D8"/>
  <sheetViews>
    <sheetView workbookViewId="0">
      <selection activeCell="C14" sqref="C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273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274</v>
      </c>
      <c r="B3" s="24">
        <v>12570</v>
      </c>
      <c r="C3" s="9">
        <f>MemberOfAssemblyAssemblyDistrict48General[[#This Row],[Part of Kings County Vote Results]]</f>
        <v>12570</v>
      </c>
      <c r="D3" s="10">
        <f>SUM(MemberOfAssemblyAssemblyDistrict48General[[#This Row],[Total Votes by Party]],C4)</f>
        <v>25981</v>
      </c>
    </row>
    <row r="4" spans="1:4" ht="13.8" x14ac:dyDescent="0.3">
      <c r="A4" s="1" t="s">
        <v>275</v>
      </c>
      <c r="B4" s="24">
        <v>13411</v>
      </c>
      <c r="C4" s="9">
        <f>MemberOfAssemblyAssemblyDistrict48General[[#This Row],[Part of Kings County Vote Results]]</f>
        <v>13411</v>
      </c>
      <c r="D4" s="11"/>
    </row>
    <row r="5" spans="1:4" ht="13.8" x14ac:dyDescent="0.3">
      <c r="A5" s="3" t="s">
        <v>0</v>
      </c>
      <c r="B5" s="23">
        <v>6931</v>
      </c>
      <c r="C5" s="9">
        <f>MemberOfAssemblyAssemblyDistrict48General[[#This Row],[Part of Kings County Vote Results]]</f>
        <v>6931</v>
      </c>
      <c r="D5" s="11"/>
    </row>
    <row r="6" spans="1:4" ht="13.8" x14ac:dyDescent="0.3">
      <c r="A6" s="3" t="s">
        <v>1</v>
      </c>
      <c r="B6" s="23">
        <v>3</v>
      </c>
      <c r="C6" s="9">
        <f>MemberOfAssemblyAssemblyDistrict48General[[#This Row],[Part of Kings County Vote Results]]</f>
        <v>3</v>
      </c>
      <c r="D6" s="11"/>
    </row>
    <row r="7" spans="1:4" ht="13.8" x14ac:dyDescent="0.3">
      <c r="A7" s="3" t="s">
        <v>6</v>
      </c>
      <c r="B7" s="23">
        <v>372</v>
      </c>
      <c r="C7" s="9">
        <f>MemberOfAssemblyAssemblyDistrict48General[[#This Row],[Part of Kings County Vote Results]]</f>
        <v>372</v>
      </c>
      <c r="D7" s="11"/>
    </row>
    <row r="8" spans="1:4" ht="13.8" x14ac:dyDescent="0.3">
      <c r="A8" s="13" t="s">
        <v>2</v>
      </c>
      <c r="B8" s="2">
        <f>SUM(MemberOfAssemblyAssemblyDistrict48General[Part of Kings County Vote Results])</f>
        <v>33287</v>
      </c>
      <c r="C8" s="9">
        <f>SUM(MemberOfAssemblyAssemblyDistrict48General[Total Votes by Party])</f>
        <v>33287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D18B-999A-427A-AAE2-43FF48071672}">
  <dimension ref="A1:D8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276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277</v>
      </c>
      <c r="B3" s="24">
        <v>16606</v>
      </c>
      <c r="C3" s="9">
        <f>MemberOfAssemblyAssemblyDistrict49General[[#This Row],[Part of Kings County Vote Results]]</f>
        <v>16606</v>
      </c>
      <c r="D3" s="10">
        <f>SUM(MemberOfAssemblyAssemblyDistrict49General[[#This Row],[Total Votes by Party]],C4)</f>
        <v>18104</v>
      </c>
    </row>
    <row r="4" spans="1:4" ht="13.8" x14ac:dyDescent="0.3">
      <c r="A4" s="1" t="s">
        <v>278</v>
      </c>
      <c r="B4" s="24">
        <v>1498</v>
      </c>
      <c r="C4" s="9">
        <f>MemberOfAssemblyAssemblyDistrict49General[[#This Row],[Part of Kings County Vote Results]]</f>
        <v>1498</v>
      </c>
      <c r="D4" s="11"/>
    </row>
    <row r="5" spans="1:4" ht="13.8" x14ac:dyDescent="0.3">
      <c r="A5" s="3" t="s">
        <v>0</v>
      </c>
      <c r="B5" s="23">
        <v>6508</v>
      </c>
      <c r="C5" s="9">
        <f>MemberOfAssemblyAssemblyDistrict49General[[#This Row],[Part of Kings County Vote Results]]</f>
        <v>6508</v>
      </c>
      <c r="D5" s="11"/>
    </row>
    <row r="6" spans="1:4" ht="13.8" x14ac:dyDescent="0.3">
      <c r="A6" s="3" t="s">
        <v>1</v>
      </c>
      <c r="B6" s="23">
        <v>0</v>
      </c>
      <c r="C6" s="9">
        <f>MemberOfAssemblyAssemblyDistrict49General[[#This Row],[Part of Kings County Vote Results]]</f>
        <v>0</v>
      </c>
      <c r="D6" s="11"/>
    </row>
    <row r="7" spans="1:4" ht="13.8" x14ac:dyDescent="0.3">
      <c r="A7" s="3" t="s">
        <v>6</v>
      </c>
      <c r="B7" s="23">
        <v>162</v>
      </c>
      <c r="C7" s="9">
        <f>MemberOfAssemblyAssemblyDistrict49General[[#This Row],[Part of Kings County Vote Results]]</f>
        <v>162</v>
      </c>
      <c r="D7" s="11"/>
    </row>
    <row r="8" spans="1:4" ht="13.8" x14ac:dyDescent="0.3">
      <c r="A8" s="13" t="s">
        <v>2</v>
      </c>
      <c r="B8" s="2">
        <f>SUM(MemberOfAssemblyAssemblyDistrict49General[Part of Kings County Vote Results])</f>
        <v>24774</v>
      </c>
      <c r="C8" s="9">
        <f>SUM(MemberOfAssemblyAssemblyDistrict49General[Total Votes by Party])</f>
        <v>24774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5FDB-21E4-41B9-AF78-CD0357CDE197}">
  <dimension ref="A1:D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85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86</v>
      </c>
      <c r="B3" s="21">
        <v>19477</v>
      </c>
      <c r="C3" s="9">
        <f>MemberOfAssemblyAssemblyDistrict5General[[#This Row],[Part of Suffolk County Vote Results]]</f>
        <v>19477</v>
      </c>
      <c r="D3" s="10">
        <f>SUM(MemberOfAssemblyAssemblyDistrict5General[[#This Row],[Total Votes by Party]])</f>
        <v>19477</v>
      </c>
    </row>
    <row r="4" spans="1:4" ht="13.8" x14ac:dyDescent="0.3">
      <c r="A4" s="1" t="s">
        <v>87</v>
      </c>
      <c r="B4" s="21">
        <v>30754</v>
      </c>
      <c r="C4" s="9">
        <f>MemberOfAssemblyAssemblyDistrict5General[[#This Row],[Part of Suffolk County Vote Results]]</f>
        <v>30754</v>
      </c>
      <c r="D4" s="10">
        <f>SUM(MemberOfAssemblyAssemblyDistrict5General[[#This Row],[Total Votes by Party]],C5,C6)</f>
        <v>34815</v>
      </c>
    </row>
    <row r="5" spans="1:4" ht="13.8" x14ac:dyDescent="0.3">
      <c r="A5" s="1" t="s">
        <v>88</v>
      </c>
      <c r="B5" s="21">
        <v>3413</v>
      </c>
      <c r="C5" s="9">
        <f>MemberOfAssemblyAssemblyDistrict5General[[#This Row],[Part of Suffolk County Vote Results]]</f>
        <v>3413</v>
      </c>
      <c r="D5" s="11"/>
    </row>
    <row r="6" spans="1:4" ht="13.8" x14ac:dyDescent="0.3">
      <c r="A6" s="1" t="s">
        <v>89</v>
      </c>
      <c r="B6" s="21">
        <v>648</v>
      </c>
      <c r="C6" s="9">
        <f>MemberOfAssemblyAssemblyDistrict5General[[#This Row],[Part of Suffolk County Vote Results]]</f>
        <v>648</v>
      </c>
      <c r="D6" s="11"/>
    </row>
    <row r="7" spans="1:4" ht="13.8" x14ac:dyDescent="0.3">
      <c r="A7" s="3" t="s">
        <v>0</v>
      </c>
      <c r="B7" s="21">
        <v>5671</v>
      </c>
      <c r="C7" s="9">
        <f>MemberOfAssemblyAssemblyDistrict5General[[#This Row],[Part of Suffolk County Vote Results]]</f>
        <v>5671</v>
      </c>
      <c r="D7" s="11"/>
    </row>
    <row r="8" spans="1:4" ht="13.8" x14ac:dyDescent="0.3">
      <c r="A8" s="3" t="s">
        <v>1</v>
      </c>
      <c r="B8" s="21">
        <v>11</v>
      </c>
      <c r="C8" s="9">
        <f>MemberOfAssemblyAssemblyDistrict5General[[#This Row],[Part of Suffolk County Vote Results]]</f>
        <v>11</v>
      </c>
      <c r="D8" s="11"/>
    </row>
    <row r="9" spans="1:4" ht="13.8" x14ac:dyDescent="0.3">
      <c r="A9" s="3" t="s">
        <v>6</v>
      </c>
      <c r="B9" s="21">
        <v>7</v>
      </c>
      <c r="C9" s="9">
        <f>MemberOfAssemblyAssemblyDistrict5General[[#This Row],[Part of Suffolk County Vote Results]]</f>
        <v>7</v>
      </c>
      <c r="D9" s="11"/>
    </row>
    <row r="10" spans="1:4" ht="13.8" x14ac:dyDescent="0.3">
      <c r="A10" s="13" t="s">
        <v>2</v>
      </c>
      <c r="B10" s="21">
        <f>SUM(MemberOfAssemblyAssemblyDistrict5General[Part of Suffolk County Vote Results])</f>
        <v>59981</v>
      </c>
      <c r="C10" s="9">
        <f>SUM(MemberOfAssemblyAssemblyDistrict5General[Total Votes by Party])</f>
        <v>59981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7F8D-1449-4CF7-9523-B5F0CA00539D}">
  <dimension ref="A1:D7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279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280</v>
      </c>
      <c r="B3" s="24">
        <v>38278</v>
      </c>
      <c r="C3" s="9">
        <f>MemberOfAssemblyAssemblyDistrict50General[[#This Row],[Part of Kings County Vote Results]]</f>
        <v>38278</v>
      </c>
      <c r="D3" s="10">
        <f>SUM(MemberOfAssemblyAssemblyDistrict50General[[#This Row],[Total Votes by Party]])</f>
        <v>38278</v>
      </c>
    </row>
    <row r="4" spans="1:4" ht="13.8" x14ac:dyDescent="0.3">
      <c r="A4" s="3" t="s">
        <v>0</v>
      </c>
      <c r="B4" s="23">
        <v>11880</v>
      </c>
      <c r="C4" s="9">
        <f>MemberOfAssemblyAssemblyDistrict50General[[#This Row],[Part of Kings County Vote Results]]</f>
        <v>11880</v>
      </c>
      <c r="D4" s="11"/>
    </row>
    <row r="5" spans="1:4" ht="13.8" x14ac:dyDescent="0.3">
      <c r="A5" s="3" t="s">
        <v>1</v>
      </c>
      <c r="B5" s="23">
        <v>2</v>
      </c>
      <c r="C5" s="9">
        <f>MemberOfAssemblyAssemblyDistrict50General[[#This Row],[Part of Kings County Vote Results]]</f>
        <v>2</v>
      </c>
      <c r="D5" s="11"/>
    </row>
    <row r="6" spans="1:4" ht="13.8" x14ac:dyDescent="0.3">
      <c r="A6" s="3" t="s">
        <v>6</v>
      </c>
      <c r="B6" s="23">
        <v>1175</v>
      </c>
      <c r="C6" s="9">
        <f>MemberOfAssemblyAssemblyDistrict50General[[#This Row],[Part of Kings County Vote Results]]</f>
        <v>1175</v>
      </c>
      <c r="D6" s="11"/>
    </row>
    <row r="7" spans="1:4" ht="13.8" x14ac:dyDescent="0.3">
      <c r="A7" s="13" t="s">
        <v>2</v>
      </c>
      <c r="B7" s="2">
        <f>SUM(MemberOfAssemblyAssemblyDistrict50General[Part of Kings County Vote Results])</f>
        <v>51335</v>
      </c>
      <c r="C7" s="9">
        <f>SUM(MemberOfAssemblyAssemblyDistrict50General[Total Votes by Party])</f>
        <v>51335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F781-66B3-4EF5-8D09-2F72F0904610}">
  <dimension ref="A1:D8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281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282</v>
      </c>
      <c r="B3" s="24">
        <v>21296</v>
      </c>
      <c r="C3" s="9">
        <f>MemberOfAssemblyAssemblyDistrict51General[[#This Row],[Part of Kings County Vote Results]]</f>
        <v>21296</v>
      </c>
      <c r="D3" s="10">
        <f>SUM(MemberOfAssemblyAssemblyDistrict51General[[#This Row],[Total Votes by Party]],C4)</f>
        <v>27954</v>
      </c>
    </row>
    <row r="4" spans="1:4" ht="13.8" x14ac:dyDescent="0.3">
      <c r="A4" s="1" t="s">
        <v>283</v>
      </c>
      <c r="B4" s="24">
        <v>6658</v>
      </c>
      <c r="C4" s="9">
        <f>MemberOfAssemblyAssemblyDistrict51General[[#This Row],[Part of Kings County Vote Results]]</f>
        <v>6658</v>
      </c>
      <c r="D4" s="11"/>
    </row>
    <row r="5" spans="1:4" ht="13.8" x14ac:dyDescent="0.3">
      <c r="A5" s="3" t="s">
        <v>0</v>
      </c>
      <c r="B5" s="23">
        <v>5677</v>
      </c>
      <c r="C5" s="9">
        <f>MemberOfAssemblyAssemblyDistrict51General[[#This Row],[Part of Kings County Vote Results]]</f>
        <v>5677</v>
      </c>
      <c r="D5" s="11"/>
    </row>
    <row r="6" spans="1:4" ht="13.8" x14ac:dyDescent="0.3">
      <c r="A6" s="3" t="s">
        <v>1</v>
      </c>
      <c r="B6" s="23">
        <v>0</v>
      </c>
      <c r="C6" s="9">
        <f>MemberOfAssemblyAssemblyDistrict51General[[#This Row],[Part of Kings County Vote Results]]</f>
        <v>0</v>
      </c>
      <c r="D6" s="11"/>
    </row>
    <row r="7" spans="1:4" ht="13.8" x14ac:dyDescent="0.3">
      <c r="A7" s="3" t="s">
        <v>6</v>
      </c>
      <c r="B7" s="23">
        <v>284</v>
      </c>
      <c r="C7" s="9">
        <f>MemberOfAssemblyAssemblyDistrict51General[[#This Row],[Part of Kings County Vote Results]]</f>
        <v>284</v>
      </c>
      <c r="D7" s="11"/>
    </row>
    <row r="8" spans="1:4" ht="13.8" x14ac:dyDescent="0.3">
      <c r="A8" s="13" t="s">
        <v>2</v>
      </c>
      <c r="B8" s="2">
        <f>SUM(MemberOfAssemblyAssemblyDistrict51General[Part of Kings County Vote Results])</f>
        <v>33915</v>
      </c>
      <c r="C8" s="9">
        <f>SUM(MemberOfAssemblyAssemblyDistrict51General[Total Votes by Party])</f>
        <v>33915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D3FB-DDD2-469E-AC3F-16AD11B606D2}">
  <dimension ref="A1:D8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284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285</v>
      </c>
      <c r="B3" s="24">
        <v>51320</v>
      </c>
      <c r="C3" s="9">
        <f>MemberOfAssemblyAssemblyDistrict52General[[#This Row],[Part of Kings County Vote Results]]</f>
        <v>51320</v>
      </c>
      <c r="D3" s="10">
        <f>SUM(MemberOfAssemblyAssemblyDistrict52General[[#This Row],[Total Votes by Party]],C4)</f>
        <v>67382</v>
      </c>
    </row>
    <row r="4" spans="1:4" ht="13.8" x14ac:dyDescent="0.3">
      <c r="A4" s="1" t="s">
        <v>286</v>
      </c>
      <c r="B4" s="24">
        <v>16062</v>
      </c>
      <c r="C4" s="9">
        <f>MemberOfAssemblyAssemblyDistrict52General[[#This Row],[Part of Kings County Vote Results]]</f>
        <v>16062</v>
      </c>
      <c r="D4" s="11"/>
    </row>
    <row r="5" spans="1:4" ht="13.8" x14ac:dyDescent="0.3">
      <c r="A5" s="3" t="s">
        <v>0</v>
      </c>
      <c r="B5" s="23">
        <v>5097</v>
      </c>
      <c r="C5" s="9">
        <f>MemberOfAssemblyAssemblyDistrict52General[[#This Row],[Part of Kings County Vote Results]]</f>
        <v>5097</v>
      </c>
      <c r="D5" s="11"/>
    </row>
    <row r="6" spans="1:4" ht="13.8" x14ac:dyDescent="0.3">
      <c r="A6" s="3" t="s">
        <v>1</v>
      </c>
      <c r="B6" s="23">
        <v>1</v>
      </c>
      <c r="C6" s="9">
        <f>MemberOfAssemblyAssemblyDistrict52General[[#This Row],[Part of Kings County Vote Results]]</f>
        <v>1</v>
      </c>
      <c r="D6" s="11"/>
    </row>
    <row r="7" spans="1:4" ht="13.8" x14ac:dyDescent="0.3">
      <c r="A7" s="3" t="s">
        <v>6</v>
      </c>
      <c r="B7" s="23">
        <v>341</v>
      </c>
      <c r="C7" s="9">
        <f>MemberOfAssemblyAssemblyDistrict52General[[#This Row],[Part of Kings County Vote Results]]</f>
        <v>341</v>
      </c>
      <c r="D7" s="11"/>
    </row>
    <row r="8" spans="1:4" ht="13.8" x14ac:dyDescent="0.3">
      <c r="A8" s="13" t="s">
        <v>2</v>
      </c>
      <c r="B8" s="2">
        <f>SUM(MemberOfAssemblyAssemblyDistrict52General[Part of Kings County Vote Results])</f>
        <v>72821</v>
      </c>
      <c r="C8" s="9">
        <f>SUM(MemberOfAssemblyAssemblyDistrict52General[Total Votes by Party])</f>
        <v>72821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C093-3478-4A5F-B93C-5059858EBD30}">
  <dimension ref="A1:D7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287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288</v>
      </c>
      <c r="B3" s="24">
        <v>38791</v>
      </c>
      <c r="C3" s="9">
        <f>MemberOfAssemblyAssemblyDistrict53General[[#This Row],[Part of Kings County Vote Results]]</f>
        <v>38791</v>
      </c>
      <c r="D3" s="10">
        <f>SUM(MemberOfAssemblyAssemblyDistrict53General[[#This Row],[Total Votes by Party]])</f>
        <v>38791</v>
      </c>
    </row>
    <row r="4" spans="1:4" ht="13.8" x14ac:dyDescent="0.3">
      <c r="A4" s="3" t="s">
        <v>0</v>
      </c>
      <c r="B4" s="23">
        <v>5804</v>
      </c>
      <c r="C4" s="9">
        <f>MemberOfAssemblyAssemblyDistrict53General[[#This Row],[Part of Kings County Vote Results]]</f>
        <v>5804</v>
      </c>
      <c r="D4" s="11"/>
    </row>
    <row r="5" spans="1:4" ht="13.8" x14ac:dyDescent="0.3">
      <c r="A5" s="3" t="s">
        <v>1</v>
      </c>
      <c r="B5" s="23">
        <v>1</v>
      </c>
      <c r="C5" s="9">
        <f>MemberOfAssemblyAssemblyDistrict53General[[#This Row],[Part of Kings County Vote Results]]</f>
        <v>1</v>
      </c>
      <c r="D5" s="11"/>
    </row>
    <row r="6" spans="1:4" ht="13.8" x14ac:dyDescent="0.3">
      <c r="A6" s="3" t="s">
        <v>6</v>
      </c>
      <c r="B6" s="23">
        <v>238</v>
      </c>
      <c r="C6" s="9">
        <f>MemberOfAssemblyAssemblyDistrict53General[[#This Row],[Part of Kings County Vote Results]]</f>
        <v>238</v>
      </c>
      <c r="D6" s="11"/>
    </row>
    <row r="7" spans="1:4" ht="13.8" x14ac:dyDescent="0.3">
      <c r="A7" s="13" t="s">
        <v>2</v>
      </c>
      <c r="B7" s="2">
        <f>SUM(MemberOfAssemblyAssemblyDistrict53General[Part of Kings County Vote Results])</f>
        <v>44834</v>
      </c>
      <c r="C7" s="9">
        <f>SUM(MemberOfAssemblyAssemblyDistrict53General[Total Votes by Party])</f>
        <v>44834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0416-3485-4525-B0AE-4AF69F70F7A6}">
  <dimension ref="A1:D9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289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290</v>
      </c>
      <c r="B3" s="24">
        <v>29619</v>
      </c>
      <c r="C3" s="9">
        <f>MemberOfAssemblyAssemblyDistrict54General[[#This Row],[Part of Kings County Vote Results]]</f>
        <v>29619</v>
      </c>
      <c r="D3" s="10">
        <f>MemberOfAssemblyAssemblyDistrict54General[[#This Row],[Total Votes by Party]]</f>
        <v>29619</v>
      </c>
    </row>
    <row r="4" spans="1:4" ht="13.8" x14ac:dyDescent="0.3">
      <c r="A4" s="1" t="s">
        <v>291</v>
      </c>
      <c r="B4" s="24">
        <v>3211</v>
      </c>
      <c r="C4" s="9">
        <f>MemberOfAssemblyAssemblyDistrict54General[[#This Row],[Part of Kings County Vote Results]]</f>
        <v>3211</v>
      </c>
      <c r="D4" s="10">
        <f>MemberOfAssemblyAssemblyDistrict54General[[#This Row],[Total Votes by Party]]</f>
        <v>3211</v>
      </c>
    </row>
    <row r="5" spans="1:4" ht="13.8" x14ac:dyDescent="0.3">
      <c r="A5" s="1" t="s">
        <v>292</v>
      </c>
      <c r="B5" s="24">
        <v>1693</v>
      </c>
      <c r="C5" s="9">
        <f>MemberOfAssemblyAssemblyDistrict54General[[#This Row],[Part of Kings County Vote Results]]</f>
        <v>1693</v>
      </c>
      <c r="D5" s="10">
        <f>MemberOfAssemblyAssemblyDistrict54General[[#This Row],[Total Votes by Party]]</f>
        <v>1693</v>
      </c>
    </row>
    <row r="6" spans="1:4" ht="13.8" x14ac:dyDescent="0.3">
      <c r="A6" s="3" t="s">
        <v>0</v>
      </c>
      <c r="B6" s="23">
        <v>1806</v>
      </c>
      <c r="C6" s="9">
        <f>MemberOfAssemblyAssemblyDistrict54General[[#This Row],[Part of Kings County Vote Results]]</f>
        <v>1806</v>
      </c>
      <c r="D6" s="11"/>
    </row>
    <row r="7" spans="1:4" ht="13.8" x14ac:dyDescent="0.3">
      <c r="A7" s="3" t="s">
        <v>1</v>
      </c>
      <c r="B7" s="23">
        <v>7</v>
      </c>
      <c r="C7" s="9">
        <f>MemberOfAssemblyAssemblyDistrict54General[[#This Row],[Part of Kings County Vote Results]]</f>
        <v>7</v>
      </c>
      <c r="D7" s="11"/>
    </row>
    <row r="8" spans="1:4" ht="13.8" x14ac:dyDescent="0.3">
      <c r="A8" s="3" t="s">
        <v>6</v>
      </c>
      <c r="B8" s="23">
        <v>45</v>
      </c>
      <c r="C8" s="9">
        <f>MemberOfAssemblyAssemblyDistrict54General[[#This Row],[Part of Kings County Vote Results]]</f>
        <v>45</v>
      </c>
      <c r="D8" s="11"/>
    </row>
    <row r="9" spans="1:4" ht="13.8" x14ac:dyDescent="0.3">
      <c r="A9" s="13" t="s">
        <v>2</v>
      </c>
      <c r="B9" s="2">
        <f>SUM(MemberOfAssemblyAssemblyDistrict54General[Part of Kings County Vote Results])</f>
        <v>36381</v>
      </c>
      <c r="C9" s="9">
        <f>SUM(MemberOfAssemblyAssemblyDistrict54General[Total Votes by Party])</f>
        <v>36381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810B-01C4-4867-8008-C6BF1935481A}">
  <dimension ref="A1:D8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293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294</v>
      </c>
      <c r="B3" s="24">
        <v>37501</v>
      </c>
      <c r="C3" s="9">
        <f>MemberOfAssemblyAssemblyDistrict55General[[#This Row],[Part of Kings County Vote Results]]</f>
        <v>37501</v>
      </c>
      <c r="D3" s="10">
        <f>SUM(MemberOfAssemblyAssemblyDistrict55General[[#This Row],[Total Votes by Party]])</f>
        <v>37501</v>
      </c>
    </row>
    <row r="4" spans="1:4" ht="13.8" x14ac:dyDescent="0.3">
      <c r="A4" s="1" t="s">
        <v>295</v>
      </c>
      <c r="B4" s="24">
        <v>1826</v>
      </c>
      <c r="C4" s="9">
        <f>MemberOfAssemblyAssemblyDistrict55General[[#This Row],[Part of Kings County Vote Results]]</f>
        <v>1826</v>
      </c>
      <c r="D4" s="10">
        <f>SUM(MemberOfAssemblyAssemblyDistrict55General[[#This Row],[Total Votes by Party]])</f>
        <v>1826</v>
      </c>
    </row>
    <row r="5" spans="1:4" ht="13.8" x14ac:dyDescent="0.3">
      <c r="A5" s="3" t="s">
        <v>0</v>
      </c>
      <c r="B5" s="23">
        <v>1680</v>
      </c>
      <c r="C5" s="9">
        <f>MemberOfAssemblyAssemblyDistrict55General[[#This Row],[Part of Kings County Vote Results]]</f>
        <v>1680</v>
      </c>
      <c r="D5" s="11"/>
    </row>
    <row r="6" spans="1:4" ht="13.8" x14ac:dyDescent="0.3">
      <c r="A6" s="3" t="s">
        <v>1</v>
      </c>
      <c r="B6" s="23">
        <v>4</v>
      </c>
      <c r="C6" s="9">
        <f>MemberOfAssemblyAssemblyDistrict55General[[#This Row],[Part of Kings County Vote Results]]</f>
        <v>4</v>
      </c>
      <c r="D6" s="11"/>
    </row>
    <row r="7" spans="1:4" ht="13.8" x14ac:dyDescent="0.3">
      <c r="A7" s="3" t="s">
        <v>6</v>
      </c>
      <c r="B7" s="23">
        <v>30</v>
      </c>
      <c r="C7" s="9">
        <f>MemberOfAssemblyAssemblyDistrict55General[[#This Row],[Part of Kings County Vote Results]]</f>
        <v>30</v>
      </c>
      <c r="D7" s="11"/>
    </row>
    <row r="8" spans="1:4" ht="13.8" x14ac:dyDescent="0.3">
      <c r="A8" s="13" t="s">
        <v>2</v>
      </c>
      <c r="B8" s="2">
        <f>SUM(MemberOfAssemblyAssemblyDistrict55General[Part of Kings County Vote Results])</f>
        <v>41041</v>
      </c>
      <c r="C8" s="9">
        <f>SUM(MemberOfAssemblyAssemblyDistrict55General[Total Votes by Party])</f>
        <v>41041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BC34-BCF8-4D04-B3AA-5048E07D285A}">
  <dimension ref="A1:D7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296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297</v>
      </c>
      <c r="B3" s="24">
        <v>45103</v>
      </c>
      <c r="C3" s="9">
        <f>MemberOfAssemblyAssemblyDistrict56General[[#This Row],[Part of Kings County Vote Results]]</f>
        <v>45103</v>
      </c>
      <c r="D3" s="10">
        <f>SUM(MemberOfAssemblyAssemblyDistrict56General[[#This Row],[Total Votes by Party]])</f>
        <v>45103</v>
      </c>
    </row>
    <row r="4" spans="1:4" ht="13.8" x14ac:dyDescent="0.3">
      <c r="A4" s="3" t="s">
        <v>0</v>
      </c>
      <c r="B4" s="23">
        <v>4884</v>
      </c>
      <c r="C4" s="9">
        <f>MemberOfAssemblyAssemblyDistrict56General[[#This Row],[Part of Kings County Vote Results]]</f>
        <v>4884</v>
      </c>
      <c r="D4" s="11"/>
    </row>
    <row r="5" spans="1:4" ht="13.8" x14ac:dyDescent="0.3">
      <c r="A5" s="3" t="s">
        <v>1</v>
      </c>
      <c r="B5" s="23">
        <v>0</v>
      </c>
      <c r="C5" s="9">
        <f>MemberOfAssemblyAssemblyDistrict56General[[#This Row],[Part of Kings County Vote Results]]</f>
        <v>0</v>
      </c>
      <c r="D5" s="11"/>
    </row>
    <row r="6" spans="1:4" ht="13.8" x14ac:dyDescent="0.3">
      <c r="A6" s="3" t="s">
        <v>6</v>
      </c>
      <c r="B6" s="23">
        <v>141</v>
      </c>
      <c r="C6" s="9">
        <f>MemberOfAssemblyAssemblyDistrict56General[[#This Row],[Part of Kings County Vote Results]]</f>
        <v>141</v>
      </c>
      <c r="D6" s="11"/>
    </row>
    <row r="7" spans="1:4" ht="13.8" x14ac:dyDescent="0.3">
      <c r="A7" s="13" t="s">
        <v>2</v>
      </c>
      <c r="B7" s="2">
        <f>SUM(MemberOfAssemblyAssemblyDistrict56General[Part of Kings County Vote Results])</f>
        <v>50128</v>
      </c>
      <c r="C7" s="9">
        <f>SUM(MemberOfAssemblyAssemblyDistrict56General[Total Votes by Party])</f>
        <v>50128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D1A4-7CCD-43C5-BEC9-B8BDEBE46423}">
  <dimension ref="A1:D8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298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299</v>
      </c>
      <c r="B3" s="24">
        <v>47347</v>
      </c>
      <c r="C3" s="9">
        <f>MemberOfAssemblyAssemblyDistrict57General[[#This Row],[Part of Kings County Vote Results]]</f>
        <v>47347</v>
      </c>
      <c r="D3" s="10">
        <f>SUM(MemberOfAssemblyAssemblyDistrict57General[[#This Row],[Total Votes by Party]])</f>
        <v>47347</v>
      </c>
    </row>
    <row r="4" spans="1:4" ht="13.8" x14ac:dyDescent="0.3">
      <c r="A4" s="1" t="s">
        <v>300</v>
      </c>
      <c r="B4" s="24">
        <v>14794</v>
      </c>
      <c r="C4" s="9">
        <f>MemberOfAssemblyAssemblyDistrict57General[[#This Row],[Part of Kings County Vote Results]]</f>
        <v>14794</v>
      </c>
      <c r="D4" s="10">
        <f>SUM(MemberOfAssemblyAssemblyDistrict57General[[#This Row],[Total Votes by Party]])</f>
        <v>14794</v>
      </c>
    </row>
    <row r="5" spans="1:4" ht="13.8" x14ac:dyDescent="0.3">
      <c r="A5" s="3" t="s">
        <v>0</v>
      </c>
      <c r="B5" s="23">
        <v>3668</v>
      </c>
      <c r="C5" s="9">
        <f>MemberOfAssemblyAssemblyDistrict57General[[#This Row],[Part of Kings County Vote Results]]</f>
        <v>3668</v>
      </c>
      <c r="D5" s="11"/>
    </row>
    <row r="6" spans="1:4" ht="13.8" x14ac:dyDescent="0.3">
      <c r="A6" s="3" t="s">
        <v>1</v>
      </c>
      <c r="B6" s="23">
        <v>5</v>
      </c>
      <c r="C6" s="9">
        <f>MemberOfAssemblyAssemblyDistrict57General[[#This Row],[Part of Kings County Vote Results]]</f>
        <v>5</v>
      </c>
      <c r="D6" s="11"/>
    </row>
    <row r="7" spans="1:4" ht="13.8" x14ac:dyDescent="0.3">
      <c r="A7" s="3" t="s">
        <v>6</v>
      </c>
      <c r="B7" s="23">
        <v>105</v>
      </c>
      <c r="C7" s="9">
        <f>MemberOfAssemblyAssemblyDistrict57General[[#This Row],[Part of Kings County Vote Results]]</f>
        <v>105</v>
      </c>
      <c r="D7" s="11"/>
    </row>
    <row r="8" spans="1:4" ht="13.8" x14ac:dyDescent="0.3">
      <c r="A8" s="13" t="s">
        <v>2</v>
      </c>
      <c r="B8" s="2">
        <f>SUM(MemberOfAssemblyAssemblyDistrict57General[Part of Kings County Vote Results])</f>
        <v>65919</v>
      </c>
      <c r="C8" s="9">
        <f>SUM(MemberOfAssemblyAssemblyDistrict57General[Total Votes by Party])</f>
        <v>65919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D84B-8380-4157-B97E-E544DAFC3991}">
  <dimension ref="A1:D8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301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302</v>
      </c>
      <c r="B3" s="24">
        <v>41635</v>
      </c>
      <c r="C3" s="9">
        <f>MemberOfAssemblyAssemblyDistrict58General[[#This Row],[Part of Kings County Vote Results]]</f>
        <v>41635</v>
      </c>
      <c r="D3" s="10">
        <f>SUM(MemberOfAssemblyAssemblyDistrict58General[[#This Row],[Total Votes by Party]],C4)</f>
        <v>43737</v>
      </c>
    </row>
    <row r="4" spans="1:4" ht="13.8" x14ac:dyDescent="0.3">
      <c r="A4" s="1" t="s">
        <v>303</v>
      </c>
      <c r="B4" s="24">
        <v>2102</v>
      </c>
      <c r="C4" s="9">
        <f>MemberOfAssemblyAssemblyDistrict58General[[#This Row],[Part of Kings County Vote Results]]</f>
        <v>2102</v>
      </c>
      <c r="D4" s="11"/>
    </row>
    <row r="5" spans="1:4" ht="13.8" x14ac:dyDescent="0.3">
      <c r="A5" s="3" t="s">
        <v>0</v>
      </c>
      <c r="B5" s="23">
        <v>2320</v>
      </c>
      <c r="C5" s="9">
        <f>MemberOfAssemblyAssemblyDistrict58General[[#This Row],[Part of Kings County Vote Results]]</f>
        <v>2320</v>
      </c>
      <c r="D5" s="11"/>
    </row>
    <row r="6" spans="1:4" ht="13.8" x14ac:dyDescent="0.3">
      <c r="A6" s="3" t="s">
        <v>1</v>
      </c>
      <c r="B6" s="23">
        <v>0</v>
      </c>
      <c r="C6" s="9">
        <f>MemberOfAssemblyAssemblyDistrict58General[[#This Row],[Part of Kings County Vote Results]]</f>
        <v>0</v>
      </c>
      <c r="D6" s="11"/>
    </row>
    <row r="7" spans="1:4" ht="13.8" x14ac:dyDescent="0.3">
      <c r="A7" s="3" t="s">
        <v>6</v>
      </c>
      <c r="B7" s="23">
        <v>60</v>
      </c>
      <c r="C7" s="9">
        <f>MemberOfAssemblyAssemblyDistrict58General[[#This Row],[Part of Kings County Vote Results]]</f>
        <v>60</v>
      </c>
      <c r="D7" s="11"/>
    </row>
    <row r="8" spans="1:4" ht="13.8" x14ac:dyDescent="0.3">
      <c r="A8" s="13" t="s">
        <v>2</v>
      </c>
      <c r="B8" s="2">
        <f>SUM(MemberOfAssemblyAssemblyDistrict58General[Part of Kings County Vote Results])</f>
        <v>46117</v>
      </c>
      <c r="C8" s="9">
        <f>SUM(MemberOfAssemblyAssemblyDistrict58General[Total Votes by Party])</f>
        <v>46117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4228-CABB-47E8-B6D4-3612CB1F5462}">
  <dimension ref="A1:D7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304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305</v>
      </c>
      <c r="B3" s="24">
        <v>38846</v>
      </c>
      <c r="C3" s="9">
        <f>MemberOfAssemblyAssemblyDistrict59General[[#This Row],[Part of Kings County Vote Results]]</f>
        <v>38846</v>
      </c>
      <c r="D3" s="10">
        <f>SUM(MemberOfAssemblyAssemblyDistrict59General[[#This Row],[Total Votes by Party]])</f>
        <v>38846</v>
      </c>
    </row>
    <row r="4" spans="1:4" ht="13.8" x14ac:dyDescent="0.3">
      <c r="A4" s="3" t="s">
        <v>0</v>
      </c>
      <c r="B4" s="23">
        <v>10588</v>
      </c>
      <c r="C4" s="9">
        <f>MemberOfAssemblyAssemblyDistrict59General[[#This Row],[Part of Kings County Vote Results]]</f>
        <v>10588</v>
      </c>
      <c r="D4" s="11"/>
    </row>
    <row r="5" spans="1:4" ht="13.8" x14ac:dyDescent="0.3">
      <c r="A5" s="3" t="s">
        <v>1</v>
      </c>
      <c r="B5" s="23">
        <v>1</v>
      </c>
      <c r="C5" s="9">
        <f>MemberOfAssemblyAssemblyDistrict59General[[#This Row],[Part of Kings County Vote Results]]</f>
        <v>1</v>
      </c>
      <c r="D5" s="11"/>
    </row>
    <row r="6" spans="1:4" ht="13.8" x14ac:dyDescent="0.3">
      <c r="A6" s="3" t="s">
        <v>6</v>
      </c>
      <c r="B6" s="23">
        <v>397</v>
      </c>
      <c r="C6" s="9">
        <f>MemberOfAssemblyAssemblyDistrict59General[[#This Row],[Part of Kings County Vote Results]]</f>
        <v>397</v>
      </c>
      <c r="D6" s="11"/>
    </row>
    <row r="7" spans="1:4" ht="13.8" x14ac:dyDescent="0.3">
      <c r="A7" s="13" t="s">
        <v>2</v>
      </c>
      <c r="B7" s="2">
        <f>SUM(MemberOfAssemblyAssemblyDistrict59General[Part of Kings County Vote Results])</f>
        <v>49832</v>
      </c>
      <c r="C7" s="9">
        <f>SUM(MemberOfAssemblyAssemblyDistrict59General[Total Votes by Party])</f>
        <v>49832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5C3B-27D1-422F-BDBD-8F98190608CA}">
  <dimension ref="A1:D11"/>
  <sheetViews>
    <sheetView workbookViewId="0">
      <selection activeCell="B3" sqref="B3: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90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91</v>
      </c>
      <c r="B3" s="21">
        <v>25218</v>
      </c>
      <c r="C3" s="9">
        <f>MemberOfAssemblyAssemblyDistrict6General[[#This Row],[Part of Suffolk County Vote Results]]</f>
        <v>25218</v>
      </c>
      <c r="D3" s="10">
        <f>SUM(MemberOfAssemblyAssemblyDistrict6General[[#This Row],[Total Votes by Party]],C6,C7)</f>
        <v>26801</v>
      </c>
    </row>
    <row r="4" spans="1:4" ht="13.8" x14ac:dyDescent="0.3">
      <c r="A4" s="1" t="s">
        <v>92</v>
      </c>
      <c r="B4" s="21">
        <v>7500</v>
      </c>
      <c r="C4" s="9">
        <f>MemberOfAssemblyAssemblyDistrict6General[[#This Row],[Part of Suffolk County Vote Results]]</f>
        <v>7500</v>
      </c>
      <c r="D4" s="10">
        <f>SUM(MemberOfAssemblyAssemblyDistrict6General[[#This Row],[Total Votes by Party]],C5)</f>
        <v>8523</v>
      </c>
    </row>
    <row r="5" spans="1:4" ht="13.8" x14ac:dyDescent="0.3">
      <c r="A5" s="1" t="s">
        <v>93</v>
      </c>
      <c r="B5" s="21">
        <v>1023</v>
      </c>
      <c r="C5" s="9">
        <f>MemberOfAssemblyAssemblyDistrict6General[[#This Row],[Part of Suffolk County Vote Results]]</f>
        <v>1023</v>
      </c>
      <c r="D5" s="11"/>
    </row>
    <row r="6" spans="1:4" ht="13.8" x14ac:dyDescent="0.3">
      <c r="A6" s="1" t="s">
        <v>94</v>
      </c>
      <c r="B6" s="21">
        <v>1153</v>
      </c>
      <c r="C6" s="9">
        <f>MemberOfAssemblyAssemblyDistrict6General[[#This Row],[Part of Suffolk County Vote Results]]</f>
        <v>1153</v>
      </c>
      <c r="D6" s="11"/>
    </row>
    <row r="7" spans="1:4" ht="13.8" x14ac:dyDescent="0.3">
      <c r="A7" s="1" t="s">
        <v>95</v>
      </c>
      <c r="B7" s="21">
        <v>430</v>
      </c>
      <c r="C7" s="9">
        <f>MemberOfAssemblyAssemblyDistrict6General[[#This Row],[Part of Suffolk County Vote Results]]</f>
        <v>430</v>
      </c>
      <c r="D7" s="11"/>
    </row>
    <row r="8" spans="1:4" ht="13.8" x14ac:dyDescent="0.3">
      <c r="A8" s="3" t="s">
        <v>0</v>
      </c>
      <c r="B8" s="21">
        <v>3427</v>
      </c>
      <c r="C8" s="9">
        <f>MemberOfAssemblyAssemblyDistrict6General[[#This Row],[Part of Suffolk County Vote Results]]</f>
        <v>3427</v>
      </c>
      <c r="D8" s="11"/>
    </row>
    <row r="9" spans="1:4" ht="13.8" x14ac:dyDescent="0.3">
      <c r="A9" s="3" t="s">
        <v>1</v>
      </c>
      <c r="B9" s="21">
        <v>21</v>
      </c>
      <c r="C9" s="9">
        <f>MemberOfAssemblyAssemblyDistrict6General[[#This Row],[Part of Suffolk County Vote Results]]</f>
        <v>21</v>
      </c>
      <c r="D9" s="11"/>
    </row>
    <row r="10" spans="1:4" ht="13.8" x14ac:dyDescent="0.3">
      <c r="A10" s="3" t="s">
        <v>6</v>
      </c>
      <c r="B10" s="21">
        <v>11</v>
      </c>
      <c r="C10" s="9">
        <f>MemberOfAssemblyAssemblyDistrict6General[[#This Row],[Part of Suffolk County Vote Results]]</f>
        <v>11</v>
      </c>
      <c r="D10" s="11"/>
    </row>
    <row r="11" spans="1:4" ht="13.8" x14ac:dyDescent="0.3">
      <c r="A11" s="13" t="s">
        <v>2</v>
      </c>
      <c r="B11" s="21">
        <f>SUM(MemberOfAssemblyAssemblyDistrict6General[Part of Suffolk County Vote Results])</f>
        <v>38783</v>
      </c>
      <c r="C11" s="9">
        <f>SUM(MemberOfAssemblyAssemblyDistrict6General[Total Votes by Party])</f>
        <v>38783</v>
      </c>
      <c r="D11" s="11"/>
    </row>
  </sheetData>
  <pageMargins left="0.7" right="0.7" top="0.75" bottom="0.75" header="0.3" footer="0.3"/>
  <ignoredErrors>
    <ignoredError sqref="D4" calculatedColumn="1"/>
  </ignoredErrors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44FA-852A-4298-82A7-E3AD2C6970D1}">
  <dimension ref="A1:D7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306</v>
      </c>
    </row>
    <row r="2" spans="1:4" ht="27.6" x14ac:dyDescent="0.25">
      <c r="A2" s="5" t="s">
        <v>5</v>
      </c>
      <c r="B2" s="6" t="s">
        <v>24</v>
      </c>
      <c r="C2" s="7" t="s">
        <v>3</v>
      </c>
      <c r="D2" s="8" t="s">
        <v>4</v>
      </c>
    </row>
    <row r="3" spans="1:4" ht="13.8" x14ac:dyDescent="0.3">
      <c r="A3" s="1" t="s">
        <v>307</v>
      </c>
      <c r="B3" s="24">
        <v>39597</v>
      </c>
      <c r="C3" s="9">
        <f>MemberOfAssemblyAssemblyDistrict60General[[#This Row],[Part of Kings County Vote Results]]</f>
        <v>39597</v>
      </c>
      <c r="D3" s="10">
        <f>SUM(MemberOfAssemblyAssemblyDistrict60General[[#This Row],[Total Votes by Party]])</f>
        <v>39597</v>
      </c>
    </row>
    <row r="4" spans="1:4" ht="13.8" x14ac:dyDescent="0.3">
      <c r="A4" s="3" t="s">
        <v>0</v>
      </c>
      <c r="B4" s="23">
        <v>4709</v>
      </c>
      <c r="C4" s="9">
        <f>MemberOfAssemblyAssemblyDistrict60General[[#This Row],[Part of Kings County Vote Results]]</f>
        <v>4709</v>
      </c>
      <c r="D4" s="11"/>
    </row>
    <row r="5" spans="1:4" ht="13.8" x14ac:dyDescent="0.3">
      <c r="A5" s="3" t="s">
        <v>1</v>
      </c>
      <c r="B5" s="23">
        <v>0</v>
      </c>
      <c r="C5" s="9">
        <f>MemberOfAssemblyAssemblyDistrict60General[[#This Row],[Part of Kings County Vote Results]]</f>
        <v>0</v>
      </c>
      <c r="D5" s="11"/>
    </row>
    <row r="6" spans="1:4" ht="13.8" x14ac:dyDescent="0.3">
      <c r="A6" s="3" t="s">
        <v>6</v>
      </c>
      <c r="B6" s="23">
        <v>146</v>
      </c>
      <c r="C6" s="9">
        <f>MemberOfAssemblyAssemblyDistrict60General[[#This Row],[Part of Kings County Vote Results]]</f>
        <v>146</v>
      </c>
      <c r="D6" s="11"/>
    </row>
    <row r="7" spans="1:4" ht="13.8" x14ac:dyDescent="0.3">
      <c r="A7" s="13" t="s">
        <v>2</v>
      </c>
      <c r="B7" s="2">
        <f>SUM(MemberOfAssemblyAssemblyDistrict60General[Part of Kings County Vote Results])</f>
        <v>44452</v>
      </c>
      <c r="C7" s="9">
        <f>SUM(MemberOfAssemblyAssemblyDistrict60General[Total Votes by Party])</f>
        <v>44452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9AD6-DC5E-477E-A2AF-DFA66A1FA48D}">
  <dimension ref="A1:D10"/>
  <sheetViews>
    <sheetView workbookViewId="0">
      <selection activeCell="D16" sqref="D1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308</v>
      </c>
    </row>
    <row r="2" spans="1:4" ht="27.6" x14ac:dyDescent="0.25">
      <c r="A2" s="5" t="s">
        <v>5</v>
      </c>
      <c r="B2" s="6" t="s">
        <v>45</v>
      </c>
      <c r="C2" s="7" t="s">
        <v>3</v>
      </c>
      <c r="D2" s="8" t="s">
        <v>4</v>
      </c>
    </row>
    <row r="3" spans="1:4" ht="13.8" x14ac:dyDescent="0.3">
      <c r="A3" s="1" t="s">
        <v>309</v>
      </c>
      <c r="B3" s="2">
        <v>32185</v>
      </c>
      <c r="C3" s="9">
        <f>MemberOfAssemblyAssemblyDistrict61General[[#This Row],[Part of Richmond County Vote Results]]</f>
        <v>32185</v>
      </c>
      <c r="D3" s="10">
        <f>SUM(MemberOfAssemblyAssemblyDistrict61General[[#This Row],[Total Votes by Party]],C6)</f>
        <v>32905</v>
      </c>
    </row>
    <row r="4" spans="1:4" ht="13.8" x14ac:dyDescent="0.3">
      <c r="A4" s="1" t="s">
        <v>310</v>
      </c>
      <c r="B4" s="2">
        <v>13015</v>
      </c>
      <c r="C4" s="9">
        <f>MemberOfAssemblyAssemblyDistrict61General[[#This Row],[Part of Richmond County Vote Results]]</f>
        <v>13015</v>
      </c>
      <c r="D4" s="10">
        <f>SUM(MemberOfAssemblyAssemblyDistrict61General[[#This Row],[Total Votes by Party]],C5)</f>
        <v>14870</v>
      </c>
    </row>
    <row r="5" spans="1:4" ht="13.8" x14ac:dyDescent="0.3">
      <c r="A5" s="1" t="s">
        <v>311</v>
      </c>
      <c r="B5" s="2">
        <v>1855</v>
      </c>
      <c r="C5" s="9">
        <f>MemberOfAssemblyAssemblyDistrict61General[[#This Row],[Part of Richmond County Vote Results]]</f>
        <v>1855</v>
      </c>
      <c r="D5" s="11"/>
    </row>
    <row r="6" spans="1:4" ht="13.8" x14ac:dyDescent="0.3">
      <c r="A6" s="1" t="s">
        <v>312</v>
      </c>
      <c r="B6" s="2">
        <v>720</v>
      </c>
      <c r="C6" s="9">
        <f>MemberOfAssemblyAssemblyDistrict61General[[#This Row],[Part of Richmond County Vote Results]]</f>
        <v>720</v>
      </c>
      <c r="D6" s="11"/>
    </row>
    <row r="7" spans="1:4" ht="13.8" x14ac:dyDescent="0.3">
      <c r="A7" s="3" t="s">
        <v>0</v>
      </c>
      <c r="B7" s="2">
        <v>2244</v>
      </c>
      <c r="C7" s="9">
        <f>MemberOfAssemblyAssemblyDistrict61General[[#This Row],[Part of Richmond County Vote Results]]</f>
        <v>2244</v>
      </c>
      <c r="D7" s="11"/>
    </row>
    <row r="8" spans="1:4" ht="13.8" x14ac:dyDescent="0.3">
      <c r="A8" s="3" t="s">
        <v>1</v>
      </c>
      <c r="B8" s="2">
        <v>5</v>
      </c>
      <c r="C8" s="9">
        <f>MemberOfAssemblyAssemblyDistrict61General[[#This Row],[Part of Richmond County Vote Results]]</f>
        <v>5</v>
      </c>
      <c r="D8" s="11"/>
    </row>
    <row r="9" spans="1:4" ht="13.8" x14ac:dyDescent="0.3">
      <c r="A9" s="3" t="s">
        <v>6</v>
      </c>
      <c r="B9" s="2">
        <v>50</v>
      </c>
      <c r="C9" s="9">
        <f>MemberOfAssemblyAssemblyDistrict61General[[#This Row],[Part of Richmond County Vote Results]]</f>
        <v>50</v>
      </c>
      <c r="D9" s="11"/>
    </row>
    <row r="10" spans="1:4" ht="13.8" x14ac:dyDescent="0.3">
      <c r="A10" s="13" t="s">
        <v>2</v>
      </c>
      <c r="B10" s="2">
        <f>SUM(MemberOfAssemblyAssemblyDistrict61General[Part of Richmond County Vote Results])</f>
        <v>50074</v>
      </c>
      <c r="C10" s="9">
        <f>SUM(MemberOfAssemblyAssemblyDistrict61General[Total Votes by Party])</f>
        <v>50074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B411-CCFA-46AD-A205-DDACD8DBBBC6}">
  <dimension ref="A1:D8"/>
  <sheetViews>
    <sheetView workbookViewId="0">
      <selection activeCell="D10" sqref="D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313</v>
      </c>
    </row>
    <row r="2" spans="1:4" ht="27.6" x14ac:dyDescent="0.25">
      <c r="A2" s="5" t="s">
        <v>5</v>
      </c>
      <c r="B2" s="6" t="s">
        <v>45</v>
      </c>
      <c r="C2" s="7" t="s">
        <v>3</v>
      </c>
      <c r="D2" s="8" t="s">
        <v>4</v>
      </c>
    </row>
    <row r="3" spans="1:4" ht="13.8" x14ac:dyDescent="0.3">
      <c r="A3" s="1" t="s">
        <v>314</v>
      </c>
      <c r="B3" s="2">
        <v>50712</v>
      </c>
      <c r="C3" s="9">
        <f>MemberOfAssemblyAssemblyDistrict62General[[#This Row],[Part of Richmond County Vote Results]]</f>
        <v>50712</v>
      </c>
      <c r="D3" s="10">
        <f>SUM(MemberOfAssemblyAssemblyDistrict62General[[#This Row],[Total Votes by Party]],C4)</f>
        <v>55953</v>
      </c>
    </row>
    <row r="4" spans="1:4" ht="13.8" x14ac:dyDescent="0.3">
      <c r="A4" s="1" t="s">
        <v>315</v>
      </c>
      <c r="B4" s="2">
        <v>5241</v>
      </c>
      <c r="C4" s="9">
        <f>MemberOfAssemblyAssemblyDistrict62General[[#This Row],[Part of Richmond County Vote Results]]</f>
        <v>5241</v>
      </c>
      <c r="D4" s="11"/>
    </row>
    <row r="5" spans="1:4" ht="13.8" x14ac:dyDescent="0.3">
      <c r="A5" s="3" t="s">
        <v>0</v>
      </c>
      <c r="B5" s="2">
        <v>10718</v>
      </c>
      <c r="C5" s="9">
        <f>MemberOfAssemblyAssemblyDistrict62General[[#This Row],[Part of Richmond County Vote Results]]</f>
        <v>10718</v>
      </c>
      <c r="D5" s="11"/>
    </row>
    <row r="6" spans="1:4" ht="13.8" x14ac:dyDescent="0.3">
      <c r="A6" s="3" t="s">
        <v>1</v>
      </c>
      <c r="B6" s="2">
        <v>7</v>
      </c>
      <c r="C6" s="9">
        <f>MemberOfAssemblyAssemblyDistrict62General[[#This Row],[Part of Richmond County Vote Results]]</f>
        <v>7</v>
      </c>
      <c r="D6" s="11"/>
    </row>
    <row r="7" spans="1:4" ht="13.8" x14ac:dyDescent="0.3">
      <c r="A7" s="3" t="s">
        <v>6</v>
      </c>
      <c r="B7" s="2">
        <v>470</v>
      </c>
      <c r="C7" s="9">
        <f>MemberOfAssemblyAssemblyDistrict62General[[#This Row],[Part of Richmond County Vote Results]]</f>
        <v>470</v>
      </c>
      <c r="D7" s="11"/>
    </row>
    <row r="8" spans="1:4" ht="13.8" x14ac:dyDescent="0.3">
      <c r="A8" s="13" t="s">
        <v>2</v>
      </c>
      <c r="B8" s="2">
        <f>SUM(MemberOfAssemblyAssemblyDistrict62General[Part of Richmond County Vote Results])</f>
        <v>67148</v>
      </c>
      <c r="C8" s="9">
        <f>SUM(MemberOfAssemblyAssemblyDistrict62General[Total Votes by Party])</f>
        <v>67148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8FAE-F85A-4AA5-A900-804A15B7E715}">
  <dimension ref="A1:D11"/>
  <sheetViews>
    <sheetView workbookViewId="0">
      <selection activeCell="C15" sqref="C15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316</v>
      </c>
    </row>
    <row r="2" spans="1:4" ht="27.6" x14ac:dyDescent="0.25">
      <c r="A2" s="5" t="s">
        <v>5</v>
      </c>
      <c r="B2" s="6" t="s">
        <v>45</v>
      </c>
      <c r="C2" s="7" t="s">
        <v>3</v>
      </c>
      <c r="D2" s="8" t="s">
        <v>4</v>
      </c>
    </row>
    <row r="3" spans="1:4" ht="13.8" x14ac:dyDescent="0.3">
      <c r="A3" s="1" t="s">
        <v>317</v>
      </c>
      <c r="B3" s="2">
        <v>28035</v>
      </c>
      <c r="C3" s="9">
        <f>MemberOfAssemblyAssemblyDistrict63General[[#This Row],[Part of Richmond County Vote Results]]</f>
        <v>28035</v>
      </c>
      <c r="D3" s="10">
        <f>SUM(MemberOfAssemblyAssemblyDistrict63General[[#This Row],[Total Votes by Party]],C6)</f>
        <v>28776</v>
      </c>
    </row>
    <row r="4" spans="1:4" ht="13.8" x14ac:dyDescent="0.3">
      <c r="A4" s="1" t="s">
        <v>318</v>
      </c>
      <c r="B4" s="2">
        <v>23636</v>
      </c>
      <c r="C4" s="9">
        <f>MemberOfAssemblyAssemblyDistrict63General[[#This Row],[Part of Richmond County Vote Results]]</f>
        <v>23636</v>
      </c>
      <c r="D4" s="10">
        <f>SUM(MemberOfAssemblyAssemblyDistrict63General[[#This Row],[Total Votes by Party]],C5,C7)</f>
        <v>25740</v>
      </c>
    </row>
    <row r="5" spans="1:4" ht="13.8" x14ac:dyDescent="0.3">
      <c r="A5" s="1" t="s">
        <v>319</v>
      </c>
      <c r="B5" s="2">
        <v>1984</v>
      </c>
      <c r="C5" s="9">
        <f>MemberOfAssemblyAssemblyDistrict63General[[#This Row],[Part of Richmond County Vote Results]]</f>
        <v>1984</v>
      </c>
      <c r="D5" s="11"/>
    </row>
    <row r="6" spans="1:4" ht="13.8" x14ac:dyDescent="0.3">
      <c r="A6" s="1" t="s">
        <v>320</v>
      </c>
      <c r="B6" s="2">
        <v>741</v>
      </c>
      <c r="C6" s="9">
        <f>MemberOfAssemblyAssemblyDistrict63General[[#This Row],[Part of Richmond County Vote Results]]</f>
        <v>741</v>
      </c>
      <c r="D6" s="11"/>
    </row>
    <row r="7" spans="1:4" ht="13.8" x14ac:dyDescent="0.3">
      <c r="A7" s="1" t="s">
        <v>321</v>
      </c>
      <c r="B7" s="2">
        <v>120</v>
      </c>
      <c r="C7" s="9">
        <f>MemberOfAssemblyAssemblyDistrict63General[[#This Row],[Part of Richmond County Vote Results]]</f>
        <v>120</v>
      </c>
      <c r="D7" s="11"/>
    </row>
    <row r="8" spans="1:4" ht="13.8" x14ac:dyDescent="0.3">
      <c r="A8" s="3" t="s">
        <v>0</v>
      </c>
      <c r="B8" s="2">
        <v>2767</v>
      </c>
      <c r="C8" s="9">
        <f>MemberOfAssemblyAssemblyDistrict63General[[#This Row],[Part of Richmond County Vote Results]]</f>
        <v>2767</v>
      </c>
      <c r="D8" s="11"/>
    </row>
    <row r="9" spans="1:4" ht="13.8" x14ac:dyDescent="0.3">
      <c r="A9" s="3" t="s">
        <v>1</v>
      </c>
      <c r="B9" s="2">
        <v>6</v>
      </c>
      <c r="C9" s="9">
        <f>MemberOfAssemblyAssemblyDistrict63General[[#This Row],[Part of Richmond County Vote Results]]</f>
        <v>6</v>
      </c>
      <c r="D9" s="11"/>
    </row>
    <row r="10" spans="1:4" ht="13.8" x14ac:dyDescent="0.3">
      <c r="A10" s="3" t="s">
        <v>6</v>
      </c>
      <c r="B10" s="2">
        <v>58</v>
      </c>
      <c r="C10" s="9">
        <f>MemberOfAssemblyAssemblyDistrict63General[[#This Row],[Part of Richmond County Vote Results]]</f>
        <v>58</v>
      </c>
      <c r="D10" s="11"/>
    </row>
    <row r="11" spans="1:4" ht="13.8" x14ac:dyDescent="0.3">
      <c r="A11" s="13" t="s">
        <v>2</v>
      </c>
      <c r="B11" s="2">
        <f>SUM(MemberOfAssemblyAssemblyDistrict63General[Part of Richmond County Vote Results])</f>
        <v>57347</v>
      </c>
      <c r="C11" s="9">
        <f>SUM(MemberOfAssemblyAssemblyDistrict63General[Total Votes by Party])</f>
        <v>57347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D206-6EB7-49DE-833D-D648FC6FE750}">
  <dimension ref="A1:E10"/>
  <sheetViews>
    <sheetView workbookViewId="0">
      <selection activeCell="D13" sqref="D13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322</v>
      </c>
    </row>
    <row r="2" spans="1:5" ht="27.6" x14ac:dyDescent="0.25">
      <c r="A2" s="5" t="s">
        <v>5</v>
      </c>
      <c r="B2" s="6" t="s">
        <v>24</v>
      </c>
      <c r="C2" s="6" t="s">
        <v>45</v>
      </c>
      <c r="D2" s="7" t="s">
        <v>3</v>
      </c>
      <c r="E2" s="8" t="s">
        <v>4</v>
      </c>
    </row>
    <row r="3" spans="1:5" ht="13.8" x14ac:dyDescent="0.3">
      <c r="A3" s="1" t="s">
        <v>323</v>
      </c>
      <c r="B3" s="25">
        <v>7086</v>
      </c>
      <c r="C3" s="2">
        <v>13990</v>
      </c>
      <c r="D3" s="9">
        <f>SUM(MemberOfAssemblyAssemblyDistrict64General[[#This Row],[Part of Kings County Vote Results]:[Part of Richmond County Vote Results]])</f>
        <v>21076</v>
      </c>
      <c r="E3" s="10">
        <f>SUM(MemberOfAssemblyAssemblyDistrict64General[[#This Row],[Total Votes by Party]],D6)</f>
        <v>21697</v>
      </c>
    </row>
    <row r="4" spans="1:5" ht="13.8" x14ac:dyDescent="0.3">
      <c r="A4" s="1" t="s">
        <v>324</v>
      </c>
      <c r="B4" s="27">
        <v>3744</v>
      </c>
      <c r="C4" s="2">
        <v>24144</v>
      </c>
      <c r="D4" s="9">
        <f>SUM(MemberOfAssemblyAssemblyDistrict64General[[#This Row],[Part of Kings County Vote Results]:[Part of Richmond County Vote Results]])</f>
        <v>27888</v>
      </c>
      <c r="E4" s="10">
        <f>SUM(MemberOfAssemblyAssemblyDistrict64General[[#This Row],[Total Votes by Party]],D5)</f>
        <v>30630</v>
      </c>
    </row>
    <row r="5" spans="1:5" ht="13.8" x14ac:dyDescent="0.3">
      <c r="A5" s="1" t="s">
        <v>325</v>
      </c>
      <c r="B5" s="26">
        <v>507</v>
      </c>
      <c r="C5" s="2">
        <v>2235</v>
      </c>
      <c r="D5" s="9">
        <f>SUM(MemberOfAssemblyAssemblyDistrict64General[[#This Row],[Part of Kings County Vote Results]:[Part of Richmond County Vote Results]])</f>
        <v>2742</v>
      </c>
      <c r="E5" s="11"/>
    </row>
    <row r="6" spans="1:5" ht="13.8" x14ac:dyDescent="0.3">
      <c r="A6" s="1" t="s">
        <v>326</v>
      </c>
      <c r="B6" s="26">
        <v>126</v>
      </c>
      <c r="C6" s="2">
        <v>495</v>
      </c>
      <c r="D6" s="9">
        <f>SUM(MemberOfAssemblyAssemblyDistrict64General[[#This Row],[Part of Kings County Vote Results]:[Part of Richmond County Vote Results]])</f>
        <v>621</v>
      </c>
      <c r="E6" s="11"/>
    </row>
    <row r="7" spans="1:5" ht="13.8" x14ac:dyDescent="0.3">
      <c r="A7" s="3" t="s">
        <v>0</v>
      </c>
      <c r="B7" s="26">
        <v>489</v>
      </c>
      <c r="C7" s="2">
        <v>2410</v>
      </c>
      <c r="D7" s="9">
        <f>SUM(MemberOfAssemblyAssemblyDistrict64General[[#This Row],[Part of Kings County Vote Results]:[Part of Richmond County Vote Results]])</f>
        <v>2899</v>
      </c>
      <c r="E7" s="11"/>
    </row>
    <row r="8" spans="1:5" ht="13.8" x14ac:dyDescent="0.3">
      <c r="A8" s="3" t="s">
        <v>1</v>
      </c>
      <c r="B8" s="26">
        <v>0</v>
      </c>
      <c r="C8" s="2">
        <v>6</v>
      </c>
      <c r="D8" s="9">
        <f>SUM(MemberOfAssemblyAssemblyDistrict64General[[#This Row],[Part of Kings County Vote Results]:[Part of Richmond County Vote Results]])</f>
        <v>6</v>
      </c>
      <c r="E8" s="11"/>
    </row>
    <row r="9" spans="1:5" ht="13.8" x14ac:dyDescent="0.3">
      <c r="A9" s="3" t="s">
        <v>6</v>
      </c>
      <c r="B9" s="28">
        <v>10</v>
      </c>
      <c r="C9" s="2">
        <v>47</v>
      </c>
      <c r="D9" s="9">
        <f>SUM(MemberOfAssemblyAssemblyDistrict64General[[#This Row],[Part of Kings County Vote Results]:[Part of Richmond County Vote Results]])</f>
        <v>57</v>
      </c>
      <c r="E9" s="11"/>
    </row>
    <row r="10" spans="1:5" ht="13.8" x14ac:dyDescent="0.3">
      <c r="A10" s="13" t="s">
        <v>2</v>
      </c>
      <c r="B10" s="2">
        <f>SUM(MemberOfAssemblyAssemblyDistrict64General[Part of Kings County Vote Results])</f>
        <v>11962</v>
      </c>
      <c r="C10" s="2">
        <f>SUM(MemberOfAssemblyAssemblyDistrict64General[Part of Richmond County Vote Results])</f>
        <v>43327</v>
      </c>
      <c r="D10" s="9">
        <f>SUM(D3:D9)</f>
        <v>55289</v>
      </c>
      <c r="E10" s="11"/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D9B6-5E86-4BC4-AD60-7AB51F5894B9}">
  <dimension ref="A1:D8"/>
  <sheetViews>
    <sheetView workbookViewId="0">
      <selection activeCell="D3" sqref="D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327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328</v>
      </c>
      <c r="B3" s="2">
        <v>34480</v>
      </c>
      <c r="C3" s="9">
        <f>MemberOfAssemblyAssemblyDistrict65General[[#This Row],[Part of New York County Vote Results]]</f>
        <v>34480</v>
      </c>
      <c r="D3" s="10">
        <f>SUM(MemberOfAssemblyAssemblyDistrict65General[[#This Row],[Total Votes by Party]],C4)</f>
        <v>40554</v>
      </c>
    </row>
    <row r="4" spans="1:4" ht="13.8" x14ac:dyDescent="0.3">
      <c r="A4" s="1" t="s">
        <v>329</v>
      </c>
      <c r="B4" s="2">
        <v>6074</v>
      </c>
      <c r="C4" s="9">
        <f>MemberOfAssemblyAssemblyDistrict65General[[#This Row],[Part of New York County Vote Results]]</f>
        <v>6074</v>
      </c>
      <c r="D4" s="11"/>
    </row>
    <row r="5" spans="1:4" ht="13.8" x14ac:dyDescent="0.3">
      <c r="A5" s="3" t="s">
        <v>0</v>
      </c>
      <c r="B5" s="2">
        <v>7561</v>
      </c>
      <c r="C5" s="9">
        <f>MemberOfAssemblyAssemblyDistrict65General[[#This Row],[Part of New York County Vote Results]]</f>
        <v>7561</v>
      </c>
      <c r="D5" s="11"/>
    </row>
    <row r="6" spans="1:4" ht="13.8" x14ac:dyDescent="0.3">
      <c r="A6" s="3" t="s">
        <v>1</v>
      </c>
      <c r="B6" s="2">
        <v>1</v>
      </c>
      <c r="C6" s="9">
        <f>MemberOfAssemblyAssemblyDistrict65General[[#This Row],[Part of New York County Vote Results]]</f>
        <v>1</v>
      </c>
      <c r="D6" s="11"/>
    </row>
    <row r="7" spans="1:4" ht="13.8" x14ac:dyDescent="0.3">
      <c r="A7" s="3" t="s">
        <v>6</v>
      </c>
      <c r="B7" s="2">
        <v>373</v>
      </c>
      <c r="C7" s="9">
        <f>MemberOfAssemblyAssemblyDistrict65General[[#This Row],[Part of New York County Vote Results]]</f>
        <v>373</v>
      </c>
      <c r="D7" s="11"/>
    </row>
    <row r="8" spans="1:4" ht="13.8" x14ac:dyDescent="0.3">
      <c r="A8" s="13" t="s">
        <v>2</v>
      </c>
      <c r="B8" s="2">
        <f>SUM(MemberOfAssemblyAssemblyDistrict65General[Part of New York County Vote Results])</f>
        <v>48489</v>
      </c>
      <c r="C8" s="9">
        <f>SUM(MemberOfAssemblyAssemblyDistrict65General[Total Votes by Party])</f>
        <v>48489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9F7-8987-4DCC-9C36-7C036E11A2B8}">
  <dimension ref="A1:D8"/>
  <sheetViews>
    <sheetView workbookViewId="0">
      <selection activeCell="D17" sqref="D17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330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331</v>
      </c>
      <c r="B3" s="2">
        <v>47688</v>
      </c>
      <c r="C3" s="9">
        <f>MemberOfAssemblyAssemblyDistrict66General[[#This Row],[Part of New York County Vote Results]]</f>
        <v>47688</v>
      </c>
      <c r="D3" s="10">
        <f>SUM(MemberOfAssemblyAssemblyDistrict66General[[#This Row],[Total Votes by Party]])</f>
        <v>47688</v>
      </c>
    </row>
    <row r="4" spans="1:4" ht="13.8" x14ac:dyDescent="0.3">
      <c r="A4" s="1" t="s">
        <v>332</v>
      </c>
      <c r="B4" s="2">
        <v>8431</v>
      </c>
      <c r="C4" s="9">
        <f>MemberOfAssemblyAssemblyDistrict66General[[#This Row],[Part of New York County Vote Results]]</f>
        <v>8431</v>
      </c>
      <c r="D4" s="10">
        <f>SUM(MemberOfAssemblyAssemblyDistrict66General[[#This Row],[Total Votes by Party]])</f>
        <v>8431</v>
      </c>
    </row>
    <row r="5" spans="1:4" ht="13.8" x14ac:dyDescent="0.3">
      <c r="A5" s="3" t="s">
        <v>0</v>
      </c>
      <c r="B5" s="2">
        <v>2555</v>
      </c>
      <c r="C5" s="9">
        <f>MemberOfAssemblyAssemblyDistrict66General[[#This Row],[Part of New York County Vote Results]]</f>
        <v>2555</v>
      </c>
      <c r="D5" s="11"/>
    </row>
    <row r="6" spans="1:4" ht="13.8" x14ac:dyDescent="0.3">
      <c r="A6" s="3" t="s">
        <v>1</v>
      </c>
      <c r="B6" s="2">
        <v>0</v>
      </c>
      <c r="C6" s="9">
        <f>MemberOfAssemblyAssemblyDistrict66General[[#This Row],[Part of New York County Vote Results]]</f>
        <v>0</v>
      </c>
      <c r="D6" s="11"/>
    </row>
    <row r="7" spans="1:4" ht="13.8" x14ac:dyDescent="0.3">
      <c r="A7" s="3" t="s">
        <v>6</v>
      </c>
      <c r="B7" s="2">
        <v>68</v>
      </c>
      <c r="C7" s="9">
        <f>MemberOfAssemblyAssemblyDistrict66General[[#This Row],[Part of New York County Vote Results]]</f>
        <v>68</v>
      </c>
      <c r="D7" s="11"/>
    </row>
    <row r="8" spans="1:4" ht="13.8" x14ac:dyDescent="0.3">
      <c r="A8" s="13" t="s">
        <v>2</v>
      </c>
      <c r="B8" s="2">
        <f>SUM(MemberOfAssemblyAssemblyDistrict66General[Part of New York County Vote Results])</f>
        <v>58742</v>
      </c>
      <c r="C8" s="9">
        <f>SUM(MemberOfAssemblyAssemblyDistrict66General[Total Votes by Party])</f>
        <v>58742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C252-0CD4-446F-9C6C-DE22461F3F65}">
  <dimension ref="A1:D8"/>
  <sheetViews>
    <sheetView workbookViewId="0">
      <selection activeCell="D14" sqref="D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333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334</v>
      </c>
      <c r="B3" s="2">
        <v>50887</v>
      </c>
      <c r="C3" s="9">
        <f>MemberOfAssemblyAssemblyDistrict67General[[#This Row],[Part of New York County Vote Results]]</f>
        <v>50887</v>
      </c>
      <c r="D3" s="10">
        <f>SUM(MemberOfAssemblyAssemblyDistrict67General[[#This Row],[Total Votes by Party]],C4)</f>
        <v>57883</v>
      </c>
    </row>
    <row r="4" spans="1:4" ht="13.8" x14ac:dyDescent="0.3">
      <c r="A4" s="1" t="s">
        <v>335</v>
      </c>
      <c r="B4" s="2">
        <v>6996</v>
      </c>
      <c r="C4" s="9">
        <f>MemberOfAssemblyAssemblyDistrict67General[[#This Row],[Part of New York County Vote Results]]</f>
        <v>6996</v>
      </c>
      <c r="D4" s="11"/>
    </row>
    <row r="5" spans="1:4" ht="13.8" x14ac:dyDescent="0.3">
      <c r="A5" s="3" t="s">
        <v>0</v>
      </c>
      <c r="B5" s="2">
        <v>8934</v>
      </c>
      <c r="C5" s="9">
        <f>MemberOfAssemblyAssemblyDistrict67General[[#This Row],[Part of New York County Vote Results]]</f>
        <v>8934</v>
      </c>
      <c r="D5" s="11"/>
    </row>
    <row r="6" spans="1:4" ht="13.8" x14ac:dyDescent="0.3">
      <c r="A6" s="3" t="s">
        <v>1</v>
      </c>
      <c r="B6" s="2">
        <v>3</v>
      </c>
      <c r="C6" s="9">
        <f>MemberOfAssemblyAssemblyDistrict67General[[#This Row],[Part of New York County Vote Results]]</f>
        <v>3</v>
      </c>
      <c r="D6" s="11"/>
    </row>
    <row r="7" spans="1:4" ht="13.8" x14ac:dyDescent="0.3">
      <c r="A7" s="3" t="s">
        <v>6</v>
      </c>
      <c r="B7" s="2">
        <v>2268</v>
      </c>
      <c r="C7" s="9">
        <f>MemberOfAssemblyAssemblyDistrict67General[[#This Row],[Part of New York County Vote Results]]</f>
        <v>2268</v>
      </c>
      <c r="D7" s="11"/>
    </row>
    <row r="8" spans="1:4" ht="13.8" x14ac:dyDescent="0.3">
      <c r="A8" s="13" t="s">
        <v>2</v>
      </c>
      <c r="B8" s="2">
        <f>SUM(MemberOfAssemblyAssemblyDistrict67General[Part of New York County Vote Results])</f>
        <v>69088</v>
      </c>
      <c r="C8" s="9">
        <f>SUM(MemberOfAssemblyAssemblyDistrict67General[Total Votes by Party])</f>
        <v>69088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2D75-194A-4685-9FC7-AEED5765906F}">
  <dimension ref="A1:D8"/>
  <sheetViews>
    <sheetView workbookViewId="0">
      <selection activeCell="D4" sqref="D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336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337</v>
      </c>
      <c r="B3" s="2">
        <v>41238</v>
      </c>
      <c r="C3" s="9">
        <f>MemberOfAssemblyAssemblyDistrict68General[[#This Row],[Part of New York County Vote Results]]</f>
        <v>41238</v>
      </c>
      <c r="D3" s="10">
        <f>SUM(MemberOfAssemblyAssemblyDistrict68General[[#This Row],[Total Votes by Party]])</f>
        <v>41238</v>
      </c>
    </row>
    <row r="4" spans="1:4" ht="13.8" x14ac:dyDescent="0.3">
      <c r="A4" s="1" t="s">
        <v>338</v>
      </c>
      <c r="B4" s="2">
        <v>4608</v>
      </c>
      <c r="C4" s="9">
        <f>MemberOfAssemblyAssemblyDistrict68General[[#This Row],[Part of New York County Vote Results]]</f>
        <v>4608</v>
      </c>
      <c r="D4" s="10">
        <f>SUM(MemberOfAssemblyAssemblyDistrict68General[[#This Row],[Total Votes by Party]])</f>
        <v>4608</v>
      </c>
    </row>
    <row r="5" spans="1:4" ht="13.8" x14ac:dyDescent="0.3">
      <c r="A5" s="3" t="s">
        <v>0</v>
      </c>
      <c r="B5" s="2">
        <v>3340</v>
      </c>
      <c r="C5" s="9">
        <f>MemberOfAssemblyAssemblyDistrict68General[[#This Row],[Part of New York County Vote Results]]</f>
        <v>3340</v>
      </c>
      <c r="D5" s="11"/>
    </row>
    <row r="6" spans="1:4" ht="13.8" x14ac:dyDescent="0.3">
      <c r="A6" s="3" t="s">
        <v>1</v>
      </c>
      <c r="B6" s="2">
        <v>3</v>
      </c>
      <c r="C6" s="9">
        <f>MemberOfAssemblyAssemblyDistrict68General[[#This Row],[Part of New York County Vote Results]]</f>
        <v>3</v>
      </c>
      <c r="D6" s="11"/>
    </row>
    <row r="7" spans="1:4" ht="13.8" x14ac:dyDescent="0.3">
      <c r="A7" s="3" t="s">
        <v>6</v>
      </c>
      <c r="B7" s="2">
        <v>52</v>
      </c>
      <c r="C7" s="9">
        <f>MemberOfAssemblyAssemblyDistrict68General[[#This Row],[Part of New York County Vote Results]]</f>
        <v>52</v>
      </c>
      <c r="D7" s="11"/>
    </row>
    <row r="8" spans="1:4" ht="13.8" x14ac:dyDescent="0.3">
      <c r="A8" s="13" t="s">
        <v>2</v>
      </c>
      <c r="B8" s="2">
        <f>SUM(MemberOfAssemblyAssemblyDistrict68General[Part of New York County Vote Results])</f>
        <v>49241</v>
      </c>
      <c r="C8" s="9">
        <f>SUM(MemberOfAssemblyAssemblyDistrict68General[Total Votes by Party])</f>
        <v>49241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CC8A-BE33-44B9-BA84-E9C799344738}">
  <dimension ref="A1:D7"/>
  <sheetViews>
    <sheetView workbookViewId="0">
      <selection activeCell="D3" sqref="D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339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340</v>
      </c>
      <c r="B3" s="2">
        <v>52354</v>
      </c>
      <c r="C3" s="9">
        <f>MemberOfAssemblyAssemblyDistrict69General[[#This Row],[Part of New York County Vote Results]]</f>
        <v>52354</v>
      </c>
      <c r="D3" s="10">
        <f>SUM(MemberOfAssemblyAssemblyDistrict69General[[#This Row],[Total Votes by Party]])</f>
        <v>52354</v>
      </c>
    </row>
    <row r="4" spans="1:4" ht="13.8" x14ac:dyDescent="0.3">
      <c r="A4" s="3" t="s">
        <v>0</v>
      </c>
      <c r="B4" s="2">
        <v>7632</v>
      </c>
      <c r="C4" s="9">
        <f>MemberOfAssemblyAssemblyDistrict69General[[#This Row],[Part of New York County Vote Results]]</f>
        <v>7632</v>
      </c>
      <c r="D4" s="11"/>
    </row>
    <row r="5" spans="1:4" ht="13.8" x14ac:dyDescent="0.3">
      <c r="A5" s="3" t="s">
        <v>1</v>
      </c>
      <c r="B5" s="2">
        <v>5</v>
      </c>
      <c r="C5" s="9">
        <f>MemberOfAssemblyAssemblyDistrict69General[[#This Row],[Part of New York County Vote Results]]</f>
        <v>5</v>
      </c>
      <c r="D5" s="11"/>
    </row>
    <row r="6" spans="1:4" ht="13.8" x14ac:dyDescent="0.3">
      <c r="A6" s="3" t="s">
        <v>6</v>
      </c>
      <c r="B6" s="2">
        <v>521</v>
      </c>
      <c r="C6" s="9">
        <f>MemberOfAssemblyAssemblyDistrict69General[[#This Row],[Part of New York County Vote Results]]</f>
        <v>521</v>
      </c>
      <c r="D6" s="11"/>
    </row>
    <row r="7" spans="1:4" ht="13.8" x14ac:dyDescent="0.3">
      <c r="A7" s="13" t="s">
        <v>2</v>
      </c>
      <c r="B7" s="2">
        <f>SUM(MemberOfAssemblyAssemblyDistrict69General[Part of New York County Vote Results])</f>
        <v>60512</v>
      </c>
      <c r="C7" s="9">
        <f>SUM(MemberOfAssemblyAssemblyDistrict69General[Total Votes by Party])</f>
        <v>60512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3C83-58E0-4470-A351-DF416BDDC311}">
  <dimension ref="A1:D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96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97</v>
      </c>
      <c r="B3" s="21">
        <v>25759</v>
      </c>
      <c r="C3" s="9">
        <f>MemberOfAssemblyAssemblyDistrict7General[[#This Row],[Part of Suffolk County Vote Results]]</f>
        <v>25759</v>
      </c>
      <c r="D3" s="10">
        <f>MemberOfAssemblyAssemblyDistrict7General[[#This Row],[Total Votes by Party]]</f>
        <v>25759</v>
      </c>
    </row>
    <row r="4" spans="1:4" ht="13.8" x14ac:dyDescent="0.3">
      <c r="A4" s="1" t="s">
        <v>98</v>
      </c>
      <c r="B4" s="21">
        <v>33363</v>
      </c>
      <c r="C4" s="9">
        <f>MemberOfAssemblyAssemblyDistrict7General[[#This Row],[Part of Suffolk County Vote Results]]</f>
        <v>33363</v>
      </c>
      <c r="D4" s="10">
        <f>SUM(MemberOfAssemblyAssemblyDistrict7General[[#This Row],[Total Votes by Party]],C5,C6)</f>
        <v>39443</v>
      </c>
    </row>
    <row r="5" spans="1:4" ht="13.8" x14ac:dyDescent="0.3">
      <c r="A5" s="1" t="s">
        <v>99</v>
      </c>
      <c r="B5" s="21">
        <v>5217</v>
      </c>
      <c r="C5" s="9">
        <f>MemberOfAssemblyAssemblyDistrict7General[[#This Row],[Part of Suffolk County Vote Results]]</f>
        <v>5217</v>
      </c>
      <c r="D5" s="11"/>
    </row>
    <row r="6" spans="1:4" ht="13.8" x14ac:dyDescent="0.3">
      <c r="A6" s="1" t="s">
        <v>100</v>
      </c>
      <c r="B6" s="21">
        <v>863</v>
      </c>
      <c r="C6" s="9">
        <f>MemberOfAssemblyAssemblyDistrict7General[[#This Row],[Part of Suffolk County Vote Results]]</f>
        <v>863</v>
      </c>
      <c r="D6" s="11"/>
    </row>
    <row r="7" spans="1:4" ht="13.8" x14ac:dyDescent="0.3">
      <c r="A7" s="3" t="s">
        <v>0</v>
      </c>
      <c r="B7" s="21">
        <v>6805</v>
      </c>
      <c r="C7" s="9">
        <f>MemberOfAssemblyAssemblyDistrict7General[[#This Row],[Part of Suffolk County Vote Results]]</f>
        <v>6805</v>
      </c>
      <c r="D7" s="11"/>
    </row>
    <row r="8" spans="1:4" ht="13.8" x14ac:dyDescent="0.3">
      <c r="A8" s="3" t="s">
        <v>1</v>
      </c>
      <c r="B8" s="21">
        <v>20</v>
      </c>
      <c r="C8" s="9">
        <f>MemberOfAssemblyAssemblyDistrict7General[[#This Row],[Part of Suffolk County Vote Results]]</f>
        <v>20</v>
      </c>
      <c r="D8" s="11"/>
    </row>
    <row r="9" spans="1:4" ht="13.8" x14ac:dyDescent="0.3">
      <c r="A9" s="3" t="s">
        <v>6</v>
      </c>
      <c r="B9" s="21">
        <v>9</v>
      </c>
      <c r="C9" s="9">
        <f>MemberOfAssemblyAssemblyDistrict7General[[#This Row],[Part of Suffolk County Vote Results]]</f>
        <v>9</v>
      </c>
      <c r="D9" s="11"/>
    </row>
    <row r="10" spans="1:4" ht="13.8" x14ac:dyDescent="0.3">
      <c r="A10" s="13" t="s">
        <v>2</v>
      </c>
      <c r="B10" s="21">
        <f>SUM(MemberOfAssemblyAssemblyDistrict7General[Part of Suffolk County Vote Results])</f>
        <v>72036</v>
      </c>
      <c r="C10" s="9">
        <f>SUM(MemberOfAssemblyAssemblyDistrict7General[Total Votes by Party])</f>
        <v>72036</v>
      </c>
      <c r="D10" s="11"/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F441-BDB0-4929-9DF8-49E47150004C}">
  <dimension ref="A1:D8"/>
  <sheetViews>
    <sheetView workbookViewId="0">
      <selection activeCell="D4" sqref="D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341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5" t="s">
        <v>342</v>
      </c>
      <c r="B3" s="2">
        <v>47079</v>
      </c>
      <c r="C3" s="9">
        <f>MemberOfAssemblyAssemblyDistrict70General[[#This Row],[Part of New York County Vote Results]]</f>
        <v>47079</v>
      </c>
      <c r="D3" s="10">
        <f>SUM(MemberOfAssemblyAssemblyDistrict70General[[#This Row],[Total Votes by Party]])</f>
        <v>47079</v>
      </c>
    </row>
    <row r="4" spans="1:4" ht="13.8" x14ac:dyDescent="0.3">
      <c r="A4" s="1" t="s">
        <v>343</v>
      </c>
      <c r="B4" s="2">
        <v>4969</v>
      </c>
      <c r="C4" s="9">
        <f>MemberOfAssemblyAssemblyDistrict70General[[#This Row],[Part of New York County Vote Results]]</f>
        <v>4969</v>
      </c>
      <c r="D4" s="10">
        <f>SUM(MemberOfAssemblyAssemblyDistrict70General[[#This Row],[Total Votes by Party]])</f>
        <v>4969</v>
      </c>
    </row>
    <row r="5" spans="1:4" ht="13.8" x14ac:dyDescent="0.3">
      <c r="A5" s="3" t="s">
        <v>0</v>
      </c>
      <c r="B5" s="2">
        <v>4479</v>
      </c>
      <c r="C5" s="9">
        <f>MemberOfAssemblyAssemblyDistrict70General[[#This Row],[Part of New York County Vote Results]]</f>
        <v>4479</v>
      </c>
      <c r="D5" s="11"/>
    </row>
    <row r="6" spans="1:4" ht="13.8" x14ac:dyDescent="0.3">
      <c r="A6" s="3" t="s">
        <v>1</v>
      </c>
      <c r="B6" s="2">
        <v>7</v>
      </c>
      <c r="C6" s="9">
        <f>MemberOfAssemblyAssemblyDistrict70General[[#This Row],[Part of New York County Vote Results]]</f>
        <v>7</v>
      </c>
      <c r="D6" s="11"/>
    </row>
    <row r="7" spans="1:4" ht="13.8" x14ac:dyDescent="0.3">
      <c r="A7" s="3" t="s">
        <v>6</v>
      </c>
      <c r="B7" s="2">
        <v>135</v>
      </c>
      <c r="C7" s="9">
        <f>MemberOfAssemblyAssemblyDistrict70General[[#This Row],[Part of New York County Vote Results]]</f>
        <v>135</v>
      </c>
      <c r="D7" s="11"/>
    </row>
    <row r="8" spans="1:4" ht="13.8" x14ac:dyDescent="0.3">
      <c r="A8" s="13" t="s">
        <v>2</v>
      </c>
      <c r="B8" s="2">
        <f>SUM(MemberOfAssemblyAssemblyDistrict70General[Part of New York County Vote Results])</f>
        <v>56669</v>
      </c>
      <c r="C8" s="9">
        <f>SUM(MemberOfAssemblyAssemblyDistrict70General[Total Votes by Party])</f>
        <v>56669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3E80-0AA2-47F8-B024-FCB869EDB192}">
  <dimension ref="A1:D8"/>
  <sheetViews>
    <sheetView workbookViewId="0">
      <selection activeCell="D3" sqref="D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344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345</v>
      </c>
      <c r="B3" s="2">
        <v>40141</v>
      </c>
      <c r="C3" s="9">
        <f>MemberOfAssemblyAssemblyDistrict71General[[#This Row],[Part of New York County Vote Results]]</f>
        <v>40141</v>
      </c>
      <c r="D3" s="10">
        <f>SUM(MemberOfAssemblyAssemblyDistrict71General[[#This Row],[Total Votes by Party]],C4)</f>
        <v>48538</v>
      </c>
    </row>
    <row r="4" spans="1:4" ht="13.8" x14ac:dyDescent="0.3">
      <c r="A4" s="1" t="s">
        <v>346</v>
      </c>
      <c r="B4" s="2">
        <v>8397</v>
      </c>
      <c r="C4" s="9">
        <f>MemberOfAssemblyAssemblyDistrict71General[[#This Row],[Part of New York County Vote Results]]</f>
        <v>8397</v>
      </c>
      <c r="D4" s="11"/>
    </row>
    <row r="5" spans="1:4" ht="13.8" x14ac:dyDescent="0.3">
      <c r="A5" s="3" t="s">
        <v>0</v>
      </c>
      <c r="B5" s="2">
        <v>5849</v>
      </c>
      <c r="C5" s="9">
        <f>MemberOfAssemblyAssemblyDistrict71General[[#This Row],[Part of New York County Vote Results]]</f>
        <v>5849</v>
      </c>
      <c r="D5" s="11"/>
    </row>
    <row r="6" spans="1:4" ht="13.8" x14ac:dyDescent="0.3">
      <c r="A6" s="3" t="s">
        <v>1</v>
      </c>
      <c r="B6" s="2">
        <v>2</v>
      </c>
      <c r="C6" s="9">
        <f>MemberOfAssemblyAssemblyDistrict71General[[#This Row],[Part of New York County Vote Results]]</f>
        <v>2</v>
      </c>
      <c r="D6" s="11"/>
    </row>
    <row r="7" spans="1:4" ht="13.8" x14ac:dyDescent="0.3">
      <c r="A7" s="3" t="s">
        <v>6</v>
      </c>
      <c r="B7" s="2">
        <v>139</v>
      </c>
      <c r="C7" s="9">
        <f>MemberOfAssemblyAssemblyDistrict71General[[#This Row],[Part of New York County Vote Results]]</f>
        <v>139</v>
      </c>
      <c r="D7" s="11"/>
    </row>
    <row r="8" spans="1:4" ht="13.8" x14ac:dyDescent="0.3">
      <c r="A8" s="13" t="s">
        <v>2</v>
      </c>
      <c r="B8" s="2">
        <f>SUM(MemberOfAssemblyAssemblyDistrict71General[Part of New York County Vote Results])</f>
        <v>54528</v>
      </c>
      <c r="C8" s="9">
        <f>SUM(MemberOfAssemblyAssemblyDistrict71General[Total Votes by Party])</f>
        <v>54528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ECF0-05F9-4CBA-96DD-D8CC500E69D2}">
  <dimension ref="A1:D7"/>
  <sheetViews>
    <sheetView workbookViewId="0">
      <selection activeCell="D3" sqref="D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347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348</v>
      </c>
      <c r="B3" s="2">
        <v>39405</v>
      </c>
      <c r="C3" s="9">
        <f>MemberOfAssemblyAssemblyDistrict72General[[#This Row],[Part of New York County Vote Results]]</f>
        <v>39405</v>
      </c>
      <c r="D3" s="10">
        <f>SUM(MemberOfAssemblyAssemblyDistrict72General[[#This Row],[Total Votes by Party]])</f>
        <v>39405</v>
      </c>
    </row>
    <row r="4" spans="1:4" ht="13.8" x14ac:dyDescent="0.3">
      <c r="A4" s="3" t="s">
        <v>0</v>
      </c>
      <c r="B4" s="2">
        <v>7063</v>
      </c>
      <c r="C4" s="9">
        <f>MemberOfAssemblyAssemblyDistrict72General[[#This Row],[Part of New York County Vote Results]]</f>
        <v>7063</v>
      </c>
      <c r="D4" s="11"/>
    </row>
    <row r="5" spans="1:4" ht="13.8" x14ac:dyDescent="0.3">
      <c r="A5" s="3" t="s">
        <v>1</v>
      </c>
      <c r="B5" s="2">
        <v>3</v>
      </c>
      <c r="C5" s="9">
        <f>MemberOfAssemblyAssemblyDistrict72General[[#This Row],[Part of New York County Vote Results]]</f>
        <v>3</v>
      </c>
      <c r="D5" s="11"/>
    </row>
    <row r="6" spans="1:4" ht="13.8" x14ac:dyDescent="0.3">
      <c r="A6" s="3" t="s">
        <v>6</v>
      </c>
      <c r="B6" s="2">
        <v>228</v>
      </c>
      <c r="C6" s="9">
        <f>MemberOfAssemblyAssemblyDistrict72General[[#This Row],[Part of New York County Vote Results]]</f>
        <v>228</v>
      </c>
      <c r="D6" s="11"/>
    </row>
    <row r="7" spans="1:4" ht="13.8" x14ac:dyDescent="0.3">
      <c r="A7" s="13" t="s">
        <v>2</v>
      </c>
      <c r="B7" s="2">
        <f>SUM(MemberOfAssemblyAssemblyDistrict72General[Part of New York County Vote Results])</f>
        <v>46699</v>
      </c>
      <c r="C7" s="9">
        <f>SUM(MemberOfAssemblyAssemblyDistrict72General[Total Votes by Party])</f>
        <v>46699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B1AB-D814-44B5-9F00-017D72C36E62}">
  <dimension ref="A1:D9"/>
  <sheetViews>
    <sheetView workbookViewId="0">
      <selection activeCell="D4" sqref="D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349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350</v>
      </c>
      <c r="B3" s="2">
        <v>42526</v>
      </c>
      <c r="C3" s="9">
        <f>MemberOfAssemblyAssemblyDistrict73General[[#This Row],[Part of New York County Vote Results]]</f>
        <v>42526</v>
      </c>
      <c r="D3" s="10">
        <f>SUM(MemberOfAssemblyAssemblyDistrict73General[[#This Row],[Total Votes by Party]],C5)</f>
        <v>45196</v>
      </c>
    </row>
    <row r="4" spans="1:4" ht="13.8" x14ac:dyDescent="0.3">
      <c r="A4" s="1" t="s">
        <v>351</v>
      </c>
      <c r="B4" s="2">
        <v>15534</v>
      </c>
      <c r="C4" s="9">
        <f>MemberOfAssemblyAssemblyDistrict73General[[#This Row],[Part of New York County Vote Results]]</f>
        <v>15534</v>
      </c>
      <c r="D4" s="10">
        <f>SUM(MemberOfAssemblyAssemblyDistrict73General[[#This Row],[Total Votes by Party]])</f>
        <v>15534</v>
      </c>
    </row>
    <row r="5" spans="1:4" ht="13.8" x14ac:dyDescent="0.3">
      <c r="A5" s="1" t="s">
        <v>352</v>
      </c>
      <c r="B5" s="2">
        <v>2670</v>
      </c>
      <c r="C5" s="9">
        <f>MemberOfAssemblyAssemblyDistrict73General[[#This Row],[Part of New York County Vote Results]]</f>
        <v>2670</v>
      </c>
      <c r="D5" s="11"/>
    </row>
    <row r="6" spans="1:4" ht="13.8" x14ac:dyDescent="0.3">
      <c r="A6" s="3" t="s">
        <v>0</v>
      </c>
      <c r="B6" s="2">
        <v>2439</v>
      </c>
      <c r="C6" s="9">
        <f>MemberOfAssemblyAssemblyDistrict73General[[#This Row],[Part of New York County Vote Results]]</f>
        <v>2439</v>
      </c>
      <c r="D6" s="11"/>
    </row>
    <row r="7" spans="1:4" ht="13.8" x14ac:dyDescent="0.3">
      <c r="A7" s="3" t="s">
        <v>1</v>
      </c>
      <c r="B7" s="2">
        <v>5</v>
      </c>
      <c r="C7" s="9">
        <f>MemberOfAssemblyAssemblyDistrict73General[[#This Row],[Part of New York County Vote Results]]</f>
        <v>5</v>
      </c>
      <c r="D7" s="11"/>
    </row>
    <row r="8" spans="1:4" ht="13.8" x14ac:dyDescent="0.3">
      <c r="A8" s="3" t="s">
        <v>6</v>
      </c>
      <c r="B8" s="2">
        <v>88</v>
      </c>
      <c r="C8" s="9">
        <f>MemberOfAssemblyAssemblyDistrict73General[[#This Row],[Part of New York County Vote Results]]</f>
        <v>88</v>
      </c>
      <c r="D8" s="11"/>
    </row>
    <row r="9" spans="1:4" ht="13.8" x14ac:dyDescent="0.3">
      <c r="A9" s="13" t="s">
        <v>2</v>
      </c>
      <c r="B9" s="2">
        <f>SUM(MemberOfAssemblyAssemblyDistrict73General[Part of New York County Vote Results])</f>
        <v>63262</v>
      </c>
      <c r="C9" s="9">
        <f>SUM(MemberOfAssemblyAssemblyDistrict73General[Total Votes by Party])</f>
        <v>63262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AF1B-6E50-479B-86A8-6D98B4EC7D82}">
  <dimension ref="A1:D8"/>
  <sheetViews>
    <sheetView workbookViewId="0">
      <selection activeCell="D3" sqref="D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353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354</v>
      </c>
      <c r="B3" s="2">
        <v>39853</v>
      </c>
      <c r="C3" s="9">
        <f>MemberOfAssemblyAssemblyDistrict74General[[#This Row],[Part of New York County Vote Results]]</f>
        <v>39853</v>
      </c>
      <c r="D3" s="10">
        <f>SUM(MemberOfAssemblyAssemblyDistrict74General[[#This Row],[Total Votes by Party]],C4)</f>
        <v>46749</v>
      </c>
    </row>
    <row r="4" spans="1:4" ht="13.8" x14ac:dyDescent="0.3">
      <c r="A4" s="1" t="s">
        <v>355</v>
      </c>
      <c r="B4" s="2">
        <v>6896</v>
      </c>
      <c r="C4" s="9">
        <f>MemberOfAssemblyAssemblyDistrict74General[[#This Row],[Part of New York County Vote Results]]</f>
        <v>6896</v>
      </c>
      <c r="D4" s="11"/>
    </row>
    <row r="5" spans="1:4" ht="13.8" x14ac:dyDescent="0.3">
      <c r="A5" s="3" t="s">
        <v>0</v>
      </c>
      <c r="B5" s="2">
        <v>8327</v>
      </c>
      <c r="C5" s="9">
        <f>MemberOfAssemblyAssemblyDistrict74General[[#This Row],[Part of New York County Vote Results]]</f>
        <v>8327</v>
      </c>
      <c r="D5" s="11"/>
    </row>
    <row r="6" spans="1:4" ht="13.8" x14ac:dyDescent="0.3">
      <c r="A6" s="3" t="s">
        <v>1</v>
      </c>
      <c r="B6" s="2">
        <v>2</v>
      </c>
      <c r="C6" s="9">
        <f>MemberOfAssemblyAssemblyDistrict74General[[#This Row],[Part of New York County Vote Results]]</f>
        <v>2</v>
      </c>
      <c r="D6" s="11"/>
    </row>
    <row r="7" spans="1:4" ht="13.8" x14ac:dyDescent="0.3">
      <c r="A7" s="3" t="s">
        <v>6</v>
      </c>
      <c r="B7" s="2">
        <v>362</v>
      </c>
      <c r="C7" s="9">
        <f>MemberOfAssemblyAssemblyDistrict74General[[#This Row],[Part of New York County Vote Results]]</f>
        <v>362</v>
      </c>
      <c r="D7" s="11"/>
    </row>
    <row r="8" spans="1:4" ht="13.8" x14ac:dyDescent="0.3">
      <c r="A8" s="13" t="s">
        <v>2</v>
      </c>
      <c r="B8" s="2">
        <f>SUM(MemberOfAssemblyAssemblyDistrict74General[Part of New York County Vote Results])</f>
        <v>55440</v>
      </c>
      <c r="C8" s="9">
        <f>SUM(MemberOfAssemblyAssemblyDistrict74General[Total Votes by Party])</f>
        <v>55440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4D06-80BE-4D25-9C0E-85D2CBB35BF5}">
  <dimension ref="A1:D8"/>
  <sheetViews>
    <sheetView workbookViewId="0">
      <selection activeCell="D3" sqref="D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356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357</v>
      </c>
      <c r="B3" s="2">
        <v>46791</v>
      </c>
      <c r="C3" s="9">
        <f>MemberOfAssemblyAssemblyDistrict75General[[#This Row],[Part of New York County Vote Results]]</f>
        <v>46791</v>
      </c>
      <c r="D3" s="10">
        <f>SUM(MemberOfAssemblyAssemblyDistrict75General[[#This Row],[Total Votes by Party]],C4)</f>
        <v>53573</v>
      </c>
    </row>
    <row r="4" spans="1:4" ht="13.8" x14ac:dyDescent="0.3">
      <c r="A4" s="1" t="s">
        <v>358</v>
      </c>
      <c r="B4" s="2">
        <v>6782</v>
      </c>
      <c r="C4" s="9">
        <f>MemberOfAssemblyAssemblyDistrict75General[[#This Row],[Part of New York County Vote Results]]</f>
        <v>6782</v>
      </c>
      <c r="D4" s="11"/>
    </row>
    <row r="5" spans="1:4" ht="13.8" x14ac:dyDescent="0.3">
      <c r="A5" s="3" t="s">
        <v>0</v>
      </c>
      <c r="B5" s="2">
        <v>8269</v>
      </c>
      <c r="C5" s="9">
        <f>MemberOfAssemblyAssemblyDistrict75General[[#This Row],[Part of New York County Vote Results]]</f>
        <v>8269</v>
      </c>
      <c r="D5" s="11"/>
    </row>
    <row r="6" spans="1:4" ht="13.8" x14ac:dyDescent="0.3">
      <c r="A6" s="3" t="s">
        <v>1</v>
      </c>
      <c r="B6" s="2">
        <v>1</v>
      </c>
      <c r="C6" s="9">
        <f>MemberOfAssemblyAssemblyDistrict75General[[#This Row],[Part of New York County Vote Results]]</f>
        <v>1</v>
      </c>
      <c r="D6" s="11"/>
    </row>
    <row r="7" spans="1:4" ht="13.8" x14ac:dyDescent="0.3">
      <c r="A7" s="3" t="s">
        <v>6</v>
      </c>
      <c r="B7" s="2">
        <v>469</v>
      </c>
      <c r="C7" s="9">
        <f>MemberOfAssemblyAssemblyDistrict75General[[#This Row],[Part of New York County Vote Results]]</f>
        <v>469</v>
      </c>
      <c r="D7" s="11"/>
    </row>
    <row r="8" spans="1:4" ht="13.8" x14ac:dyDescent="0.3">
      <c r="A8" s="13" t="s">
        <v>2</v>
      </c>
      <c r="B8" s="2">
        <f>SUM(MemberOfAssemblyAssemblyDistrict75General[Part of New York County Vote Results])</f>
        <v>62312</v>
      </c>
      <c r="C8" s="9">
        <f>SUM(MemberOfAssemblyAssemblyDistrict75General[Total Votes by Party])</f>
        <v>62312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2E9-0195-4486-A533-A24A2F8E4CD2}">
  <dimension ref="A1:D9"/>
  <sheetViews>
    <sheetView workbookViewId="0">
      <selection activeCell="E21" sqref="E21"/>
    </sheetView>
  </sheetViews>
  <sheetFormatPr defaultRowHeight="13.2" x14ac:dyDescent="0.25"/>
  <cols>
    <col min="1" max="1" width="30" customWidth="1"/>
    <col min="2" max="4" width="20.5546875" customWidth="1"/>
    <col min="5" max="6" width="23.5546875" customWidth="1"/>
  </cols>
  <sheetData>
    <row r="1" spans="1:4" ht="18" x14ac:dyDescent="0.25">
      <c r="A1" s="30" t="s">
        <v>359</v>
      </c>
    </row>
    <row r="2" spans="1:4" ht="27.6" x14ac:dyDescent="0.25">
      <c r="A2" s="5" t="s">
        <v>5</v>
      </c>
      <c r="B2" s="6" t="s">
        <v>25</v>
      </c>
      <c r="C2" s="7" t="s">
        <v>3</v>
      </c>
      <c r="D2" s="8" t="s">
        <v>4</v>
      </c>
    </row>
    <row r="3" spans="1:4" ht="13.8" x14ac:dyDescent="0.3">
      <c r="A3" s="1" t="s">
        <v>360</v>
      </c>
      <c r="B3" s="2">
        <v>14919</v>
      </c>
      <c r="C3" s="9">
        <f>MemberOfAssemblyAssemblyDistrict76General[[#This Row],[Part of New York County Vote Results]]</f>
        <v>14919</v>
      </c>
      <c r="D3" s="10">
        <f>SUM(MemberOfAssemblyAssemblyDistrict76General[[#This Row],[Total Votes by Party]],C5)</f>
        <v>20860</v>
      </c>
    </row>
    <row r="4" spans="1:4" ht="13.8" x14ac:dyDescent="0.3">
      <c r="A4" s="1" t="s">
        <v>361</v>
      </c>
      <c r="B4" s="2">
        <v>28461</v>
      </c>
      <c r="C4" s="9">
        <f>MemberOfAssemblyAssemblyDistrict76General[[#This Row],[Part of New York County Vote Results]]</f>
        <v>28461</v>
      </c>
      <c r="D4" s="10">
        <f>SUM(MemberOfAssemblyAssemblyDistrict76General[[#This Row],[Total Votes by Party]])</f>
        <v>28461</v>
      </c>
    </row>
    <row r="5" spans="1:4" ht="13.8" x14ac:dyDescent="0.3">
      <c r="A5" s="1" t="s">
        <v>362</v>
      </c>
      <c r="B5" s="2">
        <v>5941</v>
      </c>
      <c r="C5" s="9">
        <f>MemberOfAssemblyAssemblyDistrict76General[[#This Row],[Part of New York County Vote Results]]</f>
        <v>5941</v>
      </c>
      <c r="D5" s="11"/>
    </row>
    <row r="6" spans="1:4" ht="13.8" x14ac:dyDescent="0.3">
      <c r="A6" s="3" t="s">
        <v>0</v>
      </c>
      <c r="B6" s="2">
        <v>13142</v>
      </c>
      <c r="C6" s="9">
        <f>MemberOfAssemblyAssemblyDistrict76General[[#This Row],[Part of New York County Vote Results]]</f>
        <v>13142</v>
      </c>
      <c r="D6" s="11"/>
    </row>
    <row r="7" spans="1:4" ht="13.8" x14ac:dyDescent="0.3">
      <c r="A7" s="3" t="s">
        <v>1</v>
      </c>
      <c r="B7" s="2">
        <v>20</v>
      </c>
      <c r="C7" s="9">
        <f>MemberOfAssemblyAssemblyDistrict76General[[#This Row],[Part of New York County Vote Results]]</f>
        <v>20</v>
      </c>
      <c r="D7" s="11"/>
    </row>
    <row r="8" spans="1:4" ht="13.8" x14ac:dyDescent="0.3">
      <c r="A8" s="3" t="s">
        <v>6</v>
      </c>
      <c r="B8" s="2">
        <v>227</v>
      </c>
      <c r="C8" s="9">
        <f>MemberOfAssemblyAssemblyDistrict76General[[#This Row],[Part of New York County Vote Results]]</f>
        <v>227</v>
      </c>
      <c r="D8" s="11"/>
    </row>
    <row r="9" spans="1:4" ht="13.8" x14ac:dyDescent="0.3">
      <c r="A9" s="13" t="s">
        <v>2</v>
      </c>
      <c r="B9" s="2">
        <f>SUM(MemberOfAssemblyAssemblyDistrict76General[Part of New York County Vote Results])</f>
        <v>62710</v>
      </c>
      <c r="C9" s="9">
        <f>SUM(MemberOfAssemblyAssemblyDistrict76General[Total Votes by Party])</f>
        <v>62710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6D72-EDB4-48B7-83A5-8A4607C13E99}">
  <dimension ref="A1:D9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363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364</v>
      </c>
      <c r="B3" s="2">
        <v>29759</v>
      </c>
      <c r="C3" s="9">
        <f>MemberOfAssemblyAssemblyDistrict77General[[#This Row],[Part of Bronx County Vote Results]]</f>
        <v>29759</v>
      </c>
      <c r="D3" s="10">
        <f>SUM(MemberOfAssemblyAssemblyDistrict77General[[#This Row],[Total Votes by Party]])</f>
        <v>29759</v>
      </c>
    </row>
    <row r="4" spans="1:4" ht="13.8" x14ac:dyDescent="0.3">
      <c r="A4" s="1" t="s">
        <v>365</v>
      </c>
      <c r="B4" s="2">
        <v>3227</v>
      </c>
      <c r="C4" s="9">
        <f>MemberOfAssemblyAssemblyDistrict77General[[#This Row],[Part of Bronx County Vote Results]]</f>
        <v>3227</v>
      </c>
      <c r="D4" s="10">
        <f>SUM(MemberOfAssemblyAssemblyDistrict77General[[#This Row],[Total Votes by Party]])</f>
        <v>3227</v>
      </c>
    </row>
    <row r="5" spans="1:4" ht="13.8" x14ac:dyDescent="0.3">
      <c r="A5" s="1" t="s">
        <v>366</v>
      </c>
      <c r="B5" s="2">
        <v>368</v>
      </c>
      <c r="C5" s="9">
        <f>MemberOfAssemblyAssemblyDistrict77General[[#This Row],[Part of Bronx County Vote Results]]</f>
        <v>368</v>
      </c>
      <c r="D5" s="10">
        <f>SUM(MemberOfAssemblyAssemblyDistrict77General[[#This Row],[Total Votes by Party]])</f>
        <v>368</v>
      </c>
    </row>
    <row r="6" spans="1:4" ht="13.8" x14ac:dyDescent="0.3">
      <c r="A6" s="3" t="s">
        <v>0</v>
      </c>
      <c r="B6" s="2">
        <v>1748</v>
      </c>
      <c r="C6" s="9">
        <f>MemberOfAssemblyAssemblyDistrict77General[[#This Row],[Part of Bronx County Vote Results]]</f>
        <v>1748</v>
      </c>
      <c r="D6" s="11"/>
    </row>
    <row r="7" spans="1:4" ht="13.8" x14ac:dyDescent="0.3">
      <c r="A7" s="3" t="s">
        <v>1</v>
      </c>
      <c r="B7" s="2">
        <v>0</v>
      </c>
      <c r="C7" s="9">
        <f>MemberOfAssemblyAssemblyDistrict77General[[#This Row],[Part of Bronx County Vote Results]]</f>
        <v>0</v>
      </c>
      <c r="D7" s="11"/>
    </row>
    <row r="8" spans="1:4" ht="13.8" x14ac:dyDescent="0.3">
      <c r="A8" s="3" t="s">
        <v>6</v>
      </c>
      <c r="B8" s="2">
        <v>22</v>
      </c>
      <c r="C8" s="9">
        <f>MemberOfAssemblyAssemblyDistrict77General[[#This Row],[Part of Bronx County Vote Results]]</f>
        <v>22</v>
      </c>
      <c r="D8" s="11"/>
    </row>
    <row r="9" spans="1:4" ht="13.8" x14ac:dyDescent="0.3">
      <c r="A9" s="13" t="s">
        <v>2</v>
      </c>
      <c r="B9" s="2">
        <f>SUM(MemberOfAssemblyAssemblyDistrict77General[Part of Bronx County Vote Results])</f>
        <v>35124</v>
      </c>
      <c r="C9" s="9">
        <f>SUM(MemberOfAssemblyAssemblyDistrict77General[Total Votes by Party])</f>
        <v>35124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26B9-4C36-4F42-B670-60CBEAB286BA}">
  <dimension ref="A1:D8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367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368</v>
      </c>
      <c r="B3" s="2">
        <v>25920</v>
      </c>
      <c r="C3" s="9">
        <f>MemberOfAssemblyAssemblyDistrict78General[[#This Row],[Part of Bronx County Vote Results]]</f>
        <v>25920</v>
      </c>
      <c r="D3" s="10">
        <f>SUM(MemberOfAssemblyAssemblyDistrict78General[[#This Row],[Total Votes by Party]])</f>
        <v>25920</v>
      </c>
    </row>
    <row r="4" spans="1:4" ht="13.8" x14ac:dyDescent="0.3">
      <c r="A4" s="1" t="s">
        <v>369</v>
      </c>
      <c r="B4" s="2">
        <v>3560</v>
      </c>
      <c r="C4" s="9">
        <f>MemberOfAssemblyAssemblyDistrict78General[[#This Row],[Part of Bronx County Vote Results]]</f>
        <v>3560</v>
      </c>
      <c r="D4" s="10">
        <f>SUM(MemberOfAssemblyAssemblyDistrict78General[[#This Row],[Total Votes by Party]])</f>
        <v>3560</v>
      </c>
    </row>
    <row r="5" spans="1:4" ht="13.8" x14ac:dyDescent="0.3">
      <c r="A5" s="3" t="s">
        <v>0</v>
      </c>
      <c r="B5" s="2">
        <v>2160</v>
      </c>
      <c r="C5" s="9">
        <f>MemberOfAssemblyAssemblyDistrict78General[[#This Row],[Part of Bronx County Vote Results]]</f>
        <v>2160</v>
      </c>
      <c r="D5" s="11"/>
    </row>
    <row r="6" spans="1:4" ht="13.8" x14ac:dyDescent="0.3">
      <c r="A6" s="3" t="s">
        <v>1</v>
      </c>
      <c r="B6" s="2">
        <v>0</v>
      </c>
      <c r="C6" s="9">
        <f>MemberOfAssemblyAssemblyDistrict78General[[#This Row],[Part of Bronx County Vote Results]]</f>
        <v>0</v>
      </c>
      <c r="D6" s="11"/>
    </row>
    <row r="7" spans="1:4" ht="13.8" x14ac:dyDescent="0.3">
      <c r="A7" s="3" t="s">
        <v>6</v>
      </c>
      <c r="B7" s="2">
        <v>410</v>
      </c>
      <c r="C7" s="9">
        <f>MemberOfAssemblyAssemblyDistrict78General[[#This Row],[Part of Bronx County Vote Results]]</f>
        <v>410</v>
      </c>
      <c r="D7" s="11"/>
    </row>
    <row r="8" spans="1:4" ht="13.8" x14ac:dyDescent="0.3">
      <c r="A8" s="13" t="s">
        <v>2</v>
      </c>
      <c r="B8" s="2">
        <f>SUM(MemberOfAssemblyAssemblyDistrict78General[Part of Bronx County Vote Results])</f>
        <v>32050</v>
      </c>
      <c r="C8" s="9">
        <f>SUM(MemberOfAssemblyAssemblyDistrict78General[Total Votes by Party])</f>
        <v>32050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BCE2-A7DC-4FD7-9F42-1EB109A6D851}">
  <dimension ref="A1:D9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370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371</v>
      </c>
      <c r="B3" s="2">
        <v>33008</v>
      </c>
      <c r="C3" s="9">
        <f>MemberOfAssemblyAssemblyDistrict79General[[#This Row],[Part of Bronx County Vote Results]]</f>
        <v>33008</v>
      </c>
      <c r="D3" s="10">
        <f>SUM(MemberOfAssemblyAssemblyDistrict79General[[#This Row],[Total Votes by Party]])</f>
        <v>33008</v>
      </c>
    </row>
    <row r="4" spans="1:4" ht="13.8" x14ac:dyDescent="0.3">
      <c r="A4" s="1" t="s">
        <v>372</v>
      </c>
      <c r="B4" s="2">
        <v>3014</v>
      </c>
      <c r="C4" s="9">
        <f>MemberOfAssemblyAssemblyDistrict79General[[#This Row],[Part of Bronx County Vote Results]]</f>
        <v>3014</v>
      </c>
      <c r="D4" s="10">
        <f>SUM(MemberOfAssemblyAssemblyDistrict79General[[#This Row],[Total Votes by Party]])</f>
        <v>3014</v>
      </c>
    </row>
    <row r="5" spans="1:4" ht="13.8" x14ac:dyDescent="0.3">
      <c r="A5" s="1" t="s">
        <v>373</v>
      </c>
      <c r="B5" s="2">
        <v>682</v>
      </c>
      <c r="C5" s="9">
        <f>MemberOfAssemblyAssemblyDistrict79General[[#This Row],[Part of Bronx County Vote Results]]</f>
        <v>682</v>
      </c>
      <c r="D5" s="10">
        <f>SUM(MemberOfAssemblyAssemblyDistrict79General[[#This Row],[Total Votes by Party]])</f>
        <v>682</v>
      </c>
    </row>
    <row r="6" spans="1:4" ht="13.8" x14ac:dyDescent="0.3">
      <c r="A6" s="3" t="s">
        <v>0</v>
      </c>
      <c r="B6" s="2">
        <v>2437</v>
      </c>
      <c r="C6" s="9">
        <v>2437</v>
      </c>
      <c r="D6" s="11"/>
    </row>
    <row r="7" spans="1:4" ht="13.8" x14ac:dyDescent="0.3">
      <c r="A7" s="3" t="s">
        <v>1</v>
      </c>
      <c r="B7" s="2">
        <v>0</v>
      </c>
      <c r="C7" s="9">
        <f>MemberOfAssemblyAssemblyDistrict79General[[#This Row],[Part of Bronx County Vote Results]]</f>
        <v>0</v>
      </c>
      <c r="D7" s="11"/>
    </row>
    <row r="8" spans="1:4" ht="13.8" x14ac:dyDescent="0.3">
      <c r="A8" s="3" t="s">
        <v>6</v>
      </c>
      <c r="B8" s="2">
        <v>57</v>
      </c>
      <c r="C8" s="9">
        <f>MemberOfAssemblyAssemblyDistrict79General[[#This Row],[Part of Bronx County Vote Results]]</f>
        <v>57</v>
      </c>
      <c r="D8" s="11"/>
    </row>
    <row r="9" spans="1:4" ht="13.8" x14ac:dyDescent="0.3">
      <c r="A9" s="13" t="s">
        <v>2</v>
      </c>
      <c r="B9" s="2">
        <f>SUM(MemberOfAssemblyAssemblyDistrict79General[Part of Bronx County Vote Results])</f>
        <v>39198</v>
      </c>
      <c r="C9" s="9">
        <f>SUM(MemberOfAssemblyAssemblyDistrict79General[Total Votes by Party])</f>
        <v>39198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4918-B0DF-419A-8875-460BBEE3413B}">
  <dimension ref="A1:D11"/>
  <sheetViews>
    <sheetView workbookViewId="0">
      <selection activeCell="B3" sqref="B3:B11"/>
    </sheetView>
  </sheetViews>
  <sheetFormatPr defaultRowHeight="13.2" x14ac:dyDescent="0.25"/>
  <cols>
    <col min="1" max="1" width="34.109375" customWidth="1"/>
    <col min="2" max="4" width="20.5546875" customWidth="1"/>
    <col min="5" max="6" width="23.5546875" customWidth="1"/>
  </cols>
  <sheetData>
    <row r="1" spans="1:4" ht="18" x14ac:dyDescent="0.25">
      <c r="A1" s="30" t="s">
        <v>101</v>
      </c>
    </row>
    <row r="2" spans="1:4" ht="27.6" x14ac:dyDescent="0.25">
      <c r="A2" s="5" t="s">
        <v>5</v>
      </c>
      <c r="B2" s="6" t="s">
        <v>21</v>
      </c>
      <c r="C2" s="7" t="s">
        <v>3</v>
      </c>
      <c r="D2" s="8" t="s">
        <v>4</v>
      </c>
    </row>
    <row r="3" spans="1:4" ht="13.8" x14ac:dyDescent="0.3">
      <c r="A3" s="1" t="s">
        <v>102</v>
      </c>
      <c r="B3" s="21">
        <v>25481</v>
      </c>
      <c r="C3" s="9">
        <f>MemberOfAssemblyAssemblyDistrict8General[[#This Row],[Part of Suffolk County Vote Results]]</f>
        <v>25481</v>
      </c>
      <c r="D3" s="10">
        <f>MemberOfAssemblyAssemblyDistrict8General[[#This Row],[Total Votes by Party]]</f>
        <v>25481</v>
      </c>
    </row>
    <row r="4" spans="1:4" ht="13.8" x14ac:dyDescent="0.3">
      <c r="A4" s="1" t="s">
        <v>103</v>
      </c>
      <c r="B4" s="21">
        <v>40707</v>
      </c>
      <c r="C4" s="9">
        <f>MemberOfAssemblyAssemblyDistrict8General[[#This Row],[Part of Suffolk County Vote Results]]</f>
        <v>40707</v>
      </c>
      <c r="D4" s="10">
        <f>SUM(MemberOfAssemblyAssemblyDistrict8General[[#This Row],[Total Votes by Party]],C5,C6,C7)</f>
        <v>46548</v>
      </c>
    </row>
    <row r="5" spans="1:4" ht="13.8" x14ac:dyDescent="0.3">
      <c r="A5" s="1" t="s">
        <v>104</v>
      </c>
      <c r="B5" s="21">
        <v>4942</v>
      </c>
      <c r="C5" s="9">
        <f>MemberOfAssemblyAssemblyDistrict8General[[#This Row],[Part of Suffolk County Vote Results]]</f>
        <v>4942</v>
      </c>
      <c r="D5" s="11"/>
    </row>
    <row r="6" spans="1:4" ht="13.8" x14ac:dyDescent="0.3">
      <c r="A6" s="1" t="s">
        <v>105</v>
      </c>
      <c r="B6" s="21">
        <v>757</v>
      </c>
      <c r="C6" s="9">
        <f>MemberOfAssemblyAssemblyDistrict8General[[#This Row],[Part of Suffolk County Vote Results]]</f>
        <v>757</v>
      </c>
      <c r="D6" s="11"/>
    </row>
    <row r="7" spans="1:4" ht="13.8" x14ac:dyDescent="0.3">
      <c r="A7" s="1" t="s">
        <v>106</v>
      </c>
      <c r="B7" s="21">
        <v>142</v>
      </c>
      <c r="C7" s="9">
        <f>MemberOfAssemblyAssemblyDistrict8General[[#This Row],[Part of Suffolk County Vote Results]]</f>
        <v>142</v>
      </c>
      <c r="D7" s="11"/>
    </row>
    <row r="8" spans="1:4" ht="13.8" x14ac:dyDescent="0.3">
      <c r="A8" s="3" t="s">
        <v>0</v>
      </c>
      <c r="B8" s="21">
        <v>5607</v>
      </c>
      <c r="C8" s="9">
        <f>MemberOfAssemblyAssemblyDistrict8General[[#This Row],[Part of Suffolk County Vote Results]]</f>
        <v>5607</v>
      </c>
      <c r="D8" s="11"/>
    </row>
    <row r="9" spans="1:4" ht="13.8" x14ac:dyDescent="0.3">
      <c r="A9" s="3" t="s">
        <v>1</v>
      </c>
      <c r="B9" s="21">
        <v>37</v>
      </c>
      <c r="C9" s="9">
        <f>MemberOfAssemblyAssemblyDistrict8General[[#This Row],[Part of Suffolk County Vote Results]]</f>
        <v>37</v>
      </c>
      <c r="D9" s="11"/>
    </row>
    <row r="10" spans="1:4" ht="13.8" x14ac:dyDescent="0.3">
      <c r="A10" s="3" t="s">
        <v>6</v>
      </c>
      <c r="B10" s="21">
        <v>12</v>
      </c>
      <c r="C10" s="9">
        <f>MemberOfAssemblyAssemblyDistrict8General[[#This Row],[Part of Suffolk County Vote Results]]</f>
        <v>12</v>
      </c>
      <c r="D10" s="11"/>
    </row>
    <row r="11" spans="1:4" ht="13.8" x14ac:dyDescent="0.3">
      <c r="A11" s="13" t="s">
        <v>2</v>
      </c>
      <c r="B11" s="21">
        <f>SUM(MemberOfAssemblyAssemblyDistrict8General[Part of Suffolk County Vote Results])</f>
        <v>77685</v>
      </c>
      <c r="C11" s="9">
        <f>SUM(MemberOfAssemblyAssemblyDistrict8General[Total Votes by Party])</f>
        <v>77685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3225-17ED-4ECD-8E26-3E89FF47BAAB}">
  <dimension ref="A1:D9"/>
  <sheetViews>
    <sheetView workbookViewId="0">
      <selection activeCell="C12" sqref="C1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374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375</v>
      </c>
      <c r="B3" s="2">
        <v>28385</v>
      </c>
      <c r="C3" s="9">
        <f>MemberOfAssemblyAssemblyDistrict80General[[#This Row],[Part of Bronx County Vote Results]]</f>
        <v>28385</v>
      </c>
      <c r="D3" s="10">
        <f>SUM(MemberOfAssemblyAssemblyDistrict80General[[#This Row],[Total Votes by Party]])</f>
        <v>28385</v>
      </c>
    </row>
    <row r="4" spans="1:4" ht="13.8" x14ac:dyDescent="0.3">
      <c r="A4" s="1" t="s">
        <v>376</v>
      </c>
      <c r="B4" s="2">
        <v>6337</v>
      </c>
      <c r="C4" s="9">
        <f>MemberOfAssemblyAssemblyDistrict80General[[#This Row],[Part of Bronx County Vote Results]]</f>
        <v>6337</v>
      </c>
      <c r="D4" s="10">
        <f>SUM(MemberOfAssemblyAssemblyDistrict80General[[#This Row],[Total Votes by Party]])</f>
        <v>6337</v>
      </c>
    </row>
    <row r="5" spans="1:4" ht="13.8" x14ac:dyDescent="0.3">
      <c r="A5" s="1" t="s">
        <v>377</v>
      </c>
      <c r="B5" s="2">
        <v>1084</v>
      </c>
      <c r="C5" s="9">
        <f>MemberOfAssemblyAssemblyDistrict80General[[#This Row],[Part of Bronx County Vote Results]]</f>
        <v>1084</v>
      </c>
      <c r="D5" s="10">
        <f>SUM(MemberOfAssemblyAssemblyDistrict80General[[#This Row],[Total Votes by Party]])</f>
        <v>1084</v>
      </c>
    </row>
    <row r="6" spans="1:4" ht="13.8" x14ac:dyDescent="0.3">
      <c r="A6" s="3" t="s">
        <v>0</v>
      </c>
      <c r="B6" s="2">
        <v>1911</v>
      </c>
      <c r="C6" s="9">
        <f>MemberOfAssemblyAssemblyDistrict80General[[#This Row],[Part of Bronx County Vote Results]]</f>
        <v>1911</v>
      </c>
      <c r="D6" s="11"/>
    </row>
    <row r="7" spans="1:4" ht="13.8" x14ac:dyDescent="0.3">
      <c r="A7" s="3" t="s">
        <v>1</v>
      </c>
      <c r="B7" s="2">
        <v>0</v>
      </c>
      <c r="C7" s="9">
        <f>MemberOfAssemblyAssemblyDistrict80General[[#This Row],[Part of Bronx County Vote Results]]</f>
        <v>0</v>
      </c>
      <c r="D7" s="11"/>
    </row>
    <row r="8" spans="1:4" ht="13.8" x14ac:dyDescent="0.3">
      <c r="A8" s="3" t="s">
        <v>6</v>
      </c>
      <c r="B8" s="2">
        <v>50</v>
      </c>
      <c r="C8" s="9">
        <f>MemberOfAssemblyAssemblyDistrict80General[[#This Row],[Part of Bronx County Vote Results]]</f>
        <v>50</v>
      </c>
      <c r="D8" s="11"/>
    </row>
    <row r="9" spans="1:4" ht="13.8" x14ac:dyDescent="0.3">
      <c r="A9" s="13" t="s">
        <v>2</v>
      </c>
      <c r="B9" s="2">
        <f>SUM(MemberOfAssemblyAssemblyDistrict80General[Part of Bronx County Vote Results])</f>
        <v>37767</v>
      </c>
      <c r="C9" s="9">
        <f>SUM(MemberOfAssemblyAssemblyDistrict80General[Total Votes by Party])</f>
        <v>37767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BF45-64FA-4D53-B55C-E8A85F85D4C2}">
  <dimension ref="A1:D9"/>
  <sheetViews>
    <sheetView workbookViewId="0">
      <selection activeCell="C13" sqref="C13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378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379</v>
      </c>
      <c r="B3" s="2">
        <v>37818</v>
      </c>
      <c r="C3" s="9">
        <f>MemberOfAssemblyAssemblyDistrict81General[[#This Row],[Part of Bronx County Vote Results]]</f>
        <v>37818</v>
      </c>
      <c r="D3" s="10">
        <f>SUM(MemberOfAssemblyAssemblyDistrict81General[[#This Row],[Total Votes by Party]])</f>
        <v>37818</v>
      </c>
    </row>
    <row r="4" spans="1:4" ht="13.8" x14ac:dyDescent="0.3">
      <c r="A4" s="1" t="s">
        <v>380</v>
      </c>
      <c r="B4" s="2">
        <v>7443</v>
      </c>
      <c r="C4" s="9">
        <f>MemberOfAssemblyAssemblyDistrict81General[[#This Row],[Part of Bronx County Vote Results]]</f>
        <v>7443</v>
      </c>
      <c r="D4" s="10">
        <f>SUM(MemberOfAssemblyAssemblyDistrict81General[[#This Row],[Total Votes by Party]])</f>
        <v>7443</v>
      </c>
    </row>
    <row r="5" spans="1:4" ht="13.8" x14ac:dyDescent="0.3">
      <c r="A5" s="1" t="s">
        <v>381</v>
      </c>
      <c r="B5" s="2">
        <v>1395</v>
      </c>
      <c r="C5" s="9">
        <f>MemberOfAssemblyAssemblyDistrict81General[[#This Row],[Part of Bronx County Vote Results]]</f>
        <v>1395</v>
      </c>
      <c r="D5" s="10">
        <f>SUM(MemberOfAssemblyAssemblyDistrict81General[[#This Row],[Total Votes by Party]])</f>
        <v>1395</v>
      </c>
    </row>
    <row r="6" spans="1:4" ht="13.8" x14ac:dyDescent="0.3">
      <c r="A6" s="3" t="s">
        <v>0</v>
      </c>
      <c r="B6" s="2">
        <v>2610</v>
      </c>
      <c r="C6" s="9">
        <f>MemberOfAssemblyAssemblyDistrict81General[[#This Row],[Part of Bronx County Vote Results]]</f>
        <v>2610</v>
      </c>
      <c r="D6" s="11"/>
    </row>
    <row r="7" spans="1:4" ht="13.8" x14ac:dyDescent="0.3">
      <c r="A7" s="3" t="s">
        <v>1</v>
      </c>
      <c r="B7" s="2">
        <v>0</v>
      </c>
      <c r="C7" s="9">
        <f>MemberOfAssemblyAssemblyDistrict81General[[#This Row],[Part of Bronx County Vote Results]]</f>
        <v>0</v>
      </c>
      <c r="D7" s="11"/>
    </row>
    <row r="8" spans="1:4" ht="13.8" x14ac:dyDescent="0.3">
      <c r="A8" s="3" t="s">
        <v>6</v>
      </c>
      <c r="B8" s="2">
        <v>118</v>
      </c>
      <c r="C8" s="9">
        <f>MemberOfAssemblyAssemblyDistrict81General[[#This Row],[Part of Bronx County Vote Results]]</f>
        <v>118</v>
      </c>
      <c r="D8" s="11"/>
    </row>
    <row r="9" spans="1:4" ht="13.8" x14ac:dyDescent="0.3">
      <c r="A9" s="13" t="s">
        <v>2</v>
      </c>
      <c r="B9" s="2">
        <f>SUM(MemberOfAssemblyAssemblyDistrict81General[Part of Bronx County Vote Results])</f>
        <v>49384</v>
      </c>
      <c r="C9" s="9">
        <f>SUM(MemberOfAssemblyAssemblyDistrict81General[Total Votes by Party])</f>
        <v>49384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0A9D-616A-4B16-8AAE-E9483E1A4B12}">
  <dimension ref="A1:D9"/>
  <sheetViews>
    <sheetView workbookViewId="0">
      <selection activeCell="C14" sqref="C1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382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383</v>
      </c>
      <c r="B3" s="2">
        <v>38120</v>
      </c>
      <c r="C3" s="9">
        <f>MemberOfAssemblyAssemblyDistrict82General[[#This Row],[Part of Bronx County Vote Results]]</f>
        <v>38120</v>
      </c>
      <c r="D3" s="10">
        <f>SUM(MemberOfAssemblyAssemblyDistrict82General[[#This Row],[Total Votes by Party]])</f>
        <v>38120</v>
      </c>
    </row>
    <row r="4" spans="1:4" ht="13.8" x14ac:dyDescent="0.3">
      <c r="A4" s="1" t="s">
        <v>384</v>
      </c>
      <c r="B4" s="2">
        <v>11744</v>
      </c>
      <c r="C4" s="9">
        <f>MemberOfAssemblyAssemblyDistrict82General[[#This Row],[Part of Bronx County Vote Results]]</f>
        <v>11744</v>
      </c>
      <c r="D4" s="10">
        <f>SUM(MemberOfAssemblyAssemblyDistrict82General[[#This Row],[Total Votes by Party]])</f>
        <v>11744</v>
      </c>
    </row>
    <row r="5" spans="1:4" ht="13.8" x14ac:dyDescent="0.3">
      <c r="A5" s="1" t="s">
        <v>385</v>
      </c>
      <c r="B5" s="2">
        <v>1383</v>
      </c>
      <c r="C5" s="9">
        <f>MemberOfAssemblyAssemblyDistrict82General[[#This Row],[Part of Bronx County Vote Results]]</f>
        <v>1383</v>
      </c>
      <c r="D5" s="10">
        <f>SUM(MemberOfAssemblyAssemblyDistrict82General[[#This Row],[Total Votes by Party]])</f>
        <v>1383</v>
      </c>
    </row>
    <row r="6" spans="1:4" ht="13.8" x14ac:dyDescent="0.3">
      <c r="A6" s="3" t="s">
        <v>0</v>
      </c>
      <c r="B6" s="2">
        <v>2347</v>
      </c>
      <c r="C6" s="9">
        <f>MemberOfAssemblyAssemblyDistrict82General[[#This Row],[Part of Bronx County Vote Results]]</f>
        <v>2347</v>
      </c>
      <c r="D6" s="11"/>
    </row>
    <row r="7" spans="1:4" ht="13.8" x14ac:dyDescent="0.3">
      <c r="A7" s="3" t="s">
        <v>1</v>
      </c>
      <c r="B7" s="2">
        <v>0</v>
      </c>
      <c r="C7" s="9">
        <f>MemberOfAssemblyAssemblyDistrict82General[[#This Row],[Part of Bronx County Vote Results]]</f>
        <v>0</v>
      </c>
      <c r="D7" s="11"/>
    </row>
    <row r="8" spans="1:4" ht="13.8" x14ac:dyDescent="0.3">
      <c r="A8" s="3" t="s">
        <v>6</v>
      </c>
      <c r="B8" s="2">
        <v>84</v>
      </c>
      <c r="C8" s="9">
        <f>MemberOfAssemblyAssemblyDistrict82General[[#This Row],[Part of Bronx County Vote Results]]</f>
        <v>84</v>
      </c>
      <c r="D8" s="11"/>
    </row>
    <row r="9" spans="1:4" ht="13.8" x14ac:dyDescent="0.3">
      <c r="A9" s="13" t="s">
        <v>2</v>
      </c>
      <c r="B9" s="2">
        <f>SUM(MemberOfAssemblyAssemblyDistrict82General[Part of Bronx County Vote Results])</f>
        <v>53678</v>
      </c>
      <c r="C9" s="9">
        <f>SUM(MemberOfAssemblyAssemblyDistrict82General[Total Votes by Party])</f>
        <v>53678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A7CF-566D-412A-846C-450774737E24}">
  <dimension ref="A1:D9"/>
  <sheetViews>
    <sheetView workbookViewId="0">
      <selection activeCell="C11" sqref="C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386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387</v>
      </c>
      <c r="B3" s="2">
        <v>38151</v>
      </c>
      <c r="C3" s="9">
        <f>MemberOfAssemblyAssemblyDistrict83General[[#This Row],[Part of Bronx County Vote Results]]</f>
        <v>38151</v>
      </c>
      <c r="D3" s="10">
        <f>SUM(MemberOfAssemblyAssemblyDistrict83General[[#This Row],[Total Votes by Party]])</f>
        <v>38151</v>
      </c>
    </row>
    <row r="4" spans="1:4" ht="13.8" x14ac:dyDescent="0.3">
      <c r="A4" s="1" t="s">
        <v>388</v>
      </c>
      <c r="B4" s="2">
        <v>1711</v>
      </c>
      <c r="C4" s="9">
        <f>MemberOfAssemblyAssemblyDistrict83General[[#This Row],[Part of Bronx County Vote Results]]</f>
        <v>1711</v>
      </c>
      <c r="D4" s="10">
        <f>SUM(MemberOfAssemblyAssemblyDistrict83General[[#This Row],[Total Votes by Party]])</f>
        <v>1711</v>
      </c>
    </row>
    <row r="5" spans="1:4" ht="13.8" x14ac:dyDescent="0.3">
      <c r="A5" s="1" t="s">
        <v>389</v>
      </c>
      <c r="B5" s="2">
        <v>1219</v>
      </c>
      <c r="C5" s="9">
        <f>MemberOfAssemblyAssemblyDistrict83General[[#This Row],[Part of Bronx County Vote Results]]</f>
        <v>1219</v>
      </c>
      <c r="D5" s="10">
        <f>SUM(MemberOfAssemblyAssemblyDistrict83General[[#This Row],[Total Votes by Party]])</f>
        <v>1219</v>
      </c>
    </row>
    <row r="6" spans="1:4" ht="13.8" x14ac:dyDescent="0.3">
      <c r="A6" s="3" t="s">
        <v>0</v>
      </c>
      <c r="B6" s="2">
        <v>1586</v>
      </c>
      <c r="C6" s="9">
        <f>MemberOfAssemblyAssemblyDistrict83General[[#This Row],[Part of Bronx County Vote Results]]</f>
        <v>1586</v>
      </c>
      <c r="D6" s="11"/>
    </row>
    <row r="7" spans="1:4" ht="13.8" x14ac:dyDescent="0.3">
      <c r="A7" s="3" t="s">
        <v>1</v>
      </c>
      <c r="B7" s="2">
        <v>0</v>
      </c>
      <c r="C7" s="9">
        <f>MemberOfAssemblyAssemblyDistrict83General[[#This Row],[Part of Bronx County Vote Results]]</f>
        <v>0</v>
      </c>
      <c r="D7" s="11"/>
    </row>
    <row r="8" spans="1:4" ht="13.8" x14ac:dyDescent="0.3">
      <c r="A8" s="3" t="s">
        <v>6</v>
      </c>
      <c r="B8" s="2">
        <v>18</v>
      </c>
      <c r="C8" s="9">
        <f>MemberOfAssemblyAssemblyDistrict83General[[#This Row],[Part of Bronx County Vote Results]]</f>
        <v>18</v>
      </c>
      <c r="D8" s="11"/>
    </row>
    <row r="9" spans="1:4" ht="13.8" x14ac:dyDescent="0.3">
      <c r="A9" s="13" t="s">
        <v>2</v>
      </c>
      <c r="B9" s="2">
        <f>SUM(MemberOfAssemblyAssemblyDistrict83General[Part of Bronx County Vote Results])</f>
        <v>42685</v>
      </c>
      <c r="C9" s="9">
        <f>SUM(MemberOfAssemblyAssemblyDistrict83General[Total Votes by Party])</f>
        <v>42685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2A81-1488-4FA9-95BF-DF858A6EF059}">
  <dimension ref="A1:D11"/>
  <sheetViews>
    <sheetView workbookViewId="0">
      <selection activeCell="C15" sqref="C15"/>
    </sheetView>
  </sheetViews>
  <sheetFormatPr defaultRowHeight="13.2" x14ac:dyDescent="0.25"/>
  <cols>
    <col min="1" max="1" width="27.88671875" customWidth="1"/>
    <col min="2" max="4" width="20.5546875" customWidth="1"/>
    <col min="5" max="6" width="23.5546875" customWidth="1"/>
  </cols>
  <sheetData>
    <row r="1" spans="1:4" ht="18" x14ac:dyDescent="0.25">
      <c r="A1" s="30" t="s">
        <v>390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391</v>
      </c>
      <c r="B3" s="2">
        <v>25775</v>
      </c>
      <c r="C3" s="9">
        <f>MemberOfAssemblyAssemblyDistrict84General[[#This Row],[Part of Bronx County Vote Results]]</f>
        <v>25775</v>
      </c>
      <c r="D3" s="10">
        <f>SUM(MemberOfAssemblyAssemblyDistrict84General[[#This Row],[Total Votes by Party]],C6)</f>
        <v>27296</v>
      </c>
    </row>
    <row r="4" spans="1:4" ht="13.8" x14ac:dyDescent="0.3">
      <c r="A4" s="1" t="s">
        <v>392</v>
      </c>
      <c r="B4" s="2">
        <v>3246</v>
      </c>
      <c r="C4" s="9">
        <f>MemberOfAssemblyAssemblyDistrict84General[[#This Row],[Part of Bronx County Vote Results]]</f>
        <v>3246</v>
      </c>
      <c r="D4" s="10">
        <f>SUM(MemberOfAssemblyAssemblyDistrict84General[[#This Row],[Total Votes by Party]])</f>
        <v>3246</v>
      </c>
    </row>
    <row r="5" spans="1:4" ht="13.8" x14ac:dyDescent="0.3">
      <c r="A5" s="1" t="s">
        <v>393</v>
      </c>
      <c r="B5" s="2">
        <v>624</v>
      </c>
      <c r="C5" s="9">
        <f>MemberOfAssemblyAssemblyDistrict84General[[#This Row],[Part of Bronx County Vote Results]]</f>
        <v>624</v>
      </c>
      <c r="D5" s="10">
        <f>SUM(MemberOfAssemblyAssemblyDistrict84General[[#This Row],[Total Votes by Party]])</f>
        <v>624</v>
      </c>
    </row>
    <row r="6" spans="1:4" ht="13.8" x14ac:dyDescent="0.3">
      <c r="A6" s="1" t="s">
        <v>394</v>
      </c>
      <c r="B6" s="2">
        <v>1521</v>
      </c>
      <c r="C6" s="9">
        <f>MemberOfAssemblyAssemblyDistrict84General[[#This Row],[Part of Bronx County Vote Results]]</f>
        <v>1521</v>
      </c>
      <c r="D6" s="11"/>
    </row>
    <row r="7" spans="1:4" ht="13.8" x14ac:dyDescent="0.3">
      <c r="A7" s="1" t="s">
        <v>395</v>
      </c>
      <c r="B7" s="2">
        <v>1281</v>
      </c>
      <c r="C7" s="9">
        <f>MemberOfAssemblyAssemblyDistrict84General[[#This Row],[Part of Bronx County Vote Results]]</f>
        <v>1281</v>
      </c>
      <c r="D7" s="10">
        <f>SUM(MemberOfAssemblyAssemblyDistrict84General[[#This Row],[Total Votes by Party]])</f>
        <v>1281</v>
      </c>
    </row>
    <row r="8" spans="1:4" ht="13.8" x14ac:dyDescent="0.3">
      <c r="A8" s="3" t="s">
        <v>0</v>
      </c>
      <c r="B8" s="2">
        <v>2222</v>
      </c>
      <c r="C8" s="9">
        <f>MemberOfAssemblyAssemblyDistrict84General[[#This Row],[Part of Bronx County Vote Results]]</f>
        <v>2222</v>
      </c>
      <c r="D8" s="11"/>
    </row>
    <row r="9" spans="1:4" ht="13.8" x14ac:dyDescent="0.3">
      <c r="A9" s="3" t="s">
        <v>1</v>
      </c>
      <c r="B9" s="2">
        <v>0</v>
      </c>
      <c r="C9" s="9">
        <f>MemberOfAssemblyAssemblyDistrict84General[[#This Row],[Part of Bronx County Vote Results]]</f>
        <v>0</v>
      </c>
      <c r="D9" s="11"/>
    </row>
    <row r="10" spans="1:4" ht="13.8" x14ac:dyDescent="0.3">
      <c r="A10" s="3" t="s">
        <v>6</v>
      </c>
      <c r="B10" s="2">
        <v>31</v>
      </c>
      <c r="C10" s="9">
        <f>MemberOfAssemblyAssemblyDistrict84General[[#This Row],[Part of Bronx County Vote Results]]</f>
        <v>31</v>
      </c>
      <c r="D10" s="11"/>
    </row>
    <row r="11" spans="1:4" ht="13.8" x14ac:dyDescent="0.3">
      <c r="A11" s="13" t="s">
        <v>2</v>
      </c>
      <c r="B11" s="2">
        <f>SUM(MemberOfAssemblyAssemblyDistrict84General[Part of Bronx County Vote Results])</f>
        <v>34700</v>
      </c>
      <c r="C11" s="9">
        <f>SUM(MemberOfAssemblyAssemblyDistrict84General[Total Votes by Party])</f>
        <v>34700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CB10-946A-4A59-8ED4-55BD66B7C017}">
  <dimension ref="A1:D9"/>
  <sheetViews>
    <sheetView workbookViewId="0">
      <selection activeCell="C11" sqref="C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396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397</v>
      </c>
      <c r="B3" s="2">
        <v>27924</v>
      </c>
      <c r="C3" s="9">
        <f>MemberOfAssemblyAssemblyDistrict85General[[#This Row],[Part of Bronx County Vote Results]]</f>
        <v>27924</v>
      </c>
      <c r="D3" s="10">
        <f>SUM(MemberOfAssemblyAssemblyDistrict85General[[#This Row],[Total Votes by Party]])</f>
        <v>27924</v>
      </c>
    </row>
    <row r="4" spans="1:4" ht="13.8" x14ac:dyDescent="0.3">
      <c r="A4" s="1" t="s">
        <v>398</v>
      </c>
      <c r="B4" s="2">
        <v>3065</v>
      </c>
      <c r="C4" s="9">
        <f>MemberOfAssemblyAssemblyDistrict85General[[#This Row],[Part of Bronx County Vote Results]]</f>
        <v>3065</v>
      </c>
      <c r="D4" s="10">
        <f>SUM(MemberOfAssemblyAssemblyDistrict85General[[#This Row],[Total Votes by Party]])</f>
        <v>3065</v>
      </c>
    </row>
    <row r="5" spans="1:4" ht="13.8" x14ac:dyDescent="0.3">
      <c r="A5" s="1" t="s">
        <v>399</v>
      </c>
      <c r="B5" s="2">
        <v>650</v>
      </c>
      <c r="C5" s="9">
        <f>MemberOfAssemblyAssemblyDistrict85General[[#This Row],[Part of Bronx County Vote Results]]</f>
        <v>650</v>
      </c>
      <c r="D5" s="10">
        <f>SUM(MemberOfAssemblyAssemblyDistrict85General[[#This Row],[Total Votes by Party]])</f>
        <v>650</v>
      </c>
    </row>
    <row r="6" spans="1:4" ht="13.8" x14ac:dyDescent="0.3">
      <c r="A6" s="3" t="s">
        <v>0</v>
      </c>
      <c r="B6" s="2">
        <v>2296</v>
      </c>
      <c r="C6" s="9">
        <f>MemberOfAssemblyAssemblyDistrict85General[[#This Row],[Part of Bronx County Vote Results]]</f>
        <v>2296</v>
      </c>
      <c r="D6" s="11"/>
    </row>
    <row r="7" spans="1:4" ht="13.8" x14ac:dyDescent="0.3">
      <c r="A7" s="3" t="s">
        <v>1</v>
      </c>
      <c r="B7" s="2">
        <v>0</v>
      </c>
      <c r="C7" s="9">
        <f>MemberOfAssemblyAssemblyDistrict85General[[#This Row],[Part of Bronx County Vote Results]]</f>
        <v>0</v>
      </c>
      <c r="D7" s="11"/>
    </row>
    <row r="8" spans="1:4" ht="13.8" x14ac:dyDescent="0.3">
      <c r="A8" s="3" t="s">
        <v>6</v>
      </c>
      <c r="B8" s="2">
        <v>42</v>
      </c>
      <c r="C8" s="9">
        <f>MemberOfAssemblyAssemblyDistrict85General[[#This Row],[Part of Bronx County Vote Results]]</f>
        <v>42</v>
      </c>
      <c r="D8" s="11"/>
    </row>
    <row r="9" spans="1:4" ht="13.8" x14ac:dyDescent="0.3">
      <c r="A9" s="13" t="s">
        <v>2</v>
      </c>
      <c r="B9" s="2">
        <f>SUM(MemberOfAssemblyAssemblyDistrict85General[Part of Bronx County Vote Results])</f>
        <v>33977</v>
      </c>
      <c r="C9" s="9">
        <f>SUM(MemberOfAssemblyAssemblyDistrict85General[Total Votes by Party])</f>
        <v>33977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BB44-7F78-42C2-BD7C-F16FA0078027}">
  <dimension ref="A1:D8"/>
  <sheetViews>
    <sheetView workbookViewId="0">
      <selection activeCell="C10" sqref="C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400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401</v>
      </c>
      <c r="B3" s="2">
        <v>25338</v>
      </c>
      <c r="C3" s="9">
        <f>MemberOfAssemblyAssemblyDistrict86General[[#This Row],[Part of Bronx County Vote Results]]</f>
        <v>25338</v>
      </c>
      <c r="D3" s="10">
        <f>SUM(MemberOfAssemblyAssemblyDistrict86General[[#This Row],[Total Votes by Party]])</f>
        <v>25338</v>
      </c>
    </row>
    <row r="4" spans="1:4" ht="13.8" x14ac:dyDescent="0.3">
      <c r="A4" s="1" t="s">
        <v>402</v>
      </c>
      <c r="B4" s="2">
        <v>3471</v>
      </c>
      <c r="C4" s="9">
        <f>MemberOfAssemblyAssemblyDistrict86General[[#This Row],[Part of Bronx County Vote Results]]</f>
        <v>3471</v>
      </c>
      <c r="D4" s="10">
        <f>SUM(MemberOfAssemblyAssemblyDistrict86General[[#This Row],[Total Votes by Party]])</f>
        <v>3471</v>
      </c>
    </row>
    <row r="5" spans="1:4" ht="13.8" x14ac:dyDescent="0.3">
      <c r="A5" s="3" t="s">
        <v>0</v>
      </c>
      <c r="B5" s="2">
        <v>2139</v>
      </c>
      <c r="C5" s="9">
        <f>MemberOfAssemblyAssemblyDistrict86General[[#This Row],[Part of Bronx County Vote Results]]</f>
        <v>2139</v>
      </c>
      <c r="D5" s="11"/>
    </row>
    <row r="6" spans="1:4" ht="13.8" x14ac:dyDescent="0.3">
      <c r="A6" s="3" t="s">
        <v>1</v>
      </c>
      <c r="B6" s="2">
        <v>0</v>
      </c>
      <c r="C6" s="9">
        <f>MemberOfAssemblyAssemblyDistrict86General[[#This Row],[Part of Bronx County Vote Results]]</f>
        <v>0</v>
      </c>
      <c r="D6" s="11"/>
    </row>
    <row r="7" spans="1:4" ht="13.8" x14ac:dyDescent="0.3">
      <c r="A7" s="3" t="s">
        <v>6</v>
      </c>
      <c r="B7" s="2">
        <v>70</v>
      </c>
      <c r="C7" s="9">
        <f>MemberOfAssemblyAssemblyDistrict86General[[#This Row],[Part of Bronx County Vote Results]]</f>
        <v>70</v>
      </c>
      <c r="D7" s="11"/>
    </row>
    <row r="8" spans="1:4" ht="13.8" x14ac:dyDescent="0.3">
      <c r="A8" s="13" t="s">
        <v>2</v>
      </c>
      <c r="B8" s="2">
        <f>SUM(MemberOfAssemblyAssemblyDistrict86General[Part of Bronx County Vote Results])</f>
        <v>31018</v>
      </c>
      <c r="C8" s="9">
        <f>SUM(MemberOfAssemblyAssemblyDistrict86General[Total Votes by Party])</f>
        <v>31018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ED3F-888B-4704-A4DC-DBEE299F29B4}">
  <dimension ref="A1:D12"/>
  <sheetViews>
    <sheetView workbookViewId="0">
      <selection activeCell="C16" sqref="C1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403</v>
      </c>
    </row>
    <row r="2" spans="1:4" ht="27.6" x14ac:dyDescent="0.25">
      <c r="A2" s="5" t="s">
        <v>5</v>
      </c>
      <c r="B2" s="6" t="s">
        <v>26</v>
      </c>
      <c r="C2" s="7" t="s">
        <v>3</v>
      </c>
      <c r="D2" s="8" t="s">
        <v>4</v>
      </c>
    </row>
    <row r="3" spans="1:4" ht="13.8" x14ac:dyDescent="0.3">
      <c r="A3" s="1" t="s">
        <v>404</v>
      </c>
      <c r="B3" s="2">
        <v>33004</v>
      </c>
      <c r="C3" s="9">
        <f>MemberOfAssemblyAssemblyDistrict87General[[#This Row],[Part of Bronx County Vote Results]]</f>
        <v>33004</v>
      </c>
      <c r="D3" s="10">
        <f>SUM(MemberOfAssemblyAssemblyDistrict87General[[#This Row],[Total Votes by Party]],C6)</f>
        <v>34861</v>
      </c>
    </row>
    <row r="4" spans="1:4" ht="13.8" x14ac:dyDescent="0.3">
      <c r="A4" s="1" t="s">
        <v>405</v>
      </c>
      <c r="B4" s="2">
        <v>4014</v>
      </c>
      <c r="C4" s="9">
        <f>MemberOfAssemblyAssemblyDistrict87General[[#This Row],[Part of Bronx County Vote Results]]</f>
        <v>4014</v>
      </c>
      <c r="D4" s="10">
        <f>SUM(MemberOfAssemblyAssemblyDistrict87General[[#This Row],[Total Votes by Party]])</f>
        <v>4014</v>
      </c>
    </row>
    <row r="5" spans="1:4" ht="13.8" x14ac:dyDescent="0.3">
      <c r="A5" s="1" t="s">
        <v>406</v>
      </c>
      <c r="B5" s="2">
        <v>658</v>
      </c>
      <c r="C5" s="9">
        <f>MemberOfAssemblyAssemblyDistrict87General[[#This Row],[Part of Bronx County Vote Results]]</f>
        <v>658</v>
      </c>
      <c r="D5" s="10">
        <f>SUM(MemberOfAssemblyAssemblyDistrict87General[[#This Row],[Total Votes by Party]])</f>
        <v>658</v>
      </c>
    </row>
    <row r="6" spans="1:4" ht="13.8" x14ac:dyDescent="0.3">
      <c r="A6" s="1" t="s">
        <v>407</v>
      </c>
      <c r="B6" s="2">
        <v>1857</v>
      </c>
      <c r="C6" s="9">
        <f>MemberOfAssemblyAssemblyDistrict87General[[#This Row],[Part of Bronx County Vote Results]]</f>
        <v>1857</v>
      </c>
      <c r="D6" s="11"/>
    </row>
    <row r="7" spans="1:4" ht="13.8" x14ac:dyDescent="0.3">
      <c r="A7" s="1" t="s">
        <v>408</v>
      </c>
      <c r="B7" s="2">
        <v>224</v>
      </c>
      <c r="C7" s="9">
        <f>MemberOfAssemblyAssemblyDistrict87General[[#This Row],[Part of Bronx County Vote Results]]</f>
        <v>224</v>
      </c>
      <c r="D7" s="10">
        <f>SUM(MemberOfAssemblyAssemblyDistrict87General[[#This Row],[Total Votes by Party]])</f>
        <v>224</v>
      </c>
    </row>
    <row r="8" spans="1:4" ht="13.8" x14ac:dyDescent="0.3">
      <c r="A8" s="3" t="s">
        <v>0</v>
      </c>
      <c r="B8" s="2">
        <v>1981</v>
      </c>
      <c r="C8" s="9">
        <f>MemberOfAssemblyAssemblyDistrict87General[[#This Row],[Part of Bronx County Vote Results]]</f>
        <v>1981</v>
      </c>
      <c r="D8" s="11"/>
    </row>
    <row r="9" spans="1:4" ht="13.8" x14ac:dyDescent="0.3">
      <c r="A9" s="3" t="s">
        <v>1</v>
      </c>
      <c r="B9" s="2">
        <v>0</v>
      </c>
      <c r="C9" s="9">
        <f>MemberOfAssemblyAssemblyDistrict87General[[#This Row],[Part of Bronx County Vote Results]]</f>
        <v>0</v>
      </c>
      <c r="D9" s="11"/>
    </row>
    <row r="10" spans="1:4" ht="13.8" x14ac:dyDescent="0.3">
      <c r="A10" s="3" t="s">
        <v>6</v>
      </c>
      <c r="B10" s="2">
        <v>35</v>
      </c>
      <c r="C10" s="9">
        <f>MemberOfAssemblyAssemblyDistrict87General[[#This Row],[Part of Bronx County Vote Results]]</f>
        <v>35</v>
      </c>
      <c r="D10" s="11"/>
    </row>
    <row r="11" spans="1:4" ht="13.8" x14ac:dyDescent="0.3">
      <c r="A11" s="13" t="s">
        <v>2</v>
      </c>
      <c r="B11" s="2">
        <f>SUM(MemberOfAssemblyAssemblyDistrict87General[Part of Bronx County Vote Results])</f>
        <v>41773</v>
      </c>
      <c r="C11" s="9">
        <f>SUM(MemberOfAssemblyAssemblyDistrict87General[Total Votes by Party])</f>
        <v>41773</v>
      </c>
      <c r="D11" s="11"/>
    </row>
    <row r="12" spans="1:4" x14ac:dyDescent="0.25">
      <c r="B12" s="12"/>
    </row>
  </sheetData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5FA1-0764-430E-BED9-A5BC7DF16C23}">
  <dimension ref="A1:D9"/>
  <sheetViews>
    <sheetView workbookViewId="0">
      <selection activeCell="B3" sqref="B3:B8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409</v>
      </c>
    </row>
    <row r="2" spans="1:4" ht="27.6" x14ac:dyDescent="0.25">
      <c r="A2" s="5" t="s">
        <v>5</v>
      </c>
      <c r="B2" s="6" t="s">
        <v>27</v>
      </c>
      <c r="C2" s="7" t="s">
        <v>3</v>
      </c>
      <c r="D2" s="8" t="s">
        <v>4</v>
      </c>
    </row>
    <row r="3" spans="1:4" ht="13.8" x14ac:dyDescent="0.3">
      <c r="A3" s="1" t="s">
        <v>410</v>
      </c>
      <c r="B3" s="21">
        <v>44365</v>
      </c>
      <c r="C3" s="9">
        <f>MemberOfAssemblyAssemblyDistrict88General[[#This Row],[Part of Westchester County Vote Results]]</f>
        <v>44365</v>
      </c>
      <c r="D3" s="10">
        <f>SUM(MemberOfAssemblyAssemblyDistrict88General[[#This Row],[Total Votes by Party]],C4,C5)</f>
        <v>49856</v>
      </c>
    </row>
    <row r="4" spans="1:4" ht="13.8" x14ac:dyDescent="0.3">
      <c r="A4" s="1" t="s">
        <v>411</v>
      </c>
      <c r="B4" s="21">
        <v>5184</v>
      </c>
      <c r="C4" s="9">
        <f>MemberOfAssemblyAssemblyDistrict88General[[#This Row],[Part of Westchester County Vote Results]]</f>
        <v>5184</v>
      </c>
      <c r="D4" s="11"/>
    </row>
    <row r="5" spans="1:4" ht="13.8" x14ac:dyDescent="0.3">
      <c r="A5" s="1" t="s">
        <v>412</v>
      </c>
      <c r="B5" s="21">
        <v>307</v>
      </c>
      <c r="C5" s="9">
        <f>MemberOfAssemblyAssemblyDistrict88General[[#This Row],[Part of Westchester County Vote Results]]</f>
        <v>307</v>
      </c>
      <c r="D5" s="11"/>
    </row>
    <row r="6" spans="1:4" ht="13.8" x14ac:dyDescent="0.3">
      <c r="A6" s="3" t="s">
        <v>0</v>
      </c>
      <c r="B6" s="21"/>
      <c r="C6" s="9">
        <f>MemberOfAssemblyAssemblyDistrict88General[[#This Row],[Part of Westchester County Vote Results]]</f>
        <v>0</v>
      </c>
      <c r="D6" s="11"/>
    </row>
    <row r="7" spans="1:4" ht="13.8" x14ac:dyDescent="0.3">
      <c r="A7" s="3" t="s">
        <v>1</v>
      </c>
      <c r="B7" s="21"/>
      <c r="C7" s="9">
        <f>MemberOfAssemblyAssemblyDistrict88General[[#This Row],[Part of Westchester County Vote Results]]</f>
        <v>0</v>
      </c>
      <c r="D7" s="11"/>
    </row>
    <row r="8" spans="1:4" ht="13.8" x14ac:dyDescent="0.3">
      <c r="A8" s="3" t="s">
        <v>6</v>
      </c>
      <c r="B8" s="21">
        <v>228</v>
      </c>
      <c r="C8" s="9">
        <f>MemberOfAssemblyAssemblyDistrict88General[[#This Row],[Part of Westchester County Vote Results]]</f>
        <v>228</v>
      </c>
      <c r="D8" s="11"/>
    </row>
    <row r="9" spans="1:4" ht="13.8" x14ac:dyDescent="0.3">
      <c r="A9" s="13" t="s">
        <v>2</v>
      </c>
      <c r="B9" s="2">
        <f>SUM(MemberOfAssemblyAssemblyDistrict88General[Part of Westchester County Vote Results])</f>
        <v>50084</v>
      </c>
      <c r="C9" s="9">
        <f>SUM(MemberOfAssemblyAssemblyDistrict88General[Total Votes by Party])</f>
        <v>50084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BA7E-8A99-4364-8944-4F4F7A139CBF}">
  <dimension ref="A1:D7"/>
  <sheetViews>
    <sheetView workbookViewId="0">
      <selection activeCell="B3" sqref="B3:B6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413</v>
      </c>
    </row>
    <row r="2" spans="1:4" ht="27.6" x14ac:dyDescent="0.25">
      <c r="A2" s="5" t="s">
        <v>5</v>
      </c>
      <c r="B2" s="6" t="s">
        <v>27</v>
      </c>
      <c r="C2" s="7" t="s">
        <v>3</v>
      </c>
      <c r="D2" s="8" t="s">
        <v>4</v>
      </c>
    </row>
    <row r="3" spans="1:4" ht="13.8" x14ac:dyDescent="0.3">
      <c r="A3" s="1" t="s">
        <v>414</v>
      </c>
      <c r="B3" s="21">
        <v>35845</v>
      </c>
      <c r="C3" s="9">
        <f>MemberOfAssemblyAssemblyDistrict89General[[#This Row],[Part of Westchester County Vote Results]]</f>
        <v>35845</v>
      </c>
      <c r="D3" s="10">
        <f>SUM(MemberOfAssemblyAssemblyDistrict89General[[#This Row],[Total Votes by Party]])</f>
        <v>35845</v>
      </c>
    </row>
    <row r="4" spans="1:4" ht="13.8" x14ac:dyDescent="0.3">
      <c r="A4" s="3" t="s">
        <v>0</v>
      </c>
      <c r="B4" s="21"/>
      <c r="C4" s="9">
        <f>MemberOfAssemblyAssemblyDistrict89General[[#This Row],[Part of Westchester County Vote Results]]</f>
        <v>0</v>
      </c>
      <c r="D4" s="11"/>
    </row>
    <row r="5" spans="1:4" ht="13.8" x14ac:dyDescent="0.3">
      <c r="A5" s="3" t="s">
        <v>1</v>
      </c>
      <c r="B5" s="21"/>
      <c r="C5" s="9">
        <f>MemberOfAssemblyAssemblyDistrict89General[[#This Row],[Part of Westchester County Vote Results]]</f>
        <v>0</v>
      </c>
      <c r="D5" s="11"/>
    </row>
    <row r="6" spans="1:4" ht="13.8" x14ac:dyDescent="0.3">
      <c r="A6" s="3" t="s">
        <v>6</v>
      </c>
      <c r="B6" s="21">
        <v>59</v>
      </c>
      <c r="C6" s="9">
        <f>MemberOfAssemblyAssemblyDistrict89General[[#This Row],[Part of Westchester County Vote Results]]</f>
        <v>59</v>
      </c>
      <c r="D6" s="11"/>
    </row>
    <row r="7" spans="1:4" ht="13.8" x14ac:dyDescent="0.3">
      <c r="A7" s="13" t="s">
        <v>2</v>
      </c>
      <c r="B7" s="2">
        <f>SUM(MemberOfAssemblyAssemblyDistrict89General[Part of Westchester County Vote Results])</f>
        <v>35904</v>
      </c>
      <c r="C7" s="9">
        <f>SUM(MemberOfAssemblyAssemblyDistrict89General[Total Votes by Party])</f>
        <v>35904</v>
      </c>
      <c r="D7" s="1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8E69-2551-4BE8-9112-356AAC0C0DB3}">
  <dimension ref="A1:E12"/>
  <sheetViews>
    <sheetView workbookViewId="0">
      <selection activeCell="C3" sqref="C3:C12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107</v>
      </c>
    </row>
    <row r="2" spans="1:5" ht="27.6" x14ac:dyDescent="0.25">
      <c r="A2" s="5" t="s">
        <v>5</v>
      </c>
      <c r="B2" s="6" t="s">
        <v>22</v>
      </c>
      <c r="C2" s="6" t="s">
        <v>21</v>
      </c>
      <c r="D2" s="7" t="s">
        <v>3</v>
      </c>
      <c r="E2" s="8" t="s">
        <v>4</v>
      </c>
    </row>
    <row r="3" spans="1:5" ht="13.8" x14ac:dyDescent="0.3">
      <c r="A3" s="1" t="s">
        <v>108</v>
      </c>
      <c r="B3" s="21">
        <v>14518</v>
      </c>
      <c r="C3" s="21">
        <v>14518</v>
      </c>
      <c r="D3" s="9">
        <f>SUM(MemberOfAssemblyAssemblyDistrict9General[[#This Row],[Part of Nassau County Vote Results]:[Part of Suffolk County Vote Results]])</f>
        <v>29036</v>
      </c>
      <c r="E3" s="10">
        <f>SUM(MemberOfAssemblyAssemblyDistrict9General[[#This Row],[Total Votes by Party]],D6)</f>
        <v>30968</v>
      </c>
    </row>
    <row r="4" spans="1:5" ht="13.8" x14ac:dyDescent="0.3">
      <c r="A4" s="1" t="s">
        <v>109</v>
      </c>
      <c r="B4" s="21">
        <v>20681</v>
      </c>
      <c r="C4" s="21">
        <v>20681</v>
      </c>
      <c r="D4" s="9">
        <f>SUM(MemberOfAssemblyAssemblyDistrict9General[[#This Row],[Part of Nassau County Vote Results]:[Part of Suffolk County Vote Results]])</f>
        <v>41362</v>
      </c>
      <c r="E4" s="10">
        <f>SUM(MemberOfAssemblyAssemblyDistrict9General[[#This Row],[Total Votes by Party]],D5,D7,D8)</f>
        <v>46942</v>
      </c>
    </row>
    <row r="5" spans="1:5" ht="13.8" x14ac:dyDescent="0.3">
      <c r="A5" s="1" t="s">
        <v>110</v>
      </c>
      <c r="B5" s="21">
        <v>2205</v>
      </c>
      <c r="C5" s="21">
        <v>2205</v>
      </c>
      <c r="D5" s="9">
        <f>SUM(MemberOfAssemblyAssemblyDistrict9General[[#This Row],[Part of Nassau County Vote Results]:[Part of Suffolk County Vote Results]])</f>
        <v>4410</v>
      </c>
      <c r="E5" s="11"/>
    </row>
    <row r="6" spans="1:5" ht="13.8" x14ac:dyDescent="0.3">
      <c r="A6" s="1" t="s">
        <v>111</v>
      </c>
      <c r="B6" s="21">
        <v>966</v>
      </c>
      <c r="C6" s="21">
        <v>966</v>
      </c>
      <c r="D6" s="9">
        <f>SUM(MemberOfAssemblyAssemblyDistrict9General[[#This Row],[Part of Nassau County Vote Results]:[Part of Suffolk County Vote Results]])</f>
        <v>1932</v>
      </c>
      <c r="E6" s="11"/>
    </row>
    <row r="7" spans="1:5" ht="13.8" x14ac:dyDescent="0.3">
      <c r="A7" s="1" t="s">
        <v>112</v>
      </c>
      <c r="B7" s="21">
        <v>201</v>
      </c>
      <c r="C7" s="21">
        <v>201</v>
      </c>
      <c r="D7" s="9">
        <f>SUM(MemberOfAssemblyAssemblyDistrict9General[[#This Row],[Part of Nassau County Vote Results]:[Part of Suffolk County Vote Results]])</f>
        <v>402</v>
      </c>
      <c r="E7" s="11"/>
    </row>
    <row r="8" spans="1:5" ht="13.8" x14ac:dyDescent="0.3">
      <c r="A8" s="1" t="s">
        <v>113</v>
      </c>
      <c r="B8" s="21">
        <v>384</v>
      </c>
      <c r="C8" s="21">
        <v>384</v>
      </c>
      <c r="D8" s="9">
        <f>SUM(MemberOfAssemblyAssemblyDistrict9General[[#This Row],[Part of Nassau County Vote Results]:[Part of Suffolk County Vote Results]])</f>
        <v>768</v>
      </c>
      <c r="E8" s="11"/>
    </row>
    <row r="9" spans="1:5" ht="13.8" x14ac:dyDescent="0.3">
      <c r="A9" s="3" t="s">
        <v>0</v>
      </c>
      <c r="B9" s="21">
        <v>3568</v>
      </c>
      <c r="C9" s="21">
        <v>3568</v>
      </c>
      <c r="D9" s="9">
        <f>SUM(MemberOfAssemblyAssemblyDistrict9General[[#This Row],[Part of Nassau County Vote Results]:[Part of Suffolk County Vote Results]])</f>
        <v>7136</v>
      </c>
      <c r="E9" s="11"/>
    </row>
    <row r="10" spans="1:5" ht="13.8" x14ac:dyDescent="0.3">
      <c r="A10" s="3" t="s">
        <v>1</v>
      </c>
      <c r="B10" s="21">
        <v>20</v>
      </c>
      <c r="C10" s="21">
        <v>20</v>
      </c>
      <c r="D10" s="9">
        <f>SUM(MemberOfAssemblyAssemblyDistrict9General[[#This Row],[Part of Nassau County Vote Results]:[Part of Suffolk County Vote Results]])</f>
        <v>40</v>
      </c>
      <c r="E10" s="11"/>
    </row>
    <row r="11" spans="1:5" ht="13.8" x14ac:dyDescent="0.3">
      <c r="A11" s="3" t="s">
        <v>6</v>
      </c>
      <c r="B11" s="22">
        <v>11</v>
      </c>
      <c r="C11" s="22">
        <v>11</v>
      </c>
      <c r="D11" s="9">
        <f>SUM(MemberOfAssemblyAssemblyDistrict9General[[#This Row],[Part of Nassau County Vote Results]:[Part of Suffolk County Vote Results]])</f>
        <v>22</v>
      </c>
      <c r="E11" s="11"/>
    </row>
    <row r="12" spans="1:5" ht="13.8" x14ac:dyDescent="0.3">
      <c r="A12" s="13" t="s">
        <v>2</v>
      </c>
      <c r="B12" s="21">
        <f>SUM(MemberOfAssemblyAssemblyDistrict9General[Part of Nassau County Vote Results])</f>
        <v>42554</v>
      </c>
      <c r="C12" s="21">
        <f>SUM(MemberOfAssemblyAssemblyDistrict9General[Part of Suffolk County Vote Results])</f>
        <v>42554</v>
      </c>
      <c r="D12" s="9">
        <f>SUM(MemberOfAssemblyAssemblyDistrict9General[Total Votes by Party])</f>
        <v>85108</v>
      </c>
      <c r="E12" s="11"/>
    </row>
  </sheetData>
  <pageMargins left="0.7" right="0.7" top="0.75" bottom="0.75" header="0.3" footer="0.3"/>
  <ignoredErrors>
    <ignoredError sqref="E4" calculatedColumn="1"/>
  </ignoredErrors>
  <tableParts count="1">
    <tablePart r:id="rId1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A9EC-6A37-4534-BA5C-97204039A938}">
  <dimension ref="A1:D8"/>
  <sheetViews>
    <sheetView workbookViewId="0">
      <selection activeCell="B3" sqref="B3:B7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415</v>
      </c>
    </row>
    <row r="2" spans="1:4" ht="27.6" x14ac:dyDescent="0.25">
      <c r="A2" s="5" t="s">
        <v>5</v>
      </c>
      <c r="B2" s="6" t="s">
        <v>27</v>
      </c>
      <c r="C2" s="7" t="s">
        <v>3</v>
      </c>
      <c r="D2" s="8" t="s">
        <v>4</v>
      </c>
    </row>
    <row r="3" spans="1:4" ht="13.8" x14ac:dyDescent="0.3">
      <c r="A3" s="1" t="s">
        <v>416</v>
      </c>
      <c r="B3" s="21">
        <v>32169</v>
      </c>
      <c r="C3" s="9">
        <f>MemberOfAssemblyAssemblyDistrict90General[[#This Row],[Part of Westchester County Vote Results]]</f>
        <v>32169</v>
      </c>
      <c r="D3" s="10">
        <f>SUM(MemberOfAssemblyAssemblyDistrict90General[[#This Row],[Total Votes by Party]],C4)</f>
        <v>34805</v>
      </c>
    </row>
    <row r="4" spans="1:4" ht="13.8" x14ac:dyDescent="0.3">
      <c r="A4" s="1" t="s">
        <v>417</v>
      </c>
      <c r="B4" s="21">
        <v>2636</v>
      </c>
      <c r="C4" s="9">
        <f>MemberOfAssemblyAssemblyDistrict90General[[#This Row],[Part of Westchester County Vote Results]]</f>
        <v>2636</v>
      </c>
      <c r="D4" s="11"/>
    </row>
    <row r="5" spans="1:4" ht="13.8" x14ac:dyDescent="0.3">
      <c r="A5" s="3" t="s">
        <v>0</v>
      </c>
      <c r="B5" s="21"/>
      <c r="C5" s="9">
        <f>MemberOfAssemblyAssemblyDistrict90General[[#This Row],[Part of Westchester County Vote Results]]</f>
        <v>0</v>
      </c>
      <c r="D5" s="11"/>
    </row>
    <row r="6" spans="1:4" ht="13.8" x14ac:dyDescent="0.3">
      <c r="A6" s="3" t="s">
        <v>1</v>
      </c>
      <c r="B6" s="21"/>
      <c r="C6" s="9">
        <f>MemberOfAssemblyAssemblyDistrict90General[[#This Row],[Part of Westchester County Vote Results]]</f>
        <v>0</v>
      </c>
      <c r="D6" s="11"/>
    </row>
    <row r="7" spans="1:4" ht="13.8" x14ac:dyDescent="0.3">
      <c r="A7" s="3" t="s">
        <v>6</v>
      </c>
      <c r="B7" s="21">
        <v>130</v>
      </c>
      <c r="C7" s="9">
        <f>MemberOfAssemblyAssemblyDistrict90General[[#This Row],[Part of Westchester County Vote Results]]</f>
        <v>130</v>
      </c>
      <c r="D7" s="11"/>
    </row>
    <row r="8" spans="1:4" ht="13.8" x14ac:dyDescent="0.3">
      <c r="A8" s="13" t="s">
        <v>2</v>
      </c>
      <c r="B8" s="2">
        <f>SUM(MemberOfAssemblyAssemblyDistrict90General[Part of Westchester County Vote Results])</f>
        <v>34935</v>
      </c>
      <c r="C8" s="9">
        <f>SUM(MemberOfAssemblyAssemblyDistrict90General[Total Votes by Party])</f>
        <v>34935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838A-E37B-44A2-A075-FD1E7ED59238}">
  <dimension ref="A1:D9"/>
  <sheetViews>
    <sheetView workbookViewId="0">
      <selection activeCell="B3" sqref="B3:B8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418</v>
      </c>
    </row>
    <row r="2" spans="1:4" ht="27.6" x14ac:dyDescent="0.25">
      <c r="A2" s="5" t="s">
        <v>5</v>
      </c>
      <c r="B2" s="6" t="s">
        <v>27</v>
      </c>
      <c r="C2" s="7" t="s">
        <v>3</v>
      </c>
      <c r="D2" s="8" t="s">
        <v>4</v>
      </c>
    </row>
    <row r="3" spans="1:4" ht="13.8" x14ac:dyDescent="0.3">
      <c r="A3" s="1" t="s">
        <v>419</v>
      </c>
      <c r="B3" s="21">
        <v>36132</v>
      </c>
      <c r="C3" s="9">
        <f>MemberOfAssemblyAssemblyDistrict91General[[#This Row],[Part of Westchester County Vote Results]]</f>
        <v>36132</v>
      </c>
      <c r="D3" s="10">
        <f>SUM(MemberOfAssemblyAssemblyDistrict91General[[#This Row],[Total Votes by Party]],C4,C5)</f>
        <v>40820</v>
      </c>
    </row>
    <row r="4" spans="1:4" ht="13.8" x14ac:dyDescent="0.3">
      <c r="A4" s="1" t="s">
        <v>420</v>
      </c>
      <c r="B4" s="21">
        <v>3542</v>
      </c>
      <c r="C4" s="9">
        <f>MemberOfAssemblyAssemblyDistrict91General[[#This Row],[Part of Westchester County Vote Results]]</f>
        <v>3542</v>
      </c>
      <c r="D4" s="11"/>
    </row>
    <row r="5" spans="1:4" ht="13.8" x14ac:dyDescent="0.3">
      <c r="A5" s="1" t="s">
        <v>421</v>
      </c>
      <c r="B5" s="21">
        <v>1146</v>
      </c>
      <c r="C5" s="9">
        <f>MemberOfAssemblyAssemblyDistrict91General[[#This Row],[Part of Westchester County Vote Results]]</f>
        <v>1146</v>
      </c>
      <c r="D5" s="11"/>
    </row>
    <row r="6" spans="1:4" ht="13.8" x14ac:dyDescent="0.3">
      <c r="A6" s="3" t="s">
        <v>0</v>
      </c>
      <c r="B6" s="21"/>
      <c r="C6" s="9">
        <f>MemberOfAssemblyAssemblyDistrict91General[[#This Row],[Part of Westchester County Vote Results]]</f>
        <v>0</v>
      </c>
      <c r="D6" s="11"/>
    </row>
    <row r="7" spans="1:4" ht="13.8" x14ac:dyDescent="0.3">
      <c r="A7" s="3" t="s">
        <v>1</v>
      </c>
      <c r="B7" s="21"/>
      <c r="C7" s="9">
        <f>MemberOfAssemblyAssemblyDistrict91General[[#This Row],[Part of Westchester County Vote Results]]</f>
        <v>0</v>
      </c>
      <c r="D7" s="11"/>
    </row>
    <row r="8" spans="1:4" ht="13.8" x14ac:dyDescent="0.3">
      <c r="A8" s="3" t="s">
        <v>6</v>
      </c>
      <c r="B8" s="21">
        <v>125</v>
      </c>
      <c r="C8" s="9">
        <f>MemberOfAssemblyAssemblyDistrict91General[[#This Row],[Part of Westchester County Vote Results]]</f>
        <v>125</v>
      </c>
      <c r="D8" s="11"/>
    </row>
    <row r="9" spans="1:4" ht="13.8" x14ac:dyDescent="0.3">
      <c r="A9" s="13" t="s">
        <v>2</v>
      </c>
      <c r="B9" s="2">
        <f>SUM(MemberOfAssemblyAssemblyDistrict91General[Part of Westchester County Vote Results])</f>
        <v>40945</v>
      </c>
      <c r="C9" s="9">
        <f>SUM(MemberOfAssemblyAssemblyDistrict91General[Total Votes by Party])</f>
        <v>40945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4-A363-45AA-9BF6-C604C83A3D1B}">
  <dimension ref="A1:D8"/>
  <sheetViews>
    <sheetView workbookViewId="0">
      <selection activeCell="B3" sqref="B3:B7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422</v>
      </c>
    </row>
    <row r="2" spans="1:4" ht="27.6" x14ac:dyDescent="0.25">
      <c r="A2" s="5" t="s">
        <v>5</v>
      </c>
      <c r="B2" s="6" t="s">
        <v>27</v>
      </c>
      <c r="C2" s="7" t="s">
        <v>3</v>
      </c>
      <c r="D2" s="8" t="s">
        <v>4</v>
      </c>
    </row>
    <row r="3" spans="1:4" ht="13.8" x14ac:dyDescent="0.3">
      <c r="A3" s="1" t="s">
        <v>423</v>
      </c>
      <c r="B3" s="21">
        <v>45591</v>
      </c>
      <c r="C3" s="9">
        <f>MemberOfAssemblyAssemblyDistrict92General[[#This Row],[Part of Westchester County Vote Results]]</f>
        <v>45591</v>
      </c>
      <c r="D3" s="10">
        <f>SUM(MemberOfAssemblyAssemblyDistrict92General[[#This Row],[Total Votes by Party]],C4)</f>
        <v>51808</v>
      </c>
    </row>
    <row r="4" spans="1:4" ht="13.8" x14ac:dyDescent="0.3">
      <c r="A4" s="1" t="s">
        <v>424</v>
      </c>
      <c r="B4" s="21">
        <v>6217</v>
      </c>
      <c r="C4" s="9">
        <f>MemberOfAssemblyAssemblyDistrict92General[[#This Row],[Part of Westchester County Vote Results]]</f>
        <v>6217</v>
      </c>
      <c r="D4" s="11"/>
    </row>
    <row r="5" spans="1:4" ht="13.8" x14ac:dyDescent="0.3">
      <c r="A5" s="3" t="s">
        <v>0</v>
      </c>
      <c r="B5" s="21"/>
      <c r="C5" s="9">
        <f>MemberOfAssemblyAssemblyDistrict92General[[#This Row],[Part of Westchester County Vote Results]]</f>
        <v>0</v>
      </c>
      <c r="D5" s="11"/>
    </row>
    <row r="6" spans="1:4" ht="13.8" x14ac:dyDescent="0.3">
      <c r="A6" s="3" t="s">
        <v>1</v>
      </c>
      <c r="B6" s="21"/>
      <c r="C6" s="9">
        <f>MemberOfAssemblyAssemblyDistrict92General[[#This Row],[Part of Westchester County Vote Results]]</f>
        <v>0</v>
      </c>
      <c r="D6" s="11"/>
    </row>
    <row r="7" spans="1:4" ht="13.8" x14ac:dyDescent="0.3">
      <c r="A7" s="3" t="s">
        <v>6</v>
      </c>
      <c r="B7" s="21">
        <v>255</v>
      </c>
      <c r="C7" s="9">
        <f>MemberOfAssemblyAssemblyDistrict92General[[#This Row],[Part of Westchester County Vote Results]]</f>
        <v>255</v>
      </c>
      <c r="D7" s="11"/>
    </row>
    <row r="8" spans="1:4" ht="13.8" x14ac:dyDescent="0.3">
      <c r="A8" s="13" t="s">
        <v>2</v>
      </c>
      <c r="B8" s="2">
        <f>SUM(MemberOfAssemblyAssemblyDistrict92General[Part of Westchester County Vote Results])</f>
        <v>52063</v>
      </c>
      <c r="C8" s="9">
        <f>SUM(MemberOfAssemblyAssemblyDistrict92General[Total Votes by Party])</f>
        <v>52063</v>
      </c>
      <c r="D8" s="11"/>
    </row>
  </sheetData>
  <pageMargins left="0.7" right="0.7" top="0.75" bottom="0.75" header="0.3" footer="0.3"/>
  <tableParts count="1">
    <tablePart r:id="rId1"/>
  </tablePart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6E9E-8A32-4D67-9A55-D8D8989FB79D}">
  <dimension ref="A1:D11"/>
  <sheetViews>
    <sheetView workbookViewId="0">
      <selection activeCell="E32" sqref="E32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425</v>
      </c>
    </row>
    <row r="2" spans="1:4" ht="27.6" x14ac:dyDescent="0.25">
      <c r="A2" s="5" t="s">
        <v>5</v>
      </c>
      <c r="B2" s="6" t="s">
        <v>27</v>
      </c>
      <c r="C2" s="7" t="s">
        <v>3</v>
      </c>
      <c r="D2" s="8" t="s">
        <v>4</v>
      </c>
    </row>
    <row r="3" spans="1:4" ht="13.8" x14ac:dyDescent="0.3">
      <c r="A3" s="1" t="s">
        <v>426</v>
      </c>
      <c r="B3" s="21">
        <v>40436</v>
      </c>
      <c r="C3" s="9">
        <f>MemberOfAssemblyAssemblyDistrict93General[[#This Row],[Part of Westchester County Vote Results]]</f>
        <v>40436</v>
      </c>
      <c r="D3" s="10">
        <f>SUM(MemberOfAssemblyAssemblyDistrict93General[[#This Row],[Total Votes by Party]],C6,C7)</f>
        <v>43512</v>
      </c>
    </row>
    <row r="4" spans="1:4" ht="13.8" x14ac:dyDescent="0.3">
      <c r="A4" s="1" t="s">
        <v>427</v>
      </c>
      <c r="B4" s="21">
        <v>20783</v>
      </c>
      <c r="C4" s="9">
        <f>MemberOfAssemblyAssemblyDistrict93General[[#This Row],[Part of Westchester County Vote Results]]</f>
        <v>20783</v>
      </c>
      <c r="D4" s="10">
        <f>SUM(MemberOfAssemblyAssemblyDistrict93General[[#This Row],[Total Votes by Party]],C5)</f>
        <v>22681</v>
      </c>
    </row>
    <row r="5" spans="1:4" ht="13.8" x14ac:dyDescent="0.3">
      <c r="A5" s="1" t="s">
        <v>428</v>
      </c>
      <c r="B5" s="21">
        <v>1898</v>
      </c>
      <c r="C5" s="9">
        <f>MemberOfAssemblyAssemblyDistrict93General[[#This Row],[Part of Westchester County Vote Results]]</f>
        <v>1898</v>
      </c>
      <c r="D5" s="11"/>
    </row>
    <row r="6" spans="1:4" ht="13.8" x14ac:dyDescent="0.3">
      <c r="A6" s="1" t="s">
        <v>429</v>
      </c>
      <c r="B6" s="21">
        <v>2621</v>
      </c>
      <c r="C6" s="9">
        <f>MemberOfAssemblyAssemblyDistrict93General[[#This Row],[Part of Westchester County Vote Results]]</f>
        <v>2621</v>
      </c>
      <c r="D6" s="11"/>
    </row>
    <row r="7" spans="1:4" ht="13.8" x14ac:dyDescent="0.3">
      <c r="A7" s="1" t="s">
        <v>430</v>
      </c>
      <c r="B7" s="21">
        <v>455</v>
      </c>
      <c r="C7" s="9">
        <f>MemberOfAssemblyAssemblyDistrict93General[[#This Row],[Part of Westchester County Vote Results]]</f>
        <v>455</v>
      </c>
      <c r="D7" s="11"/>
    </row>
    <row r="8" spans="1:4" ht="13.8" x14ac:dyDescent="0.3">
      <c r="A8" s="3" t="s">
        <v>0</v>
      </c>
      <c r="B8" s="21"/>
      <c r="C8" s="9">
        <f>MemberOfAssemblyAssemblyDistrict93General[[#This Row],[Part of Westchester County Vote Results]]</f>
        <v>0</v>
      </c>
      <c r="D8" s="11"/>
    </row>
    <row r="9" spans="1:4" ht="13.8" x14ac:dyDescent="0.3">
      <c r="A9" s="3" t="s">
        <v>1</v>
      </c>
      <c r="B9" s="21"/>
      <c r="C9" s="9">
        <f>MemberOfAssemblyAssemblyDistrict93General[[#This Row],[Part of Westchester County Vote Results]]</f>
        <v>0</v>
      </c>
      <c r="D9" s="11"/>
    </row>
    <row r="10" spans="1:4" ht="13.8" x14ac:dyDescent="0.3">
      <c r="A10" s="3" t="s">
        <v>6</v>
      </c>
      <c r="B10" s="21">
        <v>18</v>
      </c>
      <c r="C10" s="9">
        <f>MemberOfAssemblyAssemblyDistrict93General[[#This Row],[Part of Westchester County Vote Results]]</f>
        <v>18</v>
      </c>
      <c r="D10" s="11"/>
    </row>
    <row r="11" spans="1:4" ht="13.8" x14ac:dyDescent="0.3">
      <c r="A11" s="13" t="s">
        <v>2</v>
      </c>
      <c r="B11" s="2">
        <f>SUM(MemberOfAssemblyAssemblyDistrict93General[Part of Westchester County Vote Results])</f>
        <v>66211</v>
      </c>
      <c r="C11" s="9">
        <f>SUM(MemberOfAssemblyAssemblyDistrict93General[Total Votes by Party])</f>
        <v>66211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594A-18BC-43BF-AC70-1270246AC664}">
  <dimension ref="A1:E12"/>
  <sheetViews>
    <sheetView workbookViewId="0">
      <selection activeCell="C3" sqref="C3:C11"/>
    </sheetView>
  </sheetViews>
  <sheetFormatPr defaultRowHeight="13.2" x14ac:dyDescent="0.25"/>
  <cols>
    <col min="1" max="1" width="26.5546875" customWidth="1"/>
    <col min="2" max="5" width="20.5546875" customWidth="1"/>
    <col min="6" max="7" width="23.5546875" customWidth="1"/>
  </cols>
  <sheetData>
    <row r="1" spans="1:5" ht="18" x14ac:dyDescent="0.25">
      <c r="A1" s="30" t="s">
        <v>431</v>
      </c>
    </row>
    <row r="2" spans="1:5" ht="27.6" x14ac:dyDescent="0.25">
      <c r="A2" s="5" t="s">
        <v>5</v>
      </c>
      <c r="B2" s="6" t="s">
        <v>49</v>
      </c>
      <c r="C2" s="6" t="s">
        <v>27</v>
      </c>
      <c r="D2" s="7" t="s">
        <v>3</v>
      </c>
      <c r="E2" s="8" t="s">
        <v>4</v>
      </c>
    </row>
    <row r="3" spans="1:5" ht="13.8" x14ac:dyDescent="0.3">
      <c r="A3" s="1" t="s">
        <v>432</v>
      </c>
      <c r="B3" s="2">
        <v>14769</v>
      </c>
      <c r="C3" s="21">
        <v>15236</v>
      </c>
      <c r="D3" s="9">
        <f>SUM(MemberOfAssemblyAssemblyDistrict94General[[#This Row],[Part of Putnam County Vote Results]:[Part of Westchester County Vote Results]])</f>
        <v>30005</v>
      </c>
      <c r="E3" s="10">
        <f>SUM(MemberOfAssemblyAssemblyDistrict94General[[#This Row],[Total Votes by Party]])</f>
        <v>30005</v>
      </c>
    </row>
    <row r="4" spans="1:5" ht="13.8" x14ac:dyDescent="0.3">
      <c r="A4" s="1" t="s">
        <v>433</v>
      </c>
      <c r="B4" s="2">
        <v>21068</v>
      </c>
      <c r="C4" s="21">
        <v>15638</v>
      </c>
      <c r="D4" s="9">
        <f>SUM(MemberOfAssemblyAssemblyDistrict94General[[#This Row],[Part of Putnam County Vote Results]:[Part of Westchester County Vote Results]])</f>
        <v>36706</v>
      </c>
      <c r="E4" s="10">
        <f>SUM(MemberOfAssemblyAssemblyDistrict94General[[#This Row],[Total Votes by Party]],D5,D6,D7,D8)</f>
        <v>41681</v>
      </c>
    </row>
    <row r="5" spans="1:5" ht="13.8" x14ac:dyDescent="0.3">
      <c r="A5" s="1" t="s">
        <v>434</v>
      </c>
      <c r="B5" s="2">
        <v>2552</v>
      </c>
      <c r="C5" s="21">
        <v>1588</v>
      </c>
      <c r="D5" s="9">
        <f>SUM(MemberOfAssemblyAssemblyDistrict94General[[#This Row],[Part of Putnam County Vote Results]:[Part of Westchester County Vote Results]])</f>
        <v>4140</v>
      </c>
      <c r="E5" s="11"/>
    </row>
    <row r="6" spans="1:5" ht="13.8" x14ac:dyDescent="0.3">
      <c r="A6" s="1" t="s">
        <v>435</v>
      </c>
      <c r="B6" s="2">
        <v>491</v>
      </c>
      <c r="C6" s="21">
        <v>180</v>
      </c>
      <c r="D6" s="9">
        <f>SUM(MemberOfAssemblyAssemblyDistrict94General[[#This Row],[Part of Putnam County Vote Results]:[Part of Westchester County Vote Results]])</f>
        <v>671</v>
      </c>
      <c r="E6" s="11"/>
    </row>
    <row r="7" spans="1:5" ht="13.8" x14ac:dyDescent="0.3">
      <c r="A7" s="1" t="s">
        <v>436</v>
      </c>
      <c r="B7" s="2">
        <v>29</v>
      </c>
      <c r="C7" s="21">
        <v>17</v>
      </c>
      <c r="D7" s="9">
        <f>SUM(MemberOfAssemblyAssemblyDistrict94General[[#This Row],[Part of Putnam County Vote Results]:[Part of Westchester County Vote Results]])</f>
        <v>46</v>
      </c>
      <c r="E7" s="11"/>
    </row>
    <row r="8" spans="1:5" ht="13.8" x14ac:dyDescent="0.3">
      <c r="A8" s="1" t="s">
        <v>437</v>
      </c>
      <c r="B8" s="2">
        <v>73</v>
      </c>
      <c r="C8" s="21">
        <v>45</v>
      </c>
      <c r="D8" s="9">
        <f>SUM(MemberOfAssemblyAssemblyDistrict94General[[#This Row],[Part of Putnam County Vote Results]:[Part of Westchester County Vote Results]])</f>
        <v>118</v>
      </c>
      <c r="E8" s="11"/>
    </row>
    <row r="9" spans="1:5" ht="13.8" x14ac:dyDescent="0.3">
      <c r="A9" s="3" t="s">
        <v>0</v>
      </c>
      <c r="B9" s="2">
        <v>2482</v>
      </c>
      <c r="C9" s="21"/>
      <c r="D9" s="9">
        <f>SUM(MemberOfAssemblyAssemblyDistrict94General[[#This Row],[Part of Putnam County Vote Results]:[Part of Westchester County Vote Results]])</f>
        <v>2482</v>
      </c>
      <c r="E9" s="11"/>
    </row>
    <row r="10" spans="1:5" ht="13.8" x14ac:dyDescent="0.3">
      <c r="A10" s="3" t="s">
        <v>1</v>
      </c>
      <c r="B10" s="2">
        <v>0</v>
      </c>
      <c r="C10" s="21"/>
      <c r="D10" s="9">
        <f>SUM(MemberOfAssemblyAssemblyDistrict94General[[#This Row],[Part of Putnam County Vote Results]:[Part of Westchester County Vote Results]])</f>
        <v>0</v>
      </c>
      <c r="E10" s="11"/>
    </row>
    <row r="11" spans="1:5" ht="13.8" x14ac:dyDescent="0.3">
      <c r="A11" s="3" t="s">
        <v>6</v>
      </c>
      <c r="B11" s="2">
        <v>9</v>
      </c>
      <c r="C11" s="21">
        <v>3</v>
      </c>
      <c r="D11" s="9">
        <f>SUM(MemberOfAssemblyAssemblyDistrict94General[[#This Row],[Part of Putnam County Vote Results]:[Part of Westchester County Vote Results]])</f>
        <v>12</v>
      </c>
      <c r="E11" s="11"/>
    </row>
    <row r="12" spans="1:5" ht="13.8" x14ac:dyDescent="0.3">
      <c r="A12" s="13" t="s">
        <v>2</v>
      </c>
      <c r="B12" s="2">
        <f>SUM(MemberOfAssemblyAssemblyDistrict94General[Part of Putnam County Vote Results])</f>
        <v>41473</v>
      </c>
      <c r="C12" s="2">
        <f>SUM(MemberOfAssemblyAssemblyDistrict94General[Part of Westchester County Vote Results])</f>
        <v>32707</v>
      </c>
      <c r="D12" s="9">
        <f>SUM(MemberOfAssemblyAssemblyDistrict94General[Total Votes by Party])</f>
        <v>74180</v>
      </c>
      <c r="E12" s="11"/>
    </row>
  </sheetData>
  <pageMargins left="0.7" right="0.7" top="0.75" bottom="0.75" header="0.3" footer="0.3"/>
  <tableParts count="1">
    <tablePart r:id="rId1"/>
  </tablePart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50B0-E477-4CE8-8D3E-E875CD499105}">
  <dimension ref="A1:E9"/>
  <sheetViews>
    <sheetView workbookViewId="0">
      <selection activeCell="C3" sqref="C3:C8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438</v>
      </c>
    </row>
    <row r="2" spans="1:5" ht="27.6" x14ac:dyDescent="0.25">
      <c r="A2" s="5" t="s">
        <v>5</v>
      </c>
      <c r="B2" s="6" t="s">
        <v>49</v>
      </c>
      <c r="C2" s="6" t="s">
        <v>27</v>
      </c>
      <c r="D2" s="7" t="s">
        <v>3</v>
      </c>
      <c r="E2" s="8" t="s">
        <v>4</v>
      </c>
    </row>
    <row r="3" spans="1:5" ht="13.8" x14ac:dyDescent="0.3">
      <c r="A3" s="1" t="s">
        <v>439</v>
      </c>
      <c r="B3" s="2">
        <v>7259</v>
      </c>
      <c r="C3" s="21">
        <v>31976</v>
      </c>
      <c r="D3" s="9">
        <f>SUM(MemberOfAssemblyAssemblyDistrict95General[[#This Row],[Part of Putnam County Vote Results]:[Part of Westchester County Vote Results]])</f>
        <v>39235</v>
      </c>
      <c r="E3" s="10">
        <f>SUM(MemberOfAssemblyAssemblyDistrict95General[[#This Row],[Total Votes by Party]])</f>
        <v>39235</v>
      </c>
    </row>
    <row r="4" spans="1:5" ht="13.8" x14ac:dyDescent="0.3">
      <c r="A4" s="1" t="s">
        <v>440</v>
      </c>
      <c r="B4" s="2">
        <v>4878</v>
      </c>
      <c r="C4" s="21">
        <v>13090</v>
      </c>
      <c r="D4" s="9">
        <f>SUM(MemberOfAssemblyAssemblyDistrict95General[[#This Row],[Part of Putnam County Vote Results]:[Part of Westchester County Vote Results]])</f>
        <v>17968</v>
      </c>
      <c r="E4" s="10">
        <f>SUM(MemberOfAssemblyAssemblyDistrict95General[[#This Row],[Total Votes by Party]],D5)</f>
        <v>20237</v>
      </c>
    </row>
    <row r="5" spans="1:5" ht="13.8" x14ac:dyDescent="0.3">
      <c r="A5" s="1" t="s">
        <v>441</v>
      </c>
      <c r="B5" s="2">
        <v>776</v>
      </c>
      <c r="C5" s="21">
        <v>1493</v>
      </c>
      <c r="D5" s="9">
        <f>SUM(MemberOfAssemblyAssemblyDistrict95General[[#This Row],[Part of Putnam County Vote Results]:[Part of Westchester County Vote Results]])</f>
        <v>2269</v>
      </c>
      <c r="E5" s="11"/>
    </row>
    <row r="6" spans="1:5" ht="13.8" x14ac:dyDescent="0.3">
      <c r="A6" s="3" t="s">
        <v>0</v>
      </c>
      <c r="B6" s="2">
        <v>928</v>
      </c>
      <c r="C6" s="21"/>
      <c r="D6" s="9">
        <f>SUM(MemberOfAssemblyAssemblyDistrict95General[[#This Row],[Part of Putnam County Vote Results]:[Part of Westchester County Vote Results]])</f>
        <v>928</v>
      </c>
      <c r="E6" s="11"/>
    </row>
    <row r="7" spans="1:5" ht="13.8" x14ac:dyDescent="0.3">
      <c r="A7" s="3" t="s">
        <v>1</v>
      </c>
      <c r="B7" s="2">
        <v>0</v>
      </c>
      <c r="C7" s="21"/>
      <c r="D7" s="9">
        <f>SUM(MemberOfAssemblyAssemblyDistrict95General[[#This Row],[Part of Putnam County Vote Results]:[Part of Westchester County Vote Results]])</f>
        <v>0</v>
      </c>
      <c r="E7" s="11"/>
    </row>
    <row r="8" spans="1:5" ht="13.8" x14ac:dyDescent="0.3">
      <c r="A8" s="3" t="s">
        <v>6</v>
      </c>
      <c r="B8" s="2">
        <v>4</v>
      </c>
      <c r="C8" s="21">
        <v>16</v>
      </c>
      <c r="D8" s="9">
        <f>SUM(MemberOfAssemblyAssemblyDistrict95General[[#This Row],[Part of Putnam County Vote Results]:[Part of Westchester County Vote Results]])</f>
        <v>20</v>
      </c>
      <c r="E8" s="11"/>
    </row>
    <row r="9" spans="1:5" ht="13.8" x14ac:dyDescent="0.3">
      <c r="A9" s="13" t="s">
        <v>2</v>
      </c>
      <c r="B9" s="2">
        <f>SUM(MemberOfAssemblyAssemblyDistrict95General[Part of Putnam County Vote Results])</f>
        <v>13845</v>
      </c>
      <c r="C9" s="2">
        <f>SUM(MemberOfAssemblyAssemblyDistrict95General[Part of Westchester County Vote Results])</f>
        <v>46575</v>
      </c>
      <c r="D9" s="9">
        <f>SUM(MemberOfAssemblyAssemblyDistrict95General[Total Votes by Party])</f>
        <v>60420</v>
      </c>
      <c r="E9" s="11"/>
    </row>
  </sheetData>
  <pageMargins left="0.7" right="0.7" top="0.75" bottom="0.75" header="0.3" footer="0.3"/>
  <tableParts count="1">
    <tablePart r:id="rId1"/>
  </tablePart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0FED-36A3-4680-AE92-C7BF538C29F8}">
  <dimension ref="A1:D9"/>
  <sheetViews>
    <sheetView workbookViewId="0">
      <selection activeCell="B9" sqref="B9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442</v>
      </c>
    </row>
    <row r="2" spans="1:4" ht="27.6" x14ac:dyDescent="0.25">
      <c r="A2" s="5" t="s">
        <v>5</v>
      </c>
      <c r="B2" s="6" t="s">
        <v>46</v>
      </c>
      <c r="C2" s="7" t="s">
        <v>3</v>
      </c>
      <c r="D2" s="8" t="s">
        <v>4</v>
      </c>
    </row>
    <row r="3" spans="1:4" ht="13.8" x14ac:dyDescent="0.3">
      <c r="A3" s="1" t="s">
        <v>443</v>
      </c>
      <c r="B3" s="21">
        <v>38159</v>
      </c>
      <c r="C3" s="9">
        <f>MemberOfAssemblyAssemblyDistrict96General[[#This Row],[Part of Rockland County Vote Results]]</f>
        <v>38159</v>
      </c>
      <c r="D3" s="10">
        <f>SUM(MemberOfAssemblyAssemblyDistrict96General[[#This Row],[Total Votes by Party]],C4,C5)</f>
        <v>45439</v>
      </c>
    </row>
    <row r="4" spans="1:4" ht="13.8" x14ac:dyDescent="0.3">
      <c r="A4" s="1" t="s">
        <v>444</v>
      </c>
      <c r="B4" s="21">
        <v>6049</v>
      </c>
      <c r="C4" s="9">
        <f>MemberOfAssemblyAssemblyDistrict96General[[#This Row],[Part of Rockland County Vote Results]]</f>
        <v>6049</v>
      </c>
      <c r="D4" s="11"/>
    </row>
    <row r="5" spans="1:4" ht="13.8" x14ac:dyDescent="0.3">
      <c r="A5" s="1" t="s">
        <v>445</v>
      </c>
      <c r="B5" s="21">
        <v>1231</v>
      </c>
      <c r="C5" s="9">
        <f>MemberOfAssemblyAssemblyDistrict96General[[#This Row],[Part of Rockland County Vote Results]]</f>
        <v>1231</v>
      </c>
      <c r="D5" s="11"/>
    </row>
    <row r="6" spans="1:4" ht="13.8" x14ac:dyDescent="0.3">
      <c r="A6" s="3" t="s">
        <v>0</v>
      </c>
      <c r="B6" s="21">
        <v>23562</v>
      </c>
      <c r="C6" s="9">
        <f>MemberOfAssemblyAssemblyDistrict96General[[#This Row],[Part of Rockland County Vote Results]]</f>
        <v>23562</v>
      </c>
      <c r="D6" s="11"/>
    </row>
    <row r="7" spans="1:4" ht="13.8" x14ac:dyDescent="0.3">
      <c r="A7" s="3" t="s">
        <v>1</v>
      </c>
      <c r="B7" s="21">
        <v>5</v>
      </c>
      <c r="C7" s="9">
        <f>MemberOfAssemblyAssemblyDistrict96General[[#This Row],[Part of Rockland County Vote Results]]</f>
        <v>5</v>
      </c>
      <c r="D7" s="11"/>
    </row>
    <row r="8" spans="1:4" ht="13.8" x14ac:dyDescent="0.3">
      <c r="A8" s="3" t="s">
        <v>6</v>
      </c>
      <c r="B8" s="21">
        <v>343</v>
      </c>
      <c r="C8" s="9">
        <f>MemberOfAssemblyAssemblyDistrict96General[[#This Row],[Part of Rockland County Vote Results]]</f>
        <v>343</v>
      </c>
      <c r="D8" s="11"/>
    </row>
    <row r="9" spans="1:4" ht="13.8" x14ac:dyDescent="0.3">
      <c r="A9" s="13" t="s">
        <v>2</v>
      </c>
      <c r="B9" s="21">
        <f>SUM(MemberOfAssemblyAssemblyDistrict96General[Part of Rockland County Vote Results])</f>
        <v>69349</v>
      </c>
      <c r="C9" s="9">
        <f>SUM(MemberOfAssemblyAssemblyDistrict96General[Total Votes by Party])</f>
        <v>69349</v>
      </c>
      <c r="D9" s="11"/>
    </row>
  </sheetData>
  <pageMargins left="0.7" right="0.7" top="0.75" bottom="0.75" header="0.3" footer="0.3"/>
  <tableParts count="1">
    <tablePart r:id="rId1"/>
  </tablePart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B9D8-2980-435E-987D-E36114A88399}">
  <dimension ref="A1:D11"/>
  <sheetViews>
    <sheetView workbookViewId="0">
      <selection activeCell="B11" sqref="B11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30" t="s">
        <v>446</v>
      </c>
    </row>
    <row r="2" spans="1:4" ht="27.6" x14ac:dyDescent="0.25">
      <c r="A2" s="5" t="s">
        <v>5</v>
      </c>
      <c r="B2" s="6" t="s">
        <v>46</v>
      </c>
      <c r="C2" s="7" t="s">
        <v>3</v>
      </c>
      <c r="D2" s="8" t="s">
        <v>4</v>
      </c>
    </row>
    <row r="3" spans="1:4" ht="13.8" x14ac:dyDescent="0.3">
      <c r="A3" s="1" t="s">
        <v>447</v>
      </c>
      <c r="B3" s="21">
        <v>27359</v>
      </c>
      <c r="C3" s="9">
        <f>MemberOfAssemblyAssemblyDistrict97General[[#This Row],[Part of Rockland County Vote Results]]</f>
        <v>27359</v>
      </c>
      <c r="D3" s="10">
        <f>SUM(MemberOfAssemblyAssemblyDistrict97General[[#This Row],[Total Votes by Party]])</f>
        <v>27359</v>
      </c>
    </row>
    <row r="4" spans="1:4" ht="13.8" x14ac:dyDescent="0.3">
      <c r="A4" s="1" t="s">
        <v>448</v>
      </c>
      <c r="B4" s="21">
        <v>26527</v>
      </c>
      <c r="C4" s="9">
        <f>MemberOfAssemblyAssemblyDistrict97General[[#This Row],[Part of Rockland County Vote Results]]</f>
        <v>26527</v>
      </c>
      <c r="D4" s="10">
        <f>SUM(MemberOfAssemblyAssemblyDistrict97General[[#This Row],[Total Votes by Party]],C5,C6,C7)</f>
        <v>29936</v>
      </c>
    </row>
    <row r="5" spans="1:4" ht="13.8" x14ac:dyDescent="0.3">
      <c r="A5" s="1" t="s">
        <v>449</v>
      </c>
      <c r="B5" s="21">
        <v>2697</v>
      </c>
      <c r="C5" s="9">
        <f>MemberOfAssemblyAssemblyDistrict97General[[#This Row],[Part of Rockland County Vote Results]]</f>
        <v>2697</v>
      </c>
      <c r="D5" s="11"/>
    </row>
    <row r="6" spans="1:4" ht="13.8" x14ac:dyDescent="0.3">
      <c r="A6" s="1" t="s">
        <v>450</v>
      </c>
      <c r="B6" s="21">
        <v>315</v>
      </c>
      <c r="C6" s="9">
        <f>MemberOfAssemblyAssemblyDistrict97General[[#This Row],[Part of Rockland County Vote Results]]</f>
        <v>315</v>
      </c>
      <c r="D6" s="11"/>
    </row>
    <row r="7" spans="1:4" ht="13.8" x14ac:dyDescent="0.3">
      <c r="A7" s="1" t="s">
        <v>451</v>
      </c>
      <c r="B7" s="21">
        <v>397</v>
      </c>
      <c r="C7" s="9">
        <f>MemberOfAssemblyAssemblyDistrict97General[[#This Row],[Part of Rockland County Vote Results]]</f>
        <v>397</v>
      </c>
      <c r="D7" s="11"/>
    </row>
    <row r="8" spans="1:4" ht="13.8" x14ac:dyDescent="0.3">
      <c r="A8" s="3" t="s">
        <v>0</v>
      </c>
      <c r="B8" s="21">
        <v>3685</v>
      </c>
      <c r="C8" s="9">
        <f>MemberOfAssemblyAssemblyDistrict97General[[#This Row],[Part of Rockland County Vote Results]]</f>
        <v>3685</v>
      </c>
      <c r="D8" s="11"/>
    </row>
    <row r="9" spans="1:4" ht="13.8" x14ac:dyDescent="0.3">
      <c r="A9" s="3" t="s">
        <v>1</v>
      </c>
      <c r="B9" s="21">
        <v>50</v>
      </c>
      <c r="C9" s="9">
        <f>MemberOfAssemblyAssemblyDistrict97General[[#This Row],[Part of Rockland County Vote Results]]</f>
        <v>50</v>
      </c>
      <c r="D9" s="11"/>
    </row>
    <row r="10" spans="1:4" ht="13.8" x14ac:dyDescent="0.3">
      <c r="A10" s="3" t="s">
        <v>6</v>
      </c>
      <c r="B10" s="21">
        <v>35</v>
      </c>
      <c r="C10" s="9">
        <f>MemberOfAssemblyAssemblyDistrict97General[[#This Row],[Part of Rockland County Vote Results]]</f>
        <v>35</v>
      </c>
      <c r="D10" s="11"/>
    </row>
    <row r="11" spans="1:4" ht="13.8" x14ac:dyDescent="0.3">
      <c r="A11" s="13" t="s">
        <v>2</v>
      </c>
      <c r="B11" s="21">
        <f>SUM(MemberOfAssemblyAssemblyDistrict97General[Part of Rockland County Vote Results])</f>
        <v>61065</v>
      </c>
      <c r="C11" s="9">
        <f>SUM(MemberOfAssemblyAssemblyDistrict97General[Total Votes by Party])</f>
        <v>61065</v>
      </c>
      <c r="D11" s="11"/>
    </row>
  </sheetData>
  <pageMargins left="0.7" right="0.7" top="0.75" bottom="0.75" header="0.3" footer="0.3"/>
  <tableParts count="1">
    <tablePart r:id="rId1"/>
  </tablePart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62A1-81A0-4AD2-A198-802D11EDF641}">
  <dimension ref="A1:E9"/>
  <sheetViews>
    <sheetView workbookViewId="0">
      <selection activeCell="B10" sqref="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452</v>
      </c>
    </row>
    <row r="2" spans="1:5" ht="27.6" x14ac:dyDescent="0.25">
      <c r="A2" s="5" t="s">
        <v>5</v>
      </c>
      <c r="B2" s="6" t="s">
        <v>47</v>
      </c>
      <c r="C2" s="6" t="s">
        <v>46</v>
      </c>
      <c r="D2" s="7" t="s">
        <v>3</v>
      </c>
      <c r="E2" s="8" t="s">
        <v>4</v>
      </c>
    </row>
    <row r="3" spans="1:5" ht="13.8" x14ac:dyDescent="0.3">
      <c r="A3" s="1" t="s">
        <v>453</v>
      </c>
      <c r="B3" s="2">
        <v>27588</v>
      </c>
      <c r="C3" s="21">
        <v>6174</v>
      </c>
      <c r="D3" s="9">
        <f>SUM(MemberOfAssemblyAssemblyDistrict98General[[#This Row],[Part of Orange County Vote Results]:[Part of Rockland County Vote Results]])</f>
        <v>33762</v>
      </c>
      <c r="E3" s="10">
        <f t="shared" ref="E3" si="0">SUM(D3,D4,D5)</f>
        <v>41477</v>
      </c>
    </row>
    <row r="4" spans="1:5" ht="13.8" x14ac:dyDescent="0.3">
      <c r="A4" s="1" t="s">
        <v>454</v>
      </c>
      <c r="B4" s="2">
        <v>3273</v>
      </c>
      <c r="C4" s="21">
        <v>1998</v>
      </c>
      <c r="D4" s="9">
        <f>SUM(MemberOfAssemblyAssemblyDistrict98General[[#This Row],[Part of Orange County Vote Results]:[Part of Rockland County Vote Results]])</f>
        <v>5271</v>
      </c>
      <c r="E4" s="11"/>
    </row>
    <row r="5" spans="1:5" ht="13.8" x14ac:dyDescent="0.3">
      <c r="A5" s="1" t="s">
        <v>455</v>
      </c>
      <c r="B5" s="2">
        <v>2115</v>
      </c>
      <c r="C5" s="21">
        <v>329</v>
      </c>
      <c r="D5" s="9">
        <f>SUM(MemberOfAssemblyAssemblyDistrict98General[[#This Row],[Part of Orange County Vote Results]:[Part of Rockland County Vote Results]])</f>
        <v>2444</v>
      </c>
      <c r="E5" s="11"/>
    </row>
    <row r="6" spans="1:5" ht="13.8" x14ac:dyDescent="0.3">
      <c r="A6" s="3" t="s">
        <v>0</v>
      </c>
      <c r="B6" s="2">
        <v>15453</v>
      </c>
      <c r="C6" s="21">
        <v>3865</v>
      </c>
      <c r="D6" s="9">
        <f>SUM(MemberOfAssemblyAssemblyDistrict98General[[#This Row],[Part of Orange County Vote Results]:[Part of Rockland County Vote Results]])</f>
        <v>19318</v>
      </c>
      <c r="E6" s="11"/>
    </row>
    <row r="7" spans="1:5" ht="13.8" x14ac:dyDescent="0.3">
      <c r="A7" s="3" t="s">
        <v>1</v>
      </c>
      <c r="B7" s="2">
        <v>0</v>
      </c>
      <c r="C7" s="21">
        <v>3</v>
      </c>
      <c r="D7" s="9">
        <f>SUM(MemberOfAssemblyAssemblyDistrict98General[[#This Row],[Part of Orange County Vote Results]:[Part of Rockland County Vote Results]])</f>
        <v>3</v>
      </c>
      <c r="E7" s="11"/>
    </row>
    <row r="8" spans="1:5" ht="13.8" x14ac:dyDescent="0.3">
      <c r="A8" s="3" t="s">
        <v>6</v>
      </c>
      <c r="B8" s="2">
        <v>451</v>
      </c>
      <c r="C8" s="21">
        <v>89</v>
      </c>
      <c r="D8" s="9">
        <f>SUM(MemberOfAssemblyAssemblyDistrict98General[[#This Row],[Part of Orange County Vote Results]:[Part of Rockland County Vote Results]])</f>
        <v>540</v>
      </c>
      <c r="E8" s="11"/>
    </row>
    <row r="9" spans="1:5" ht="13.8" x14ac:dyDescent="0.3">
      <c r="A9" s="13" t="s">
        <v>2</v>
      </c>
      <c r="B9" s="2">
        <f>SUM(MemberOfAssemblyAssemblyDistrict98General[Part of Orange County Vote Results])</f>
        <v>48880</v>
      </c>
      <c r="C9" s="21">
        <f>SUM(MemberOfAssemblyAssemblyDistrict98General[Part of Rockland County Vote Results])</f>
        <v>12458</v>
      </c>
      <c r="D9" s="9">
        <f>SUM(MemberOfAssemblyAssemblyDistrict98General[Total Votes by Party])</f>
        <v>61338</v>
      </c>
      <c r="E9" s="11"/>
    </row>
  </sheetData>
  <pageMargins left="0.7" right="0.7" top="0.75" bottom="0.75" header="0.3" footer="0.3"/>
  <tableParts count="1">
    <tablePart r:id="rId1"/>
  </tablePart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3C68-2958-4DC3-A6AB-775DA8C96B9C}">
  <dimension ref="A1:E13"/>
  <sheetViews>
    <sheetView workbookViewId="0">
      <selection activeCell="C18" sqref="C18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30" t="s">
        <v>456</v>
      </c>
    </row>
    <row r="2" spans="1:5" ht="27.6" x14ac:dyDescent="0.25">
      <c r="A2" s="5" t="s">
        <v>5</v>
      </c>
      <c r="B2" s="6" t="s">
        <v>47</v>
      </c>
      <c r="C2" s="6" t="s">
        <v>46</v>
      </c>
      <c r="D2" s="7" t="s">
        <v>3</v>
      </c>
      <c r="E2" s="8" t="s">
        <v>4</v>
      </c>
    </row>
    <row r="3" spans="1:5" ht="13.8" x14ac:dyDescent="0.3">
      <c r="A3" s="1" t="s">
        <v>457</v>
      </c>
      <c r="B3" s="2">
        <v>22744</v>
      </c>
      <c r="C3" s="21">
        <v>2736</v>
      </c>
      <c r="D3" s="9">
        <f>SUM(MemberOfAssemblyAssemblyDistrict99General[[#This Row],[Part of Orange County Vote Results]:[Part of Rockland County Vote Results]])</f>
        <v>25480</v>
      </c>
      <c r="E3" s="10">
        <f>SUM(D3,D6)</f>
        <v>27276</v>
      </c>
    </row>
    <row r="4" spans="1:5" ht="13.8" x14ac:dyDescent="0.3">
      <c r="A4" s="1" t="s">
        <v>458</v>
      </c>
      <c r="B4" s="2">
        <v>26985</v>
      </c>
      <c r="C4" s="21">
        <v>4399</v>
      </c>
      <c r="D4" s="9">
        <f>SUM(MemberOfAssemblyAssemblyDistrict99General[[#This Row],[Part of Orange County Vote Results]:[Part of Rockland County Vote Results]])</f>
        <v>31384</v>
      </c>
      <c r="E4" s="10">
        <f>SUM(D4,D5,D7,D8,D9)</f>
        <v>36599</v>
      </c>
    </row>
    <row r="5" spans="1:5" ht="13.8" x14ac:dyDescent="0.3">
      <c r="A5" s="1" t="s">
        <v>459</v>
      </c>
      <c r="B5" s="2">
        <v>3607</v>
      </c>
      <c r="C5" s="21">
        <v>474</v>
      </c>
      <c r="D5" s="9">
        <f>SUM(MemberOfAssemblyAssemblyDistrict99General[[#This Row],[Part of Orange County Vote Results]:[Part of Rockland County Vote Results]])</f>
        <v>4081</v>
      </c>
      <c r="E5" s="11"/>
    </row>
    <row r="6" spans="1:5" ht="13.8" x14ac:dyDescent="0.3">
      <c r="A6" s="1" t="s">
        <v>460</v>
      </c>
      <c r="B6" s="2">
        <v>1601</v>
      </c>
      <c r="C6" s="21">
        <v>195</v>
      </c>
      <c r="D6" s="9">
        <f>SUM(MemberOfAssemblyAssemblyDistrict99General[[#This Row],[Part of Orange County Vote Results]:[Part of Rockland County Vote Results]])</f>
        <v>1796</v>
      </c>
      <c r="E6" s="11"/>
    </row>
    <row r="7" spans="1:5" ht="13.8" x14ac:dyDescent="0.3">
      <c r="A7" s="1" t="s">
        <v>461</v>
      </c>
      <c r="B7" s="2">
        <v>377</v>
      </c>
      <c r="C7" s="21">
        <v>31</v>
      </c>
      <c r="D7" s="9">
        <f>SUM(MemberOfAssemblyAssemblyDistrict99General[[#This Row],[Part of Orange County Vote Results]:[Part of Rockland County Vote Results]])</f>
        <v>408</v>
      </c>
      <c r="E7" s="11"/>
    </row>
    <row r="8" spans="1:5" ht="13.8" x14ac:dyDescent="0.3">
      <c r="A8" s="1" t="s">
        <v>462</v>
      </c>
      <c r="B8" s="2">
        <v>576</v>
      </c>
      <c r="C8" s="21">
        <v>41</v>
      </c>
      <c r="D8" s="9">
        <f>SUM(MemberOfAssemblyAssemblyDistrict99General[[#This Row],[Part of Orange County Vote Results]:[Part of Rockland County Vote Results]])</f>
        <v>617</v>
      </c>
      <c r="E8" s="11"/>
    </row>
    <row r="9" spans="1:5" ht="13.8" x14ac:dyDescent="0.3">
      <c r="A9" s="1" t="s">
        <v>463</v>
      </c>
      <c r="B9" s="2">
        <v>83</v>
      </c>
      <c r="C9" s="21">
        <v>26</v>
      </c>
      <c r="D9" s="9">
        <f>SUM(MemberOfAssemblyAssemblyDistrict99General[[#This Row],[Part of Orange County Vote Results]:[Part of Rockland County Vote Results]])</f>
        <v>109</v>
      </c>
      <c r="E9" s="11"/>
    </row>
    <row r="10" spans="1:5" ht="13.8" x14ac:dyDescent="0.3">
      <c r="A10" s="3" t="s">
        <v>0</v>
      </c>
      <c r="B10" s="2">
        <v>3798</v>
      </c>
      <c r="C10" s="21">
        <v>606</v>
      </c>
      <c r="D10" s="9">
        <f>SUM(MemberOfAssemblyAssemblyDistrict99General[[#This Row],[Part of Orange County Vote Results]:[Part of Rockland County Vote Results]])</f>
        <v>4404</v>
      </c>
      <c r="E10" s="11"/>
    </row>
    <row r="11" spans="1:5" ht="13.8" x14ac:dyDescent="0.3">
      <c r="A11" s="3" t="s">
        <v>1</v>
      </c>
      <c r="B11" s="2">
        <v>0</v>
      </c>
      <c r="C11" s="21">
        <v>0</v>
      </c>
      <c r="D11" s="9">
        <f>SUM(MemberOfAssemblyAssemblyDistrict99General[[#This Row],[Part of Orange County Vote Results]:[Part of Rockland County Vote Results]])</f>
        <v>0</v>
      </c>
      <c r="E11" s="11"/>
    </row>
    <row r="12" spans="1:5" ht="13.8" x14ac:dyDescent="0.3">
      <c r="A12" s="3" t="s">
        <v>6</v>
      </c>
      <c r="B12" s="2">
        <v>16</v>
      </c>
      <c r="C12" s="21">
        <v>1</v>
      </c>
      <c r="D12" s="9">
        <f>SUM(MemberOfAssemblyAssemblyDistrict99General[[#This Row],[Part of Orange County Vote Results]:[Part of Rockland County Vote Results]])</f>
        <v>17</v>
      </c>
      <c r="E12" s="11"/>
    </row>
    <row r="13" spans="1:5" ht="13.8" x14ac:dyDescent="0.3">
      <c r="A13" s="13" t="s">
        <v>2</v>
      </c>
      <c r="B13" s="2">
        <f>SUM(MemberOfAssemblyAssemblyDistrict99General[Part of Orange County Vote Results])</f>
        <v>59787</v>
      </c>
      <c r="C13" s="21">
        <f>SUM(MemberOfAssemblyAssemblyDistrict99General[Part of Rockland County Vote Results])</f>
        <v>8509</v>
      </c>
      <c r="D13" s="9">
        <f>SUM(MemberOfAssemblyAssemblyDistrict99General[Total Votes by Party])</f>
        <v>68296</v>
      </c>
      <c r="E13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150</vt:i4>
      </vt:variant>
      <vt:variant>
        <vt:lpstr>Named Ranges</vt:lpstr>
      </vt:variant>
      <vt:variant>
        <vt:i4>1</vt:i4>
      </vt:variant>
    </vt:vector>
  </HeadingPairs>
  <TitlesOfParts>
    <vt:vector size="151" baseType="lpstr">
      <vt:lpstr>1st AD</vt:lpstr>
      <vt:lpstr>2nd AD</vt:lpstr>
      <vt:lpstr>3rd AD</vt:lpstr>
      <vt:lpstr>4th AD</vt:lpstr>
      <vt:lpstr>5th AD</vt:lpstr>
      <vt:lpstr>6th AD</vt:lpstr>
      <vt:lpstr>7th AD</vt:lpstr>
      <vt:lpstr>8th AD</vt:lpstr>
      <vt:lpstr>9th AD</vt:lpstr>
      <vt:lpstr>10th AD</vt:lpstr>
      <vt:lpstr>11th AD</vt:lpstr>
      <vt:lpstr>12th AD</vt:lpstr>
      <vt:lpstr>13th AD</vt:lpstr>
      <vt:lpstr>14th AD</vt:lpstr>
      <vt:lpstr>15th AD</vt:lpstr>
      <vt:lpstr>16th AD</vt:lpstr>
      <vt:lpstr>17th AD</vt:lpstr>
      <vt:lpstr>18th AD</vt:lpstr>
      <vt:lpstr>19th AD</vt:lpstr>
      <vt:lpstr>20th AD</vt:lpstr>
      <vt:lpstr>21st AD</vt:lpstr>
      <vt:lpstr>22nd AD</vt:lpstr>
      <vt:lpstr>23rd AD</vt:lpstr>
      <vt:lpstr>24th AD</vt:lpstr>
      <vt:lpstr>25th AD</vt:lpstr>
      <vt:lpstr>26th AD</vt:lpstr>
      <vt:lpstr>27th AD</vt:lpstr>
      <vt:lpstr>28th AD</vt:lpstr>
      <vt:lpstr>29th AD</vt:lpstr>
      <vt:lpstr>30th AD</vt:lpstr>
      <vt:lpstr>31st AD</vt:lpstr>
      <vt:lpstr>32nd AD</vt:lpstr>
      <vt:lpstr>33rd AD</vt:lpstr>
      <vt:lpstr>34th AD</vt:lpstr>
      <vt:lpstr>35th AD</vt:lpstr>
      <vt:lpstr>36th AD</vt:lpstr>
      <vt:lpstr>37th AD</vt:lpstr>
      <vt:lpstr>38th AD</vt:lpstr>
      <vt:lpstr>39th AD</vt:lpstr>
      <vt:lpstr>40th AD</vt:lpstr>
      <vt:lpstr>41st AD</vt:lpstr>
      <vt:lpstr>42nd AD</vt:lpstr>
      <vt:lpstr>43rd AD</vt:lpstr>
      <vt:lpstr>44th AD</vt:lpstr>
      <vt:lpstr>45th AD</vt:lpstr>
      <vt:lpstr>46th AD</vt:lpstr>
      <vt:lpstr>47th AD</vt:lpstr>
      <vt:lpstr>48th AD</vt:lpstr>
      <vt:lpstr>49th AD</vt:lpstr>
      <vt:lpstr>50th AD</vt:lpstr>
      <vt:lpstr>51st AD</vt:lpstr>
      <vt:lpstr>52nd AD</vt:lpstr>
      <vt:lpstr>53rd AD</vt:lpstr>
      <vt:lpstr>54th AD</vt:lpstr>
      <vt:lpstr>55th AD</vt:lpstr>
      <vt:lpstr>56th AD</vt:lpstr>
      <vt:lpstr>57th AD</vt:lpstr>
      <vt:lpstr>58th AD</vt:lpstr>
      <vt:lpstr>59th AD</vt:lpstr>
      <vt:lpstr>60th AD</vt:lpstr>
      <vt:lpstr>61st AD</vt:lpstr>
      <vt:lpstr>62nd AD</vt:lpstr>
      <vt:lpstr>63rd AD</vt:lpstr>
      <vt:lpstr>64th AD</vt:lpstr>
      <vt:lpstr>65th AD</vt:lpstr>
      <vt:lpstr>66th AD</vt:lpstr>
      <vt:lpstr>67th AD</vt:lpstr>
      <vt:lpstr>68th AD</vt:lpstr>
      <vt:lpstr>69th AD</vt:lpstr>
      <vt:lpstr>70th AD</vt:lpstr>
      <vt:lpstr>71st AD</vt:lpstr>
      <vt:lpstr>72nd AD</vt:lpstr>
      <vt:lpstr>73rd AD</vt:lpstr>
      <vt:lpstr>74th AD</vt:lpstr>
      <vt:lpstr>75th AD</vt:lpstr>
      <vt:lpstr>76th AD</vt:lpstr>
      <vt:lpstr>77th AD</vt:lpstr>
      <vt:lpstr>78th AD</vt:lpstr>
      <vt:lpstr>79th AD</vt:lpstr>
      <vt:lpstr>80th AD</vt:lpstr>
      <vt:lpstr>81st AD</vt:lpstr>
      <vt:lpstr>82nd AD</vt:lpstr>
      <vt:lpstr>83rd AD</vt:lpstr>
      <vt:lpstr>84th AD</vt:lpstr>
      <vt:lpstr>85th AD</vt:lpstr>
      <vt:lpstr>86th AD</vt:lpstr>
      <vt:lpstr>87th AD</vt:lpstr>
      <vt:lpstr>88th AD</vt:lpstr>
      <vt:lpstr>89th AD</vt:lpstr>
      <vt:lpstr>90th AD</vt:lpstr>
      <vt:lpstr>91st AD</vt:lpstr>
      <vt:lpstr>92nd AD</vt:lpstr>
      <vt:lpstr>93rd AD</vt:lpstr>
      <vt:lpstr>94th AD</vt:lpstr>
      <vt:lpstr>95th AD</vt:lpstr>
      <vt:lpstr>96th AD</vt:lpstr>
      <vt:lpstr>97th AD</vt:lpstr>
      <vt:lpstr>98th AD</vt:lpstr>
      <vt:lpstr>99th AD</vt:lpstr>
      <vt:lpstr>100th AD</vt:lpstr>
      <vt:lpstr>101st AD</vt:lpstr>
      <vt:lpstr>102nd AD</vt:lpstr>
      <vt:lpstr>103rd AD</vt:lpstr>
      <vt:lpstr>104th AD</vt:lpstr>
      <vt:lpstr>105th AD</vt:lpstr>
      <vt:lpstr>106th AD</vt:lpstr>
      <vt:lpstr>107th AD</vt:lpstr>
      <vt:lpstr>108th AD</vt:lpstr>
      <vt:lpstr>109th AD</vt:lpstr>
      <vt:lpstr>110th AD</vt:lpstr>
      <vt:lpstr>111th AD</vt:lpstr>
      <vt:lpstr>112th AD</vt:lpstr>
      <vt:lpstr>113th AD</vt:lpstr>
      <vt:lpstr>114th AD</vt:lpstr>
      <vt:lpstr>115th AD</vt:lpstr>
      <vt:lpstr>116th AD</vt:lpstr>
      <vt:lpstr>117th AD</vt:lpstr>
      <vt:lpstr>118th AD</vt:lpstr>
      <vt:lpstr>119th AD</vt:lpstr>
      <vt:lpstr>120th AD</vt:lpstr>
      <vt:lpstr>121st AD</vt:lpstr>
      <vt:lpstr>122nd AD</vt:lpstr>
      <vt:lpstr>123rd AD</vt:lpstr>
      <vt:lpstr>124th AD</vt:lpstr>
      <vt:lpstr>125th AD</vt:lpstr>
      <vt:lpstr>126th AD</vt:lpstr>
      <vt:lpstr>127th AD</vt:lpstr>
      <vt:lpstr>128th AD</vt:lpstr>
      <vt:lpstr>129th AD</vt:lpstr>
      <vt:lpstr>130th AD</vt:lpstr>
      <vt:lpstr>131st AD</vt:lpstr>
      <vt:lpstr>132nd AD</vt:lpstr>
      <vt:lpstr>133rd AD</vt:lpstr>
      <vt:lpstr>134th AD</vt:lpstr>
      <vt:lpstr>135th AD</vt:lpstr>
      <vt:lpstr>136th AD</vt:lpstr>
      <vt:lpstr>137th AD</vt:lpstr>
      <vt:lpstr>138th AD</vt:lpstr>
      <vt:lpstr>139th AD</vt:lpstr>
      <vt:lpstr>140th AD</vt:lpstr>
      <vt:lpstr>141st AD</vt:lpstr>
      <vt:lpstr>142nd AD</vt:lpstr>
      <vt:lpstr>143rd AD</vt:lpstr>
      <vt:lpstr>144th AD</vt:lpstr>
      <vt:lpstr>145th AD</vt:lpstr>
      <vt:lpstr>146th AD</vt:lpstr>
      <vt:lpstr>147th AD</vt:lpstr>
      <vt:lpstr>148th AD</vt:lpstr>
      <vt:lpstr>149th AD</vt:lpstr>
      <vt:lpstr>150th AD</vt:lpstr>
      <vt:lpstr>'1st AD'!Print_Area</vt:lpstr>
    </vt:vector>
  </TitlesOfParts>
  <Manager/>
  <Company>NYSBOE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pjorczak</dc:creator>
  <cp:keywords/>
  <dc:description/>
  <cp:lastModifiedBy>Joyce Cornell</cp:lastModifiedBy>
  <cp:revision/>
  <dcterms:created xsi:type="dcterms:W3CDTF">2008-10-28T18:22:21Z</dcterms:created>
  <dcterms:modified xsi:type="dcterms:W3CDTF">2020-12-03T18:15:31Z</dcterms:modified>
  <cp:category/>
  <cp:contentStatus/>
</cp:coreProperties>
</file>