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W:\Current Code\NYSBOE\Elections\2020\General\"/>
    </mc:Choice>
  </mc:AlternateContent>
  <xr:revisionPtr revIDLastSave="0" documentId="8_{3CAE5BE1-0059-4172-AB0F-A96554E4D4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st CD" sheetId="3" r:id="rId1"/>
    <sheet name="2nd CD" sheetId="269" r:id="rId2"/>
    <sheet name="3rd CD" sheetId="272" r:id="rId3"/>
    <sheet name="4th CD" sheetId="273" r:id="rId4"/>
    <sheet name="5th CD" sheetId="274" r:id="rId5"/>
    <sheet name="6th CD" sheetId="275" r:id="rId6"/>
    <sheet name="7th CD" sheetId="276" r:id="rId7"/>
    <sheet name="8th CD" sheetId="277" r:id="rId8"/>
    <sheet name="9th CD" sheetId="278" r:id="rId9"/>
    <sheet name="10th CD" sheetId="279" r:id="rId10"/>
    <sheet name="11th CD" sheetId="280" r:id="rId11"/>
    <sheet name="12th CD" sheetId="281" r:id="rId12"/>
    <sheet name="13th CD" sheetId="282" r:id="rId13"/>
    <sheet name="14th CD" sheetId="283" r:id="rId14"/>
    <sheet name="15th CD" sheetId="284" r:id="rId15"/>
    <sheet name="16th CD" sheetId="285" r:id="rId16"/>
    <sheet name="17th CD" sheetId="286" r:id="rId17"/>
    <sheet name="18th CD" sheetId="287" r:id="rId18"/>
    <sheet name="19th CD" sheetId="288" r:id="rId19"/>
    <sheet name="20th CD" sheetId="289" r:id="rId20"/>
    <sheet name="21st CD" sheetId="290" r:id="rId21"/>
    <sheet name="22nd CD" sheetId="291" r:id="rId22"/>
    <sheet name="23rd CD" sheetId="292" r:id="rId23"/>
    <sheet name="24th CD" sheetId="293" r:id="rId24"/>
    <sheet name="25th CD" sheetId="294" r:id="rId25"/>
    <sheet name="26th CD" sheetId="295" r:id="rId26"/>
    <sheet name="27th CD" sheetId="296" r:id="rId27"/>
  </sheets>
  <definedNames>
    <definedName name="_xlnm.Print_Area" localSheetId="0">'1st CD'!$A$1:$E$11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88" l="1"/>
  <c r="M4" i="288"/>
  <c r="M5" i="288"/>
  <c r="M6" i="288"/>
  <c r="M7" i="288"/>
  <c r="M8" i="288"/>
  <c r="M9" i="288"/>
  <c r="M11" i="288"/>
  <c r="J10" i="288"/>
  <c r="M10" i="288" s="1"/>
  <c r="D11" i="287"/>
  <c r="E11" i="290"/>
  <c r="E12" i="296"/>
  <c r="D6" i="295" l="1"/>
  <c r="E6" i="295" s="1"/>
  <c r="G8" i="289"/>
  <c r="N7" i="288"/>
  <c r="N6" i="288"/>
  <c r="N4" i="288"/>
  <c r="N3" i="288"/>
  <c r="D8" i="286"/>
  <c r="E8" i="286" s="1"/>
  <c r="D7" i="286"/>
  <c r="E7" i="286" s="1"/>
  <c r="C8" i="278" l="1"/>
  <c r="D8" i="278" s="1"/>
  <c r="E7" i="276"/>
  <c r="F7" i="276" s="1"/>
  <c r="D4" i="274"/>
  <c r="D5" i="274"/>
  <c r="D6" i="274"/>
  <c r="C8" i="275"/>
  <c r="C7" i="275"/>
  <c r="C6" i="275"/>
  <c r="I12" i="296" l="1"/>
  <c r="H12" i="296"/>
  <c r="G12" i="296"/>
  <c r="F12" i="296"/>
  <c r="D12" i="296"/>
  <c r="C12" i="296"/>
  <c r="B12" i="296"/>
  <c r="C11" i="295"/>
  <c r="B11" i="295"/>
  <c r="B12" i="294"/>
  <c r="E11" i="293"/>
  <c r="D11" i="293"/>
  <c r="C11" i="293"/>
  <c r="B11" i="293"/>
  <c r="L12" i="292" l="1"/>
  <c r="K12" i="292"/>
  <c r="J12" i="292"/>
  <c r="I12" i="292"/>
  <c r="H12" i="292"/>
  <c r="G12" i="292"/>
  <c r="F12" i="292"/>
  <c r="E12" i="292"/>
  <c r="D12" i="292"/>
  <c r="C12" i="292"/>
  <c r="B12" i="292"/>
  <c r="I12" i="291"/>
  <c r="H12" i="291"/>
  <c r="G12" i="291"/>
  <c r="F12" i="291"/>
  <c r="E12" i="291"/>
  <c r="D12" i="291"/>
  <c r="C12" i="291"/>
  <c r="B12" i="291"/>
  <c r="M11" i="290" l="1"/>
  <c r="L11" i="290"/>
  <c r="K11" i="290"/>
  <c r="J11" i="290"/>
  <c r="I11" i="290"/>
  <c r="H11" i="290"/>
  <c r="G11" i="290"/>
  <c r="F11" i="290"/>
  <c r="D11" i="290"/>
  <c r="C11" i="290"/>
  <c r="B11" i="290"/>
  <c r="F12" i="289"/>
  <c r="E12" i="289"/>
  <c r="D12" i="289"/>
  <c r="C12" i="289"/>
  <c r="B12" i="289"/>
  <c r="L12" i="288"/>
  <c r="K12" i="288"/>
  <c r="J12" i="288"/>
  <c r="I12" i="288"/>
  <c r="H12" i="288"/>
  <c r="G12" i="288"/>
  <c r="F12" i="288"/>
  <c r="E12" i="288"/>
  <c r="D12" i="288"/>
  <c r="C12" i="288"/>
  <c r="B12" i="288"/>
  <c r="E13" i="287"/>
  <c r="D13" i="287"/>
  <c r="C13" i="287"/>
  <c r="B13" i="287"/>
  <c r="C12" i="286"/>
  <c r="B12" i="286"/>
  <c r="C8" i="285"/>
  <c r="B8" i="285"/>
  <c r="B9" i="284"/>
  <c r="C10" i="283"/>
  <c r="B10" i="283"/>
  <c r="C10" i="282"/>
  <c r="B10" i="282"/>
  <c r="D10" i="281"/>
  <c r="C10" i="281"/>
  <c r="B10" i="281"/>
  <c r="C10" i="280"/>
  <c r="B10" i="280"/>
  <c r="C11" i="279"/>
  <c r="B11" i="279"/>
  <c r="B12" i="278"/>
  <c r="C10" i="277"/>
  <c r="B10" i="277"/>
  <c r="D11" i="276"/>
  <c r="C11" i="276"/>
  <c r="B11" i="276"/>
  <c r="B12" i="275"/>
  <c r="C7" i="274"/>
  <c r="B7" i="274"/>
  <c r="B10" i="273"/>
  <c r="D12" i="272"/>
  <c r="C12" i="272"/>
  <c r="B12" i="272"/>
  <c r="C14" i="269"/>
  <c r="B14" i="269"/>
  <c r="B11" i="3"/>
  <c r="C3" i="3" l="1"/>
  <c r="C4" i="3"/>
  <c r="C5" i="3"/>
  <c r="C6" i="3"/>
  <c r="C7" i="3"/>
  <c r="C8" i="3"/>
  <c r="C9" i="3"/>
  <c r="C10" i="3"/>
  <c r="D4" i="3" l="1"/>
  <c r="D3" i="3"/>
  <c r="C11" i="3"/>
  <c r="J10" i="291" l="1"/>
  <c r="J7" i="291"/>
  <c r="K7" i="291" s="1"/>
  <c r="J6" i="291"/>
  <c r="J5" i="291"/>
  <c r="J4" i="291"/>
  <c r="J3" i="291"/>
  <c r="K4" i="291" l="1"/>
  <c r="J11" i="296"/>
  <c r="J10" i="296"/>
  <c r="J9" i="296"/>
  <c r="J8" i="296"/>
  <c r="J7" i="296"/>
  <c r="K7" i="296" s="1"/>
  <c r="J6" i="296"/>
  <c r="J5" i="296"/>
  <c r="J4" i="296"/>
  <c r="J3" i="296"/>
  <c r="D3" i="295"/>
  <c r="D4" i="295"/>
  <c r="E4" i="295" s="1"/>
  <c r="D5" i="295"/>
  <c r="D7" i="295"/>
  <c r="D8" i="295"/>
  <c r="D9" i="295"/>
  <c r="D10" i="295"/>
  <c r="C3" i="294"/>
  <c r="C4" i="294"/>
  <c r="C5" i="294"/>
  <c r="C6" i="294"/>
  <c r="C7" i="294"/>
  <c r="D7" i="294" s="1"/>
  <c r="C8" i="294"/>
  <c r="C9" i="294"/>
  <c r="C10" i="294"/>
  <c r="C11" i="294"/>
  <c r="F10" i="293"/>
  <c r="F9" i="293"/>
  <c r="F8" i="293"/>
  <c r="F7" i="293"/>
  <c r="F6" i="293"/>
  <c r="G6" i="293" s="1"/>
  <c r="F5" i="293"/>
  <c r="F4" i="293"/>
  <c r="F3" i="293"/>
  <c r="G3" i="293" s="1"/>
  <c r="M11" i="292"/>
  <c r="M10" i="292"/>
  <c r="M9" i="292"/>
  <c r="M8" i="292"/>
  <c r="M7" i="292"/>
  <c r="N7" i="292" s="1"/>
  <c r="M6" i="292"/>
  <c r="M5" i="292"/>
  <c r="M4" i="292"/>
  <c r="M3" i="292"/>
  <c r="J11" i="291"/>
  <c r="J9" i="291"/>
  <c r="J8" i="291"/>
  <c r="K3" i="291" s="1"/>
  <c r="N10" i="290"/>
  <c r="N9" i="290"/>
  <c r="N8" i="290"/>
  <c r="N7" i="290"/>
  <c r="N6" i="290"/>
  <c r="N5" i="290"/>
  <c r="N4" i="290"/>
  <c r="N3" i="290"/>
  <c r="G3" i="289"/>
  <c r="G4" i="289"/>
  <c r="G5" i="289"/>
  <c r="G6" i="289"/>
  <c r="G7" i="289"/>
  <c r="G9" i="289"/>
  <c r="G10" i="289"/>
  <c r="G11" i="289"/>
  <c r="F12" i="287"/>
  <c r="F11" i="287"/>
  <c r="F10" i="287"/>
  <c r="F9" i="287"/>
  <c r="F8" i="287"/>
  <c r="F7" i="287"/>
  <c r="F6" i="287"/>
  <c r="F5" i="287"/>
  <c r="F4" i="287"/>
  <c r="F3" i="287"/>
  <c r="D11" i="286"/>
  <c r="D10" i="286"/>
  <c r="D9" i="286"/>
  <c r="D6" i="286"/>
  <c r="D5" i="286"/>
  <c r="E5" i="286" s="1"/>
  <c r="D4" i="286"/>
  <c r="E4" i="286" s="1"/>
  <c r="D3" i="286"/>
  <c r="D3" i="285"/>
  <c r="E3" i="285" s="1"/>
  <c r="D4" i="285"/>
  <c r="E4" i="285" s="1"/>
  <c r="D5" i="285"/>
  <c r="D6" i="285"/>
  <c r="D7" i="285"/>
  <c r="C3" i="284"/>
  <c r="C4" i="284"/>
  <c r="C5" i="284"/>
  <c r="C6" i="284"/>
  <c r="C7" i="284"/>
  <c r="C8" i="284"/>
  <c r="D9" i="283"/>
  <c r="D8" i="283"/>
  <c r="D7" i="283"/>
  <c r="D6" i="283"/>
  <c r="E6" i="283" s="1"/>
  <c r="D5" i="283"/>
  <c r="D4" i="283"/>
  <c r="D3" i="283"/>
  <c r="E3" i="283" s="1"/>
  <c r="D3" i="282"/>
  <c r="D4" i="282"/>
  <c r="E4" i="282" s="1"/>
  <c r="D5" i="282"/>
  <c r="E5" i="282" s="1"/>
  <c r="D6" i="282"/>
  <c r="D7" i="282"/>
  <c r="D8" i="282"/>
  <c r="D9" i="282"/>
  <c r="E3" i="281"/>
  <c r="F3" i="281" s="1"/>
  <c r="E4" i="281"/>
  <c r="E5" i="281"/>
  <c r="E6" i="281"/>
  <c r="F6" i="281" s="1"/>
  <c r="E7" i="281"/>
  <c r="E8" i="281"/>
  <c r="E9" i="281"/>
  <c r="D9" i="280"/>
  <c r="D8" i="280"/>
  <c r="D7" i="280"/>
  <c r="D6" i="280"/>
  <c r="D5" i="280"/>
  <c r="D4" i="280"/>
  <c r="D3" i="280"/>
  <c r="D3" i="279"/>
  <c r="D4" i="279"/>
  <c r="D5" i="279"/>
  <c r="D6" i="279"/>
  <c r="D7" i="279"/>
  <c r="E7" i="279" s="1"/>
  <c r="D8" i="279"/>
  <c r="D9" i="279"/>
  <c r="D10" i="279"/>
  <c r="C11" i="278"/>
  <c r="C10" i="278"/>
  <c r="C9" i="278"/>
  <c r="C7" i="278"/>
  <c r="D7" i="278" s="1"/>
  <c r="C6" i="278"/>
  <c r="C5" i="278"/>
  <c r="C4" i="278"/>
  <c r="C3" i="278"/>
  <c r="D3" i="277"/>
  <c r="D4" i="277"/>
  <c r="D5" i="277"/>
  <c r="D6" i="277"/>
  <c r="D7" i="277"/>
  <c r="D8" i="277"/>
  <c r="D9" i="277"/>
  <c r="E3" i="276"/>
  <c r="E4" i="276"/>
  <c r="E5" i="276"/>
  <c r="E6" i="276"/>
  <c r="E8" i="276"/>
  <c r="E9" i="276"/>
  <c r="E10" i="276"/>
  <c r="C11" i="275"/>
  <c r="C10" i="275"/>
  <c r="C9" i="275"/>
  <c r="C5" i="275"/>
  <c r="C4" i="275"/>
  <c r="C3" i="275"/>
  <c r="D3" i="274"/>
  <c r="D7" i="274" s="1"/>
  <c r="C3" i="273"/>
  <c r="C4" i="273"/>
  <c r="C5" i="273"/>
  <c r="C6" i="273"/>
  <c r="D6" i="273" s="1"/>
  <c r="C7" i="273"/>
  <c r="C8" i="273"/>
  <c r="C9" i="273"/>
  <c r="E3" i="272"/>
  <c r="E4" i="272"/>
  <c r="E5" i="272"/>
  <c r="E6" i="272"/>
  <c r="E7" i="272"/>
  <c r="F7" i="272" s="1"/>
  <c r="E8" i="272"/>
  <c r="E9" i="272"/>
  <c r="E10" i="272"/>
  <c r="E11" i="272"/>
  <c r="D13" i="269"/>
  <c r="D12" i="269"/>
  <c r="D11" i="269"/>
  <c r="D10" i="269"/>
  <c r="D9" i="269"/>
  <c r="D8" i="269"/>
  <c r="D7" i="269"/>
  <c r="E7" i="269" s="1"/>
  <c r="D6" i="269"/>
  <c r="D5" i="269"/>
  <c r="D4" i="269"/>
  <c r="D3" i="269"/>
  <c r="E4" i="277" l="1"/>
  <c r="E4" i="279"/>
  <c r="G7" i="287"/>
  <c r="E3" i="277"/>
  <c r="G4" i="287"/>
  <c r="D4" i="273"/>
  <c r="N4" i="292"/>
  <c r="D4" i="275"/>
  <c r="E4" i="280"/>
  <c r="O4" i="290"/>
  <c r="G4" i="293"/>
  <c r="K4" i="296"/>
  <c r="F3" i="272"/>
  <c r="F4" i="276"/>
  <c r="E3" i="286"/>
  <c r="H3" i="289"/>
  <c r="N3" i="292"/>
  <c r="D4" i="294"/>
  <c r="E3" i="295"/>
  <c r="E3" i="269"/>
  <c r="D3" i="275"/>
  <c r="C12" i="275"/>
  <c r="E11" i="276"/>
  <c r="C12" i="278"/>
  <c r="D3" i="278"/>
  <c r="F4" i="281"/>
  <c r="E3" i="282"/>
  <c r="D4" i="284"/>
  <c r="C12" i="294"/>
  <c r="D3" i="294"/>
  <c r="K3" i="296"/>
  <c r="E4" i="269"/>
  <c r="D3" i="284"/>
  <c r="C9" i="284"/>
  <c r="F4" i="272"/>
  <c r="C10" i="273"/>
  <c r="D3" i="273"/>
  <c r="E4" i="283"/>
  <c r="G3" i="287"/>
  <c r="H4" i="289"/>
  <c r="O3" i="290"/>
  <c r="E3" i="280"/>
  <c r="D4" i="278"/>
  <c r="D14" i="269"/>
  <c r="E12" i="272"/>
  <c r="F3" i="276"/>
  <c r="D12" i="286"/>
  <c r="D11" i="295"/>
  <c r="D10" i="277"/>
  <c r="D11" i="279"/>
  <c r="M12" i="292"/>
  <c r="D10" i="280"/>
  <c r="D10" i="282"/>
  <c r="M12" i="288"/>
  <c r="G12" i="289"/>
  <c r="J12" i="291"/>
  <c r="F11" i="293"/>
  <c r="E10" i="281"/>
  <c r="D10" i="283"/>
  <c r="D8" i="285"/>
  <c r="F13" i="287"/>
  <c r="N11" i="290"/>
  <c r="J12" i="296"/>
  <c r="E3" i="279"/>
</calcChain>
</file>

<file path=xl/sharedStrings.xml><?xml version="1.0" encoding="utf-8"?>
<sst xmlns="http://schemas.openxmlformats.org/spreadsheetml/2006/main" count="450" uniqueCount="232">
  <si>
    <t>Blank</t>
  </si>
  <si>
    <t>Void</t>
  </si>
  <si>
    <t>Total Votes by County</t>
  </si>
  <si>
    <t>Total Votes by Party</t>
  </si>
  <si>
    <t>Total Votes by Candidate</t>
  </si>
  <si>
    <t>Candidate Name (Party)</t>
  </si>
  <si>
    <t>Scattering</t>
  </si>
  <si>
    <t>Jefferson County Vote Results</t>
  </si>
  <si>
    <t>Lewis County Vote Results</t>
  </si>
  <si>
    <t>Oneida County Vote Results</t>
  </si>
  <si>
    <t>Onondaga County Vote Results</t>
  </si>
  <si>
    <t>Chemung County Vote Results</t>
  </si>
  <si>
    <t>Chenango County Vote Results</t>
  </si>
  <si>
    <t>Cortland County Vote Results</t>
  </si>
  <si>
    <t>Delaware County Vote Results</t>
  </si>
  <si>
    <t>Madison County Vote Results</t>
  </si>
  <si>
    <t>Otsego County Vote Results</t>
  </si>
  <si>
    <t>Schuyler County Vote Results</t>
  </si>
  <si>
    <t>Tompkins County Vote Results</t>
  </si>
  <si>
    <t>Cayuga County Vote Results</t>
  </si>
  <si>
    <t>Livingston County Vote Results</t>
  </si>
  <si>
    <t>Seneca County Vote Results</t>
  </si>
  <si>
    <t>Steuben County Vote Results</t>
  </si>
  <si>
    <t>Wayne County Vote Results</t>
  </si>
  <si>
    <t>Yates County Vote Results</t>
  </si>
  <si>
    <t>Allegany County Vote Results</t>
  </si>
  <si>
    <t>Cattaraugus County Vote Results</t>
  </si>
  <si>
    <t>Chautauqua County Vote Results</t>
  </si>
  <si>
    <t>Genesee County Vote Results</t>
  </si>
  <si>
    <t>Orleans County Vote Results</t>
  </si>
  <si>
    <t>Wyoming County Vote Results</t>
  </si>
  <si>
    <t>Orange County Vote Results</t>
  </si>
  <si>
    <t>Putnam County Vote Results</t>
  </si>
  <si>
    <t>Rockland County Vote Results</t>
  </si>
  <si>
    <t>Richmond County Vote Results</t>
  </si>
  <si>
    <t>Representative in Congress 1st Congressional District - General Election - November 3, 2020</t>
  </si>
  <si>
    <t>Part of Suffolk County Vote Results</t>
  </si>
  <si>
    <t>Nancy S.  Goroff (DEM)</t>
  </si>
  <si>
    <t>Lee M. Zeldin (REP)</t>
  </si>
  <si>
    <t>Lee M. Zeldin (CON)</t>
  </si>
  <si>
    <t>Nancy S.  Goroff (WOR)</t>
  </si>
  <si>
    <t>Lee M. Zeldin (IND)</t>
  </si>
  <si>
    <t>Representative in Congress 2nd Congressional District - General Election - November 3, 2020</t>
  </si>
  <si>
    <t>Part of Nassau County Vote Results</t>
  </si>
  <si>
    <t>Jackie  Gordon (DEM)</t>
  </si>
  <si>
    <t>Andrew R. Garbarino (REP)</t>
  </si>
  <si>
    <t>Andrew R. Garbarino (CON)</t>
  </si>
  <si>
    <t>Jackie  Gordon (WOR)</t>
  </si>
  <si>
    <t>Harry R. Burger (GRE)</t>
  </si>
  <si>
    <t>Andrew R. Garbarino (LBT)</t>
  </si>
  <si>
    <t>Jackie  Gordon (IND)</t>
  </si>
  <si>
    <t>Andrew R. Garbarino (SAM)</t>
  </si>
  <si>
    <t>Representative in Congress 3rd Congressional District - General Election - November 3, 2020</t>
  </si>
  <si>
    <t>Part of Queens County Vote Results</t>
  </si>
  <si>
    <t>Thomas R.  Suozzi (DEM)</t>
  </si>
  <si>
    <t>George A.D. Santos (REP)</t>
  </si>
  <si>
    <t>George A.D. Santos (CON)</t>
  </si>
  <si>
    <t>Thomas R.  Suozzi (WOR)</t>
  </si>
  <si>
    <t>Howard Rabin (LBT)</t>
  </si>
  <si>
    <t>Thomas R.  Suozzi (IND)</t>
  </si>
  <si>
    <t>Representative in Congress 4th Congressional District - General Election - November 3, 2020</t>
  </si>
  <si>
    <t>Kathleen M. Rice (DEM)</t>
  </si>
  <si>
    <t>Douglas L. Tuman (REP)</t>
  </si>
  <si>
    <t>Douglas L. Tuman (CON)</t>
  </si>
  <si>
    <t>Joseph R. Naham (GRE)</t>
  </si>
  <si>
    <t>Representative in Congress 5th Congressional District - General Election - November 3, 2020</t>
  </si>
  <si>
    <t>Gregory W.  Meeks (DEM)</t>
  </si>
  <si>
    <t>Representative in Congress 6th Congressional District - General Election - November 3, 2020</t>
  </si>
  <si>
    <t>Grace Meng (DEM)</t>
  </si>
  <si>
    <t>Thomas J.  Zmich (REP)</t>
  </si>
  <si>
    <t>Thomas J.  Zmich (CON)</t>
  </si>
  <si>
    <t>Grace Meng (WOR)</t>
  </si>
  <si>
    <t>Thomas J.  Zmich (LBT)</t>
  </si>
  <si>
    <t>Thomas J.  Zmich (Save Our City)</t>
  </si>
  <si>
    <t>Representative in Congress 7th Congressional District - General Election - November 3, 2020</t>
  </si>
  <si>
    <t>Part of Kings County Vote Results</t>
  </si>
  <si>
    <t>Part of New York County Vote Results</t>
  </si>
  <si>
    <t>Nydia M. Velazquez (DEM)</t>
  </si>
  <si>
    <t>Brian W. Kelly (REP)</t>
  </si>
  <si>
    <t>Brian W. Kelly (CON)</t>
  </si>
  <si>
    <t>Nydia M. Velazquez (WOR)</t>
  </si>
  <si>
    <t>Gilbert Midonnet (LBT)</t>
  </si>
  <si>
    <t>Representative in Congress 8th Congressional District - General Election - November 3, 2020</t>
  </si>
  <si>
    <t>Hakeem S. Jeffries (DEM)</t>
  </si>
  <si>
    <t>Garfield H. Wallace (REP)</t>
  </si>
  <si>
    <t>Garfield H. Wallace (CON)</t>
  </si>
  <si>
    <t>Hakeem S. Jeffries (WOR)</t>
  </si>
  <si>
    <t>Representative in Congress 9th Congressional District - General Election - November 3, 2020</t>
  </si>
  <si>
    <t>Yvette D. Clarke (DEM)</t>
  </si>
  <si>
    <t>Constantine Jean-Pierre (REP)</t>
  </si>
  <si>
    <t>Constantine Jean-Pierre (CON)</t>
  </si>
  <si>
    <t>Yvette D. Clark (WOR)</t>
  </si>
  <si>
    <t>Gary Popkin (LBT)</t>
  </si>
  <si>
    <t>Joel B. Anabilah-Azumah (SAM)</t>
  </si>
  <si>
    <t>Representative in Congress 10th Congressional District - General Election - November 3, 2020</t>
  </si>
  <si>
    <t>Jerrold L. Nadler (DEM)</t>
  </si>
  <si>
    <t>Cathy A. Bernstein (REP)</t>
  </si>
  <si>
    <t>Cathy A. Bernstein (CON)</t>
  </si>
  <si>
    <t>Jerrold L. Nadler (WOR)</t>
  </si>
  <si>
    <t>Michael Madrid (LBT)</t>
  </si>
  <si>
    <t>Representative in Congress 11th Congressional District - General Election - November 3, 2020</t>
  </si>
  <si>
    <t>Max N. Rose (DEM)</t>
  </si>
  <si>
    <t>Nicole Malliotakis (REP)</t>
  </si>
  <si>
    <t>Nicole Malliotakis (CON)</t>
  </si>
  <si>
    <t>Max N. Rose (IND)</t>
  </si>
  <si>
    <t>Representative in Congress 12th Congressional District - General Election - November 3, 2020</t>
  </si>
  <si>
    <t>Carolyn B. Maloney (DEM)</t>
  </si>
  <si>
    <t>Carlos Santiago-Cano (REP)</t>
  </si>
  <si>
    <t>Carlos Santiago-Cano (CON)</t>
  </si>
  <si>
    <t>Steven Kolln (LBT)</t>
  </si>
  <si>
    <t>Representative in Congress 13th Congressional District - General Election - November 3, 2020</t>
  </si>
  <si>
    <t>Part of Bronx County Vote Results</t>
  </si>
  <si>
    <t>Adriano Espaillat (DEM)</t>
  </si>
  <si>
    <t>Lovelynn Gwinn (REP)</t>
  </si>
  <si>
    <t>Christopher Morris-Perry (CON)</t>
  </si>
  <si>
    <t>Adriano Espaillat (WOR)</t>
  </si>
  <si>
    <t>Representative in Congress 14th Congressional District - General Election - November 3, 2020</t>
  </si>
  <si>
    <t>Alexandria Ocasio-Cortez (DEM)</t>
  </si>
  <si>
    <t>John C. Cummings (REP)</t>
  </si>
  <si>
    <t>John C. Cummings (CON)</t>
  </si>
  <si>
    <t>Michelle Caruso-Cabrera (SAM)</t>
  </si>
  <si>
    <t>Representative in Congress 15th Congressional District - General Election - November 3, 2020</t>
  </si>
  <si>
    <t>Ritchie Torres (DEM)</t>
  </si>
  <si>
    <t>Patrick Delices (REP)</t>
  </si>
  <si>
    <t>Patrick Delices (CON)</t>
  </si>
  <si>
    <t>Representative in Congress 16th Congressional District - General Election - November 3, 2020</t>
  </si>
  <si>
    <t>Part of Westchester County Vote Results</t>
  </si>
  <si>
    <t>Jamaal Bowman (DEM)</t>
  </si>
  <si>
    <t>Patrick McManus (CON)</t>
  </si>
  <si>
    <t>Representative in Congress 17th Congressional District - General Election - November 3, 2020</t>
  </si>
  <si>
    <t>Mondaire Jones (DEM)</t>
  </si>
  <si>
    <t>Maureen McArdle-Schulman (REP)</t>
  </si>
  <si>
    <t>Yehudis Gottesfeld (CON)</t>
  </si>
  <si>
    <t>Mondaire Jones (WOR)</t>
  </si>
  <si>
    <t>Michael I. Parietti (SAM)</t>
  </si>
  <si>
    <t>Joshua Eisen (ECL)</t>
  </si>
  <si>
    <t>Representative in Congress 18th Congressional District - General Election - November 3, 2020</t>
  </si>
  <si>
    <t>Part of Dutchess County Vote Results</t>
  </si>
  <si>
    <t>Sean Patrick Maloney (DEM)</t>
  </si>
  <si>
    <t>Chele C. Farley (REP)</t>
  </si>
  <si>
    <t>Chele C. Farley (CON)</t>
  </si>
  <si>
    <t>Sean Patrick Maloney (WOR)</t>
  </si>
  <si>
    <t>Scott A. Smith (LBT)</t>
  </si>
  <si>
    <t>Sean Patrick Maloney (IND)</t>
  </si>
  <si>
    <t>Scott A. Smith (SAM)</t>
  </si>
  <si>
    <t>Representative in Congress 19th Congressional District - General Election - November 3, 2020</t>
  </si>
  <si>
    <t>Columbia County Vote Results</t>
  </si>
  <si>
    <t>Greene County Vote Results</t>
  </si>
  <si>
    <t>Schoharie County Vote Results</t>
  </si>
  <si>
    <t>Sullivan County Vote Results</t>
  </si>
  <si>
    <t>Ulster County Vote Results</t>
  </si>
  <si>
    <t>Part of Broome County Vote Results</t>
  </si>
  <si>
    <t>Part of Montgomery County Vote Results</t>
  </si>
  <si>
    <t>Part of Rensselaer County Vote Results</t>
  </si>
  <si>
    <t>Antonio Delgado (DEM)</t>
  </si>
  <si>
    <t>Kyle Van De Water (REP)</t>
  </si>
  <si>
    <t>Antonio Delgado (WOR)</t>
  </si>
  <si>
    <t>Steven Greenfield (GRE)</t>
  </si>
  <si>
    <t>Victoria N. Alexander (LBT)</t>
  </si>
  <si>
    <t>Antonio Delgado (SAM)</t>
  </si>
  <si>
    <t>Representative in Congress 20th Congressional District - General Election - November 3, 2020</t>
  </si>
  <si>
    <t>Albany County Vote Results</t>
  </si>
  <si>
    <t>Schenectady County Vote Results</t>
  </si>
  <si>
    <t>Part of Saratoga County Vote Results</t>
  </si>
  <si>
    <t>Paul D. Tonko (DEM)</t>
  </si>
  <si>
    <t>Elizabeth L. Joy (REP)</t>
  </si>
  <si>
    <t>Elizabeth L. Joy (CON)</t>
  </si>
  <si>
    <t>Paul D. Tonko (WOR)</t>
  </si>
  <si>
    <t>Paul D. Tonko (IND)</t>
  </si>
  <si>
    <t>Elizabeth L. Joy (SAM)</t>
  </si>
  <si>
    <t>Representative in Congress 21st Congressional District - General Election - November 3, 2020</t>
  </si>
  <si>
    <t>Clinton County Vote Results</t>
  </si>
  <si>
    <t>Essex County Vote Results</t>
  </si>
  <si>
    <t>Franklin County Vote Results</t>
  </si>
  <si>
    <t>Fulton County Vote Results</t>
  </si>
  <si>
    <t>Hamilton County Vote Results</t>
  </si>
  <si>
    <t>St. Lawrence County Vote Results</t>
  </si>
  <si>
    <t>Warren County Vote Results</t>
  </si>
  <si>
    <t>Washington County Vote Results</t>
  </si>
  <si>
    <t>Part of Herkimer County Vote Results</t>
  </si>
  <si>
    <t>Tedra L. Cobb (DEM)</t>
  </si>
  <si>
    <t>Elise M. Stefanik (REP)</t>
  </si>
  <si>
    <t>Elise M. Stefanik (CON)</t>
  </si>
  <si>
    <t>Tedra L. Cobb (WOR)</t>
  </si>
  <si>
    <t>Elise M. Stefanik (IND)</t>
  </si>
  <si>
    <t>Representative in Congress 22nd Congressional District - General Election - November 3, 2020</t>
  </si>
  <si>
    <t>Part of Oswego County Vote Results</t>
  </si>
  <si>
    <t>Part of Tioga County Vote Results</t>
  </si>
  <si>
    <t>Anthony J. Brindisi (DEM)</t>
  </si>
  <si>
    <t>Claudia Tenney (REP)</t>
  </si>
  <si>
    <t>Claudia Tenney (CON)</t>
  </si>
  <si>
    <t>Anthony J. Brindisi (WOR)</t>
  </si>
  <si>
    <t>Keith D. Price, Jr. (LBT)</t>
  </si>
  <si>
    <t>Anthony J. Brindisi (IND)</t>
  </si>
  <si>
    <t>*Litigation pending</t>
  </si>
  <si>
    <t>Representative in Congress 23rd Congressional District - General Election - November 3, 2020</t>
  </si>
  <si>
    <t>Part of Ontario County Vote Results</t>
  </si>
  <si>
    <t>Tracy Mitrano (DEM)</t>
  </si>
  <si>
    <t>Tom Reed (REP)</t>
  </si>
  <si>
    <t>Tom Reed (CON)</t>
  </si>
  <si>
    <t>Tracy Mitrano (WOR)</t>
  </si>
  <si>
    <t>Andrew M. Kolstee (LBT)</t>
  </si>
  <si>
    <t>Tom Reed (IND)</t>
  </si>
  <si>
    <t>Representative in Congress 24th Congressional District - General Election - November 3, 2020</t>
  </si>
  <si>
    <t>Dana Balter (DEM)</t>
  </si>
  <si>
    <t>John M. Katko (REP)</t>
  </si>
  <si>
    <t>John M. Katko (CON)</t>
  </si>
  <si>
    <t>Steven Williams (WOR)</t>
  </si>
  <si>
    <t>John M. Katko (IND)</t>
  </si>
  <si>
    <t>Representative in Congress 25th Congressional District - General Election - November 3, 2020</t>
  </si>
  <si>
    <t>Part of Monroe County Vote Results</t>
  </si>
  <si>
    <t>Joseph D. Morelle (DEM)</t>
  </si>
  <si>
    <t>George Mitris (REP)</t>
  </si>
  <si>
    <t>George Mitris (CON)</t>
  </si>
  <si>
    <t>Joseph D. Morelle (WOR)</t>
  </si>
  <si>
    <t>Kevin A. Wilson (LBT)</t>
  </si>
  <si>
    <t>Joseph D. Morelle (IND)</t>
  </si>
  <si>
    <t>Representative in Congress 26th Congressional District - General Election - November 3, 2020</t>
  </si>
  <si>
    <t>Part of Erie County Vote Results</t>
  </si>
  <si>
    <t>Part of Niagara County Vote Results</t>
  </si>
  <si>
    <t>Brian Higgins (DEM)</t>
  </si>
  <si>
    <t>Ricky T. Donovan, Sr. (REP)</t>
  </si>
  <si>
    <t>Brian Higgins (WOR)</t>
  </si>
  <si>
    <t>Michael P. Raleigh (GRE)</t>
  </si>
  <si>
    <t>Brian Higgins (SAM)</t>
  </si>
  <si>
    <t>Representative in Congress 27th Congressional District - General Election - November 3, 2020</t>
  </si>
  <si>
    <t>Nathan D. McMurray (DEM)</t>
  </si>
  <si>
    <t>Chris Jacobs (REP)</t>
  </si>
  <si>
    <t>Chris Jacobs (CON)</t>
  </si>
  <si>
    <t>Nathan D. McMurray (WOR)</t>
  </si>
  <si>
    <t>Duane J. Whitmer (LBT)</t>
  </si>
  <si>
    <t>Chris Jacobs 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</si>
</sst>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3" borderId="4" xfId="0" applyFont="1" applyFill="1" applyBorder="1"/>
    <xf numFmtId="3" fontId="3" fillId="0" borderId="1" xfId="0" applyNumberFormat="1" applyFont="1" applyBorder="1"/>
    <xf numFmtId="0" fontId="4" fillId="3" borderId="5" xfId="0" applyFont="1" applyFill="1" applyBorder="1"/>
    <xf numFmtId="3" fontId="3" fillId="0" borderId="3" xfId="0" applyNumberFormat="1" applyFont="1" applyBorder="1"/>
    <xf numFmtId="0" fontId="4" fillId="2" borderId="6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3" fontId="3" fillId="4" borderId="1" xfId="0" applyNumberFormat="1" applyFont="1" applyFill="1" applyBorder="1"/>
    <xf numFmtId="3" fontId="3" fillId="7" borderId="1" xfId="0" applyNumberFormat="1" applyFont="1" applyFill="1" applyBorder="1"/>
    <xf numFmtId="3" fontId="3" fillId="5" borderId="1" xfId="0" applyNumberFormat="1" applyFont="1" applyFill="1" applyBorder="1"/>
    <xf numFmtId="3" fontId="0" fillId="0" borderId="0" xfId="0" applyNumberFormat="1"/>
    <xf numFmtId="0" fontId="4" fillId="3" borderId="1" xfId="0" applyFont="1" applyFill="1" applyBorder="1"/>
    <xf numFmtId="3" fontId="3" fillId="4" borderId="3" xfId="0" applyNumberFormat="1" applyFont="1" applyFill="1" applyBorder="1"/>
    <xf numFmtId="3" fontId="4" fillId="5" borderId="1" xfId="0" applyNumberFormat="1" applyFont="1" applyFill="1" applyBorder="1"/>
    <xf numFmtId="0" fontId="4" fillId="3" borderId="4" xfId="0" applyFont="1" applyFill="1" applyBorder="1" applyAlignment="1">
      <alignment wrapText="1"/>
    </xf>
    <xf numFmtId="3" fontId="3" fillId="5" borderId="8" xfId="0" applyNumberFormat="1" applyFont="1" applyFill="1" applyBorder="1"/>
    <xf numFmtId="3" fontId="3" fillId="5" borderId="7" xfId="0" applyNumberFormat="1" applyFont="1" applyFill="1" applyBorder="1"/>
    <xf numFmtId="0" fontId="0" fillId="8" borderId="0" xfId="0" applyFill="1"/>
    <xf numFmtId="3" fontId="3" fillId="9" borderId="1" xfId="0" applyNumberFormat="1" applyFont="1" applyFill="1" applyBorder="1"/>
    <xf numFmtId="3" fontId="3" fillId="0" borderId="1" xfId="0" applyNumberFormat="1" applyFont="1" applyFill="1" applyBorder="1"/>
    <xf numFmtId="3" fontId="3" fillId="0" borderId="3" xfId="0" applyNumberFormat="1" applyFont="1" applyFill="1" applyBorder="1"/>
    <xf numFmtId="0" fontId="5" fillId="0" borderId="1" xfId="0" applyFont="1" applyFill="1" applyBorder="1" applyAlignment="1"/>
    <xf numFmtId="3" fontId="5" fillId="0" borderId="1" xfId="0" applyNumberFormat="1" applyFont="1" applyFill="1" applyBorder="1" applyAlignment="1"/>
    <xf numFmtId="0" fontId="5" fillId="0" borderId="1" xfId="0" applyFont="1" applyBorder="1"/>
    <xf numFmtId="3" fontId="5" fillId="0" borderId="1" xfId="0" applyNumberFormat="1" applyFont="1" applyBorder="1"/>
    <xf numFmtId="0" fontId="2" fillId="0" borderId="0" xfId="0" applyFont="1" applyAlignment="1">
      <alignment vertical="center"/>
    </xf>
    <xf numFmtId="0" fontId="0" fillId="0" borderId="0" xfId="0" applyBorder="1"/>
  </cellXfs>
  <cellStyles count="1">
    <cellStyle name="Normal" xfId="0" builtinId="0"/>
  </cellStyles>
  <dxfs count="5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3360E458-6900-4D2A-96C6-CCDE53875AB0}" name="RepInCongressCongressionalDistrict1General" displayName="RepInCongressCongressionalDistrict1General" ref="A2:D11" totalsRowCount="1" headerRowDxfId="508" dataDxfId="506" totalsRowDxfId="504" headerRowBorderDxfId="507" tableBorderDxfId="505" totalsRowBorderDxfId="503">
  <autoFilter ref="A2:D10" xr:uid="{E4C80049-8B70-4EEE-86C5-EA95090A6C7F}">
    <filterColumn colId="0" hiddenButton="1"/>
    <filterColumn colId="1" hiddenButton="1"/>
    <filterColumn colId="2" hiddenButton="1"/>
    <filterColumn colId="3" hiddenButton="1"/>
  </autoFilter>
  <tableColumns count="4">
    <tableColumn id="1" xr3:uid="{F55769B7-1EE8-4111-B5C7-664BD53898E2}" name="Candidate Name (Party)" totalsRowLabel="Total Votes by County" dataDxfId="502" totalsRowDxfId="501"/>
    <tableColumn id="4" xr3:uid="{FF2A52C8-02FA-47B6-8F63-8DF9903732A9}" name="Part of Suffolk County Vote Results" totalsRowFunction="custom" dataDxfId="500" totalsRowDxfId="499">
      <totalsRowFormula>SUM(RepInCongressCongressionalDistrict1General[Part of Suffolk County Vote Results])</totalsRowFormula>
    </tableColumn>
    <tableColumn id="3" xr3:uid="{503A5495-0B8B-4E93-AE2D-CAFDED3E2B5E}" name="Total Votes by Party" totalsRowFunction="custom" dataDxfId="498" totalsRowDxfId="497">
      <calculatedColumnFormula>RepInCongressCongressionalDistrict1General[[#This Row],[Part of Suffolk County Vote Results]]</calculatedColumnFormula>
      <totalsRowFormula>SUM(RepInCongressCongressionalDistrict1General[Total Votes by Party])</totalsRowFormula>
    </tableColumn>
    <tableColumn id="2" xr3:uid="{4CB84B57-FB31-4C33-9F99-F201AB3F4146}" name="Total Votes by Candidate" dataDxfId="496" totalsRowDxfId="495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ABD4D607-E80F-4830-BB96-B9587F1B3DCA}" name="RepInCongressCongressionalDistrict10General" displayName="RepInCongressCongressionalDistrict10General" ref="A2:E11" totalsRowCount="1" headerRowDxfId="373" dataDxfId="371" totalsRowDxfId="369" headerRowBorderDxfId="372" tableBorderDxfId="370" totalsRowBorderDxfId="368">
  <autoFilter ref="A2:E10" xr:uid="{466D8A0E-FA77-4AB9-9F29-55E4B0D53A8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B9AC27C-0C75-47CE-8664-E1F582877172}" name="Candidate Name (Party)" totalsRowLabel="Total Votes by County" dataDxfId="367" totalsRowDxfId="366"/>
    <tableColumn id="2" xr3:uid="{B57280ED-811B-4EF6-894E-DC9673EFA19C}" name="Part of Kings County Vote Results" totalsRowFunction="custom" totalsRowDxfId="365">
      <totalsRowFormula>SUM(RepInCongressCongressionalDistrict10General[Part of Kings County Vote Results])</totalsRowFormula>
    </tableColumn>
    <tableColumn id="4" xr3:uid="{6D6E0D4E-BE68-451E-8CBC-6E1E65C38FB6}" name="Part of New York County Vote Results" totalsRowFunction="custom" dataDxfId="364" totalsRowDxfId="363">
      <totalsRowFormula>SUM(RepInCongressCongressionalDistrict10General[Part of New York County Vote Results])</totalsRowFormula>
    </tableColumn>
    <tableColumn id="3" xr3:uid="{A3F550F8-935D-46FE-9F34-1DF89B800AED}" name="Total Votes by Party" totalsRowFunction="custom" dataDxfId="362" totalsRowDxfId="361">
      <calculatedColumnFormula>SUM(RepInCongressCongressionalDistrict10General[[#This Row],[Part of Kings County Vote Results]:[Part of New York County Vote Results]])</calculatedColumnFormula>
      <totalsRowFormula>SUM(RepInCongressCongressionalDistrict10General[Total Votes by Party])</totalsRowFormula>
    </tableColumn>
    <tableColumn id="5" xr3:uid="{74CE9B3E-91BB-4F2C-94A2-632469675F99}" name="Total Votes by Candidate" dataDxfId="360" totalsRowDxfId="35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73CB7D1-FB4F-40CF-A794-F5A09466A725}" name="RepInCongressCongressionalDistrict11General" displayName="RepInCongressCongressionalDistrict11General" ref="A2:E10" totalsRowCount="1" headerRowDxfId="358" dataDxfId="356" totalsRowDxfId="354" headerRowBorderDxfId="357" tableBorderDxfId="355" totalsRowBorderDxfId="353">
  <autoFilter ref="A2:E9" xr:uid="{2B509EDC-5809-47C3-974E-7BB7547D093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A16DAC2-AD3B-46D4-958D-3FF8B26112AB}" name="Candidate Name (Party)" totalsRowLabel="Total Votes by County" dataDxfId="352" totalsRowDxfId="351"/>
    <tableColumn id="2" xr3:uid="{D6EC9CBC-7502-4381-8892-16BF4E292400}" name="Richmond County Vote Results" totalsRowFunction="custom" dataDxfId="350" totalsRowDxfId="349">
      <totalsRowFormula>SUM(RepInCongressCongressionalDistrict11General[Richmond County Vote Results])</totalsRowFormula>
    </tableColumn>
    <tableColumn id="4" xr3:uid="{669E601B-2E17-4E64-818E-66BA19E14CBC}" name="Part of Kings County Vote Results" totalsRowFunction="custom" totalsRowDxfId="348">
      <totalsRowFormula>SUM(RepInCongressCongressionalDistrict11General[Part of Kings County Vote Results])</totalsRowFormula>
    </tableColumn>
    <tableColumn id="3" xr3:uid="{8AC8A471-BCE8-40A5-A789-0AAD08E358A6}" name="Total Votes by Party" totalsRowFunction="custom" dataDxfId="347" totalsRowDxfId="346">
      <totalsRowFormula>SUM(RepInCongressCongressionalDistrict11General[Total Votes by Party])</totalsRowFormula>
    </tableColumn>
    <tableColumn id="5" xr3:uid="{49546E72-DC01-42AA-A4EC-0D150649B837}" name="Total Votes by Candidate" dataDxfId="345" totalsRowDxfId="34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687321F4-5E89-4041-BF7F-EB1071068019}" name="RepInCongressCongressionalDistrict12General" displayName="RepInCongressCongressionalDistrict12General" ref="A2:F10" totalsRowCount="1" headerRowDxfId="343" dataDxfId="341" totalsRowDxfId="339" headerRowBorderDxfId="342" tableBorderDxfId="340" totalsRowBorderDxfId="338">
  <autoFilter ref="A2:F9" xr:uid="{21975E14-01E6-4429-9B84-675EEFAF38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E55DAF8-37E6-479D-AD4D-0150D1209647}" name="Candidate Name (Party)" totalsRowLabel="Total Votes by County" dataDxfId="337" totalsRowDxfId="336"/>
    <tableColumn id="2" xr3:uid="{D2AEF873-4F80-4055-8EDF-1D259E40C846}" name="Part of Kings County Vote Results" totalsRowFunction="custom" totalsRowDxfId="335">
      <totalsRowFormula>SUM(RepInCongressCongressionalDistrict12General[Part of Kings County Vote Results])</totalsRowFormula>
    </tableColumn>
    <tableColumn id="3" xr3:uid="{625BB6E0-0D5C-4660-AF23-D012F0D884C4}" name="Part of New York County Vote Results" totalsRowFunction="custom" dataDxfId="334" totalsRowDxfId="333">
      <totalsRowFormula>SUM(RepInCongressCongressionalDistrict12General[Part of New York County Vote Results])</totalsRowFormula>
    </tableColumn>
    <tableColumn id="4" xr3:uid="{7A15AAEC-3A8A-47A5-9863-C62677C87321}" name="Part of Queens County Vote Results" totalsRowFunction="custom" dataDxfId="332" totalsRowDxfId="331">
      <totalsRowFormula>SUM(RepInCongressCongressionalDistrict12General[Part of Queens County Vote Results])</totalsRowFormula>
    </tableColumn>
    <tableColumn id="6" xr3:uid="{C28BF2D1-1D95-4101-B8B0-1C3204A575CB}" name="Total Votes by Party" totalsRowFunction="custom" dataDxfId="330" totalsRowDxfId="329">
      <calculatedColumnFormula>SUM(RepInCongressCongressionalDistrict12General[[#This Row],[Part of Kings County Vote Results]:[Part of Queens County Vote Results]])</calculatedColumnFormula>
      <totalsRowFormula>SUM(RepInCongressCongressionalDistrict12General[Total Votes by Party])</totalsRowFormula>
    </tableColumn>
    <tableColumn id="5" xr3:uid="{8D6F464E-7BC4-431E-9B1A-11AE95710797}" name="Total Votes by Candidate" dataDxfId="328" totalsRowDxfId="32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789D1B03-40C2-48E1-96BE-AD1EBC7C4293}" name="RepInCongressCongressionalDistrict13General" displayName="RepInCongressCongressionalDistrict13General" ref="A2:E10" totalsRowCount="1" headerRowDxfId="326" dataDxfId="324" totalsRowDxfId="322" headerRowBorderDxfId="325" tableBorderDxfId="323" totalsRowBorderDxfId="321">
  <autoFilter ref="A2:E9" xr:uid="{FF6665A5-72E6-44D5-BE3B-8B2CACB4A79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CFC7FCD-829F-47A2-9E90-BD090F79091C}" name="Candidate Name (Party)" totalsRowLabel="Total Votes by County" dataDxfId="320" totalsRowDxfId="319"/>
    <tableColumn id="2" xr3:uid="{7AEDE33E-464A-4BBB-9B15-C229AB96C71C}" name="Part of Bronx County Vote Results" totalsRowFunction="custom" dataDxfId="318" totalsRowDxfId="317">
      <totalsRowFormula>SUM(RepInCongressCongressionalDistrict13General[Part of Bronx County Vote Results])</totalsRowFormula>
    </tableColumn>
    <tableColumn id="4" xr3:uid="{EDF84E86-82B5-42D9-BF0D-9E15E15068F7}" name="Part of New York County Vote Results" totalsRowFunction="custom" totalsRowDxfId="316">
      <totalsRowFormula>SUM(RepInCongressCongressionalDistrict13General[Part of New York County Vote Results])</totalsRowFormula>
    </tableColumn>
    <tableColumn id="3" xr3:uid="{2C016697-F77A-46AC-A8B7-741A1E1C82E7}" name="Total Votes by Party" totalsRowFunction="custom" dataDxfId="315" totalsRowDxfId="314">
      <calculatedColumnFormula>SUM(RepInCongressCongressionalDistrict13General[[#This Row],[Part of Bronx County Vote Results]:[Part of New York County Vote Results]])</calculatedColumnFormula>
      <totalsRowFormula>SUM(RepInCongressCongressionalDistrict13General[Total Votes by Party])</totalsRowFormula>
    </tableColumn>
    <tableColumn id="5" xr3:uid="{5AB7B685-4601-4745-A880-56062D6BF8B9}" name="Total Votes by Candidate" dataDxfId="313" totalsRowDxfId="312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ADFC4C1E-E564-4B0A-BC17-14931795F068}" name="RepInCongressCongressionalDistrict14General" displayName="RepInCongressCongressionalDistrict14General" ref="A2:E10" totalsRowCount="1" headerRowDxfId="311" dataDxfId="309" totalsRowDxfId="307" headerRowBorderDxfId="310" tableBorderDxfId="308" totalsRowBorderDxfId="306">
  <autoFilter ref="A2:E9" xr:uid="{0748C5B6-70AB-43AF-9D47-AE1627D286F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3D4618A-846F-433A-A0D2-24DD8772BBFC}" name="Candidate Name (Party)" totalsRowLabel="Total Votes by County" dataDxfId="305" totalsRowDxfId="304"/>
    <tableColumn id="2" xr3:uid="{F5E83189-543E-41A6-BE54-1ED4B7D69810}" name="Part of Bronx County Vote Results" totalsRowFunction="custom" totalsRowDxfId="303">
      <totalsRowFormula>SUM(RepInCongressCongressionalDistrict14General[Part of Bronx County Vote Results])</totalsRowFormula>
    </tableColumn>
    <tableColumn id="4" xr3:uid="{CA85D24B-4718-4DC2-8371-033455B23A89}" name="Part of Queens County Vote Results" totalsRowFunction="custom" totalsRowDxfId="302">
      <totalsRowFormula>SUM(RepInCongressCongressionalDistrict14General[Part of Queens County Vote Results])</totalsRowFormula>
    </tableColumn>
    <tableColumn id="3" xr3:uid="{4AEC0CDF-7C37-4A84-A489-532CF56D680A}" name="Total Votes by Party" totalsRowFunction="custom" dataDxfId="301" totalsRowDxfId="300">
      <totalsRowFormula>SUM(RepInCongressCongressionalDistrict14General[Total Votes by Party])</totalsRowFormula>
    </tableColumn>
    <tableColumn id="5" xr3:uid="{B787A747-D054-4587-9335-57A68B1267A4}" name="Total Votes by Candidate" dataDxfId="299" totalsRowDxfId="298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D63B24CB-B50D-4A1B-A541-DF730F807C10}" name="RepInCongressCongressionalDistrict15General" displayName="RepInCongressCongressionalDistrict15General" ref="A2:D9" totalsRowCount="1" headerRowDxfId="297" dataDxfId="295" totalsRowDxfId="293" headerRowBorderDxfId="296" tableBorderDxfId="294" totalsRowBorderDxfId="292">
  <autoFilter ref="A2:D8" xr:uid="{BA9C7FE1-F4F4-409E-B13A-39FF6A93574F}">
    <filterColumn colId="0" hiddenButton="1"/>
    <filterColumn colId="1" hiddenButton="1"/>
    <filterColumn colId="2" hiddenButton="1"/>
    <filterColumn colId="3" hiddenButton="1"/>
  </autoFilter>
  <tableColumns count="4">
    <tableColumn id="1" xr3:uid="{C6FE19A6-58B0-49B7-9197-37B2E96327F4}" name="Candidate Name (Party)" totalsRowLabel="Total Votes by County" dataDxfId="291" totalsRowDxfId="290"/>
    <tableColumn id="4" xr3:uid="{E38FE170-C113-4FFC-885D-0DE6F5CD9179}" name="Part of Bronx County Vote Results" totalsRowFunction="custom" dataDxfId="289" totalsRowDxfId="288">
      <totalsRowFormula>SUM(RepInCongressCongressionalDistrict15General[Part of Bronx County Vote Results])</totalsRowFormula>
    </tableColumn>
    <tableColumn id="3" xr3:uid="{FC986551-FBCF-4ABA-906B-7EE182F18A14}" name="Total Votes by Party" totalsRowFunction="custom" dataDxfId="287" totalsRowDxfId="286">
      <calculatedColumnFormula>RepInCongressCongressionalDistrict15General[[#This Row],[Part of Bronx County Vote Results]]</calculatedColumnFormula>
      <totalsRowFormula>SUM(RepInCongressCongressionalDistrict15General[Total Votes by Party])</totalsRowFormula>
    </tableColumn>
    <tableColumn id="2" xr3:uid="{6D11020E-D1E2-4EA8-94D3-04A061DBF3BF}" name="Total Votes by Candidate" dataDxfId="285" totalsRowDxfId="28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45ADB0A2-F725-48C0-9DE3-088162D46A3A}" name="RepInCongressCongressionalDistrict16General" displayName="RepInCongressCongressionalDistrict16General" ref="A2:E8" totalsRowCount="1" headerRowDxfId="283" dataDxfId="281" totalsRowDxfId="279" headerRowBorderDxfId="282" tableBorderDxfId="280" totalsRowBorderDxfId="278">
  <autoFilter ref="A2:E7" xr:uid="{151567D1-C9D1-459F-A027-DDDB16941B5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63EAEC1-7364-4EDB-B492-D360C680765C}" name="Candidate Name (Party)" totalsRowLabel="Total Votes by County" dataDxfId="277" totalsRowDxfId="276"/>
    <tableColumn id="2" xr3:uid="{83A6AFDB-728E-4A68-8573-88562F65AF9F}" name="Part of Bronx County Vote Results" totalsRowFunction="custom" dataDxfId="275" totalsRowDxfId="274">
      <totalsRowFormula>SUM(RepInCongressCongressionalDistrict16General[Part of Bronx County Vote Results])</totalsRowFormula>
    </tableColumn>
    <tableColumn id="4" xr3:uid="{13E8579A-B85F-4B46-AEF8-3410B5F48C39}" name="Part of Westchester County Vote Results" totalsRowFunction="custom" dataDxfId="273" totalsRowDxfId="272">
      <totalsRowFormula>SUM(RepInCongressCongressionalDistrict16General[Part of Westchester County Vote Results])</totalsRowFormula>
    </tableColumn>
    <tableColumn id="3" xr3:uid="{748F98F0-C32F-45BD-82A3-F12400F117D4}" name="Total Votes by Party" totalsRowFunction="custom" dataDxfId="271" totalsRowDxfId="270">
      <calculatedColumnFormula>SUM(RepInCongressCongressionalDistrict16General[[#This Row],[Part of Bronx County Vote Results]:[Part of Westchester County Vote Results]])</calculatedColumnFormula>
      <totalsRowFormula>SUM(RepInCongressCongressionalDistrict16General[Total Votes by Party])</totalsRowFormula>
    </tableColumn>
    <tableColumn id="5" xr3:uid="{F8AB6772-35E6-4BFC-90F6-4D09175E744C}" name="Total Votes by Candidate" dataDxfId="269" totalsRowDxfId="268">
      <calculatedColumnFormula>SUM(RepInCongressCongressionalDistrict16General[[#This Row],[Total Votes by Party]])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8E6D9853-BD3C-46C0-A8EF-BD20C31304DF}" name="RepInCongressCongressionalDistrict17General" displayName="RepInCongressCongressionalDistrict17General" ref="A2:E12" totalsRowCount="1" headerRowDxfId="267" dataDxfId="265" totalsRowDxfId="263" headerRowBorderDxfId="266" tableBorderDxfId="264" totalsRowBorderDxfId="262">
  <autoFilter ref="A2:E11" xr:uid="{BB80A5BF-F8A6-4751-8ACC-0548AF09BFE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AA91614-36B0-411C-B449-8D6992324145}" name="Candidate Name (Party)" totalsRowLabel="Total Votes by County" dataDxfId="261" totalsRowDxfId="260"/>
    <tableColumn id="2" xr3:uid="{DCA157F0-E380-418C-8FD6-3873DE2FAFE1}" name="Rockland County Vote Results" totalsRowFunction="custom" dataDxfId="259" totalsRowDxfId="258">
      <totalsRowFormula>SUM(RepInCongressCongressionalDistrict17General[Rockland County Vote Results])</totalsRowFormula>
    </tableColumn>
    <tableColumn id="4" xr3:uid="{8A1720F6-0F92-4677-A01F-9F2721B6C043}" name="Part of Westchester County Vote Results" totalsRowFunction="custom" dataDxfId="257" totalsRowDxfId="256">
      <totalsRowFormula>SUM(RepInCongressCongressionalDistrict17General[Part of Westchester County Vote Results])</totalsRowFormula>
    </tableColumn>
    <tableColumn id="3" xr3:uid="{0A15F1CE-5BF6-4A59-8344-5D88947E189E}" name="Total Votes by Party" totalsRowFunction="custom" dataDxfId="255" totalsRowDxfId="254">
      <totalsRowFormula>SUM(RepInCongressCongressionalDistrict17General[Total Votes by Party])</totalsRowFormula>
    </tableColumn>
    <tableColumn id="5" xr3:uid="{2B3967D0-6A4C-47F0-84DC-C59EF6B0238E}" name="Total Votes by Candidate" dataDxfId="253" totalsRowDxfId="252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114A1A57-0D4A-414F-88C7-6D9E0BDD8B2C}" name="RepInCongressCongressionalDistrict18General" displayName="RepInCongressCongressionalDistrict18General" ref="A2:G13" totalsRowCount="1" headerRowDxfId="251" dataDxfId="249" totalsRowDxfId="247" headerRowBorderDxfId="250" tableBorderDxfId="248" totalsRowBorderDxfId="246">
  <autoFilter ref="A2:G12" xr:uid="{F7C835FC-B4CE-47D2-B193-E5C29F42EB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84C8668-1BDB-4BCA-9193-A7874CFAAFCB}" name="Candidate Name (Party)" totalsRowLabel="Total Votes by County" dataDxfId="245" totalsRowDxfId="244"/>
    <tableColumn id="2" xr3:uid="{AA11E8EA-C3A9-469D-8275-056BBD29C411}" name="Orange County Vote Results" totalsRowFunction="custom" dataDxfId="243" totalsRowDxfId="242">
      <totalsRowFormula>SUM(RepInCongressCongressionalDistrict18General[Orange County Vote Results])</totalsRowFormula>
    </tableColumn>
    <tableColumn id="6" xr3:uid="{212C4272-2109-4679-B4F2-43726311D23F}" name="Putnam County Vote Results" totalsRowFunction="custom" dataDxfId="241" totalsRowDxfId="240">
      <totalsRowFormula>SUM(RepInCongressCongressionalDistrict18General[Putnam County Vote Results])</totalsRowFormula>
    </tableColumn>
    <tableColumn id="3" xr3:uid="{A200AAE1-63C7-4130-A849-993302FAA4D4}" name="Part of Dutchess County Vote Results" totalsRowFunction="custom" dataDxfId="239" totalsRowDxfId="238">
      <totalsRowFormula>SUM(RepInCongressCongressionalDistrict18General[Part of Dutchess County Vote Results])</totalsRowFormula>
    </tableColumn>
    <tableColumn id="4" xr3:uid="{EC9821C3-918F-4078-9C43-6F709FB484C2}" name="Part of Westchester County Vote Results" totalsRowFunction="custom" dataDxfId="237" totalsRowDxfId="236">
      <totalsRowFormula>SUM(RepInCongressCongressionalDistrict18General[Part of Westchester County Vote Results])</totalsRowFormula>
    </tableColumn>
    <tableColumn id="7" xr3:uid="{8631C07E-838E-43CE-85B0-88AE4C67896A}" name="Total Votes by Party" totalsRowFunction="custom" dataDxfId="235" totalsRowDxfId="234">
      <totalsRowFormula>SUM(RepInCongressCongressionalDistrict18General[Total Votes by Party])</totalsRowFormula>
    </tableColumn>
    <tableColumn id="5" xr3:uid="{2EAD6376-B387-4E9A-A0E0-F6D62726E71E}" name="Total Votes by Candidate" dataDxfId="233" totalsRowDxfId="23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41D9D4F8-363E-482A-AF8E-2680A0093B50}" name="RepInCongressCongressionalDistrict19General" displayName="RepInCongressCongressionalDistrict19General" ref="A2:N12" totalsRowCount="1" headerRowDxfId="231" dataDxfId="229" totalsRowDxfId="227" headerRowBorderDxfId="230" tableBorderDxfId="228" totalsRowBorderDxfId="226">
  <autoFilter ref="A2:N11" xr:uid="{E4E31CCD-DBAF-461B-809F-2E5F9AA9AF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DBA7B2B-EA38-469B-8839-987534AAFA6F}" name="Candidate Name (Party)" totalsRowLabel="Total Votes by County" dataDxfId="225" totalsRowDxfId="224"/>
    <tableColumn id="2" xr3:uid="{46BA17B5-06B6-4C10-A4E0-1355D2C43272}" name="Columbia County Vote Results" totalsRowFunction="custom" dataDxfId="223" totalsRowDxfId="222">
      <totalsRowFormula>SUM(RepInCongressCongressionalDistrict19General[Columbia County Vote Results])</totalsRowFormula>
    </tableColumn>
    <tableColumn id="13" xr3:uid="{83B78516-C2B5-4206-A365-E76EE852C03B}" name="Delaware County Vote Results" totalsRowFunction="custom" dataDxfId="221" totalsRowDxfId="220">
      <totalsRowFormula>SUM(RepInCongressCongressionalDistrict19General[Delaware County Vote Results])</totalsRowFormula>
    </tableColumn>
    <tableColumn id="12" xr3:uid="{CB8BEE87-FB3F-42A8-B151-6E535D5B60DD}" name="Greene County Vote Results" totalsRowFunction="custom" dataDxfId="219" totalsRowDxfId="218">
      <totalsRowFormula>SUM(RepInCongressCongressionalDistrict19General[Greene County Vote Results])</totalsRowFormula>
    </tableColumn>
    <tableColumn id="11" xr3:uid="{C8191123-CF8C-4AC5-B44A-FAFF24926FAB}" name="Otsego County Vote Results" totalsRowFunction="custom" dataDxfId="217" totalsRowDxfId="216">
      <totalsRowFormula>SUM(RepInCongressCongressionalDistrict19General[Otsego County Vote Results])</totalsRowFormula>
    </tableColumn>
    <tableColumn id="10" xr3:uid="{1AAAA1E6-7E6B-4690-A8A6-CEE8467A2060}" name="Schoharie County Vote Results" totalsRowFunction="custom" dataDxfId="215" totalsRowDxfId="214">
      <totalsRowFormula>SUM(RepInCongressCongressionalDistrict19General[Schoharie County Vote Results])</totalsRowFormula>
    </tableColumn>
    <tableColumn id="9" xr3:uid="{7907CF37-297D-41CC-A2C5-25B6E23033F8}" name="Sullivan County Vote Results" totalsRowFunction="custom" dataDxfId="213" totalsRowDxfId="212">
      <totalsRowFormula>SUM(RepInCongressCongressionalDistrict19General[Sullivan County Vote Results])</totalsRowFormula>
    </tableColumn>
    <tableColumn id="8" xr3:uid="{2D159585-DAD7-4144-A1F8-D95A3060FE93}" name="Ulster County Vote Results" totalsRowFunction="custom" dataDxfId="211" totalsRowDxfId="210">
      <totalsRowFormula>SUM(RepInCongressCongressionalDistrict19General[Ulster County Vote Results])</totalsRowFormula>
    </tableColumn>
    <tableColumn id="7" xr3:uid="{F12A0E0B-7DFC-433D-B30A-F95A471B7F91}" name="Part of Broome County Vote Results" totalsRowFunction="custom" dataDxfId="209" totalsRowDxfId="208">
      <totalsRowFormula>SUM(RepInCongressCongressionalDistrict19General[Part of Broome County Vote Results])</totalsRowFormula>
    </tableColumn>
    <tableColumn id="6" xr3:uid="{C9904E6E-72A3-44D0-9744-8350AACE4327}" name="Part of Dutchess County Vote Results" totalsRowFunction="custom" dataDxfId="207" totalsRowDxfId="206">
      <totalsRowFormula>SUM(RepInCongressCongressionalDistrict19General[Part of Dutchess County Vote Results])</totalsRowFormula>
    </tableColumn>
    <tableColumn id="3" xr3:uid="{A3BC6F16-C78A-405E-A1C4-97DCD032FE40}" name="Part of Montgomery County Vote Results" totalsRowFunction="custom" dataDxfId="205" totalsRowDxfId="204">
      <totalsRowFormula>SUM(RepInCongressCongressionalDistrict19General[Part of Montgomery County Vote Results])</totalsRowFormula>
    </tableColumn>
    <tableColumn id="4" xr3:uid="{E100F9A2-BC33-429B-8A77-13CD2DAC369A}" name="Part of Rensselaer County Vote Results" totalsRowFunction="custom" dataDxfId="203" totalsRowDxfId="202">
      <totalsRowFormula>SUM(RepInCongressCongressionalDistrict19General[Part of Rensselaer County Vote Results])</totalsRowFormula>
    </tableColumn>
    <tableColumn id="14" xr3:uid="{37C95375-5419-413C-8497-8040C2790C2A}" name="Total Votes by Party" totalsRowFunction="custom" dataDxfId="201" totalsRowDxfId="200">
      <calculatedColumnFormula>SUM(B3:L3)</calculatedColumnFormula>
      <totalsRowFormula>SUM(RepInCongressCongressionalDistrict19General[Total Votes by Party])</totalsRowFormula>
    </tableColumn>
    <tableColumn id="5" xr3:uid="{0ABF6663-7FBF-4004-B5A1-4BEFD3C1E299}" name="Total Votes by Candidate" dataDxfId="199" totalsRowDxfId="19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E664E6E9-8966-4899-90B4-998B434E9246}" name="RepInCongressCongressionalDistrict2General" displayName="RepInCongressCongressionalDistrict2General" ref="A2:E14" totalsRowCount="1" headerRowDxfId="494" dataDxfId="492" totalsRowDxfId="490" headerRowBorderDxfId="493" tableBorderDxfId="491" totalsRowBorderDxfId="489">
  <autoFilter ref="A2:E13" xr:uid="{D9123418-E292-4761-8C58-00BD3857154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692862D-9A05-476F-B4D0-3142509B53B7}" name="Candidate Name (Party)" totalsRowLabel="Total Votes by County" dataDxfId="488" totalsRowDxfId="487"/>
    <tableColumn id="2" xr3:uid="{33A9B2DA-4CD5-41DC-A979-5A88B1EA0C30}" name="Part of Nassau County Vote Results" totalsRowFunction="custom" dataDxfId="486" totalsRowDxfId="485">
      <totalsRowFormula>SUM(RepInCongressCongressionalDistrict2General[Part of Nassau County Vote Results])</totalsRowFormula>
    </tableColumn>
    <tableColumn id="4" xr3:uid="{48268465-4E29-462B-8AB7-3A7F4550B6BA}" name="Part of Suffolk County Vote Results" totalsRowFunction="custom" dataDxfId="484" totalsRowDxfId="483">
      <totalsRowFormula>SUM(RepInCongressCongressionalDistrict2General[Part of Suffolk County Vote Results])</totalsRowFormula>
    </tableColumn>
    <tableColumn id="3" xr3:uid="{0AFE27B0-93B9-4957-BE65-719E19EFD23F}" name="Total Votes by Party" totalsRowFunction="custom" dataDxfId="482" totalsRowDxfId="481">
      <totalsRowFormula>SUM(RepInCongressCongressionalDistrict2General[Total Votes by Party])</totalsRowFormula>
    </tableColumn>
    <tableColumn id="5" xr3:uid="{C9AD6328-E38D-4C45-8E1C-2187F14B563F}" name="Total Votes by Candidate" dataDxfId="480" totalsRowDxfId="479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972D72CF-7CA0-4678-8A37-84068BF5FF92}" name="RepInCongressCongressionalDistrict20General" displayName="RepInCongressCongressionalDistrict20General" ref="A2:H12" totalsRowCount="1" headerRowDxfId="197" dataDxfId="195" totalsRowDxfId="193" headerRowBorderDxfId="196" tableBorderDxfId="194" totalsRowBorderDxfId="192">
  <autoFilter ref="A2:H11" xr:uid="{D11F5F7B-D6D9-482B-935E-CBFF3FAE72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4677EFD-B2EE-4EA3-A325-8B4063054F08}" name="Candidate Name (Party)" totalsRowLabel="Total Votes by County" dataDxfId="191" totalsRowDxfId="190"/>
    <tableColumn id="2" xr3:uid="{F8297057-8D21-445D-B24E-0F752C70DDEA}" name="Albany County Vote Results" totalsRowFunction="custom" dataDxfId="189" totalsRowDxfId="188">
      <totalsRowFormula>SUM(RepInCongressCongressionalDistrict20General[Albany County Vote Results])</totalsRowFormula>
    </tableColumn>
    <tableColumn id="6" xr3:uid="{DE30FF58-9668-4FBF-A20B-91FB5BA8DD7F}" name="Schenectady County Vote Results" totalsRowFunction="custom" dataDxfId="187" totalsRowDxfId="186">
      <totalsRowFormula>SUM(RepInCongressCongressionalDistrict20General[Schenectady County Vote Results])</totalsRowFormula>
    </tableColumn>
    <tableColumn id="7" xr3:uid="{8EB65011-574B-4613-90A0-E303E7576D2B}" name="Part of Montgomery County Vote Results" totalsRowFunction="custom" dataDxfId="185" totalsRowDxfId="184">
      <totalsRowFormula>SUM(RepInCongressCongressionalDistrict20General[Part of Montgomery County Vote Results])</totalsRowFormula>
    </tableColumn>
    <tableColumn id="3" xr3:uid="{8C06863C-40C3-4828-AE2B-586E88185CFE}" name="Part of Rensselaer County Vote Results" totalsRowFunction="custom" dataDxfId="183" totalsRowDxfId="182">
      <totalsRowFormula>SUM(RepInCongressCongressionalDistrict20General[Part of Rensselaer County Vote Results])</totalsRowFormula>
    </tableColumn>
    <tableColumn id="4" xr3:uid="{3F86401C-94EF-4A30-85C9-D4AF8B806C00}" name="Part of Saratoga County Vote Results" totalsRowFunction="custom" dataDxfId="181" totalsRowDxfId="180">
      <totalsRowFormula>SUM(RepInCongressCongressionalDistrict20General[Part of Saratoga County Vote Results])</totalsRowFormula>
    </tableColumn>
    <tableColumn id="8" xr3:uid="{DD98D69E-B422-4834-B061-193593C2F13B}" name="Total Votes by Party" totalsRowFunction="custom" dataDxfId="179" totalsRowDxfId="178">
      <calculatedColumnFormula>SUM(RepInCongressCongressionalDistrict20General[[#This Row],[Albany County Vote Results]:[Part of Saratoga County Vote Results]])</calculatedColumnFormula>
      <totalsRowFormula>SUM(RepInCongressCongressionalDistrict20General[Total Votes by Party])</totalsRowFormula>
    </tableColumn>
    <tableColumn id="5" xr3:uid="{064CE07F-687E-4621-B62F-797AA4C8A757}" name="Total Votes by Candidate" dataDxfId="177" totalsRowDxfId="176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B1D129B5-7C0A-49B5-9D51-E39EB6D8C0BB}" name="RepInCongressCongressionalDistrict21General" displayName="RepInCongressCongressionalDistrict21General" ref="A2:O11" totalsRowCount="1" headerRowDxfId="175" dataDxfId="173" totalsRowDxfId="171" headerRowBorderDxfId="174" tableBorderDxfId="172" totalsRowBorderDxfId="170">
  <autoFilter ref="A2:O10" xr:uid="{539EBD77-812D-4C79-BDB5-02B7A3F2A6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B10372CC-F0B4-4D03-B18F-0B091F080003}" name="Candidate Name (Party)" totalsRowLabel="Total Votes by County" dataDxfId="169" totalsRowDxfId="168"/>
    <tableColumn id="2" xr3:uid="{44660E60-3D62-411E-AE8C-DCCA283B9518}" name="Clinton County Vote Results" totalsRowFunction="custom" dataDxfId="167" totalsRowDxfId="166">
      <totalsRowFormula>SUM(RepInCongressCongressionalDistrict21General[Clinton County Vote Results])</totalsRowFormula>
    </tableColumn>
    <tableColumn id="13" xr3:uid="{DC1111B1-A9BE-4551-B4E5-C7C90B637D3B}" name="Essex County Vote Results" totalsRowFunction="custom" dataDxfId="165" totalsRowDxfId="164">
      <totalsRowFormula>SUM(RepInCongressCongressionalDistrict21General[Essex County Vote Results])</totalsRowFormula>
    </tableColumn>
    <tableColumn id="12" xr3:uid="{6C0A255D-E8D5-4493-AD2D-C38C2151C913}" name="Franklin County Vote Results" totalsRowFunction="custom" dataDxfId="163" totalsRowDxfId="162">
      <totalsRowFormula>SUM(RepInCongressCongressionalDistrict21General[Franklin County Vote Results])</totalsRowFormula>
    </tableColumn>
    <tableColumn id="11" xr3:uid="{BB4E1751-4615-442B-B5B0-51CC4B746A8E}" name="Fulton County Vote Results" totalsRowFunction="custom" dataDxfId="161" totalsRowDxfId="160">
      <totalsRowFormula>SUBTOTAL(109,E3:E10)</totalsRowFormula>
    </tableColumn>
    <tableColumn id="10" xr3:uid="{45957038-5BAA-4E7B-87A3-6BF908354987}" name="Hamilton County Vote Results" totalsRowFunction="custom" dataDxfId="159" totalsRowDxfId="158">
      <totalsRowFormula>SUM(RepInCongressCongressionalDistrict21General[Hamilton County Vote Results])</totalsRowFormula>
    </tableColumn>
    <tableColumn id="9" xr3:uid="{B4CC33EE-CAE7-463F-A47A-1CB2AB789153}" name="Jefferson County Vote Results" totalsRowFunction="custom" dataDxfId="157" totalsRowDxfId="156">
      <totalsRowFormula>SUM(RepInCongressCongressionalDistrict21General[Jefferson County Vote Results])</totalsRowFormula>
    </tableColumn>
    <tableColumn id="8" xr3:uid="{39F07F54-054F-453D-8764-03DE9276019B}" name="Lewis County Vote Results" totalsRowFunction="custom" dataDxfId="155" totalsRowDxfId="154">
      <totalsRowFormula>SUM(RepInCongressCongressionalDistrict21General[Lewis County Vote Results])</totalsRowFormula>
    </tableColumn>
    <tableColumn id="7" xr3:uid="{38F5589E-C3B1-4323-B79E-FE840EB7DC2B}" name="St. Lawrence County Vote Results" totalsRowFunction="custom" dataDxfId="153" totalsRowDxfId="152">
      <totalsRowFormula>SUM(RepInCongressCongressionalDistrict21General[St. Lawrence County Vote Results])</totalsRowFormula>
    </tableColumn>
    <tableColumn id="14" xr3:uid="{C892F57C-904A-4741-80BB-4A8BA67F899C}" name="Warren County Vote Results" totalsRowFunction="custom" dataDxfId="151" totalsRowDxfId="150">
      <totalsRowFormula>SUM(RepInCongressCongressionalDistrict21General[Warren County Vote Results])</totalsRowFormula>
    </tableColumn>
    <tableColumn id="6" xr3:uid="{14B9BF99-467C-4086-9B2F-234ACDB3A26A}" name="Washington County Vote Results" totalsRowFunction="custom" dataDxfId="149" totalsRowDxfId="148">
      <totalsRowFormula>SUM(RepInCongressCongressionalDistrict21General[Washington County Vote Results])</totalsRowFormula>
    </tableColumn>
    <tableColumn id="3" xr3:uid="{549D1D91-6913-4EB8-B261-CD6DC9BE75C2}" name="Part of Herkimer County Vote Results" totalsRowFunction="custom" dataDxfId="147" totalsRowDxfId="146">
      <totalsRowFormula>SUM(RepInCongressCongressionalDistrict21General[Part of Herkimer County Vote Results])</totalsRowFormula>
    </tableColumn>
    <tableColumn id="4" xr3:uid="{FB490569-86FE-427C-8B5C-66CF3B61E2C2}" name="Part of Saratoga County Vote Results" totalsRowFunction="custom" dataDxfId="145" totalsRowDxfId="144">
      <totalsRowFormula>SUM(RepInCongressCongressionalDistrict21General[Part of Saratoga County Vote Results])</totalsRowFormula>
    </tableColumn>
    <tableColumn id="15" xr3:uid="{A91E87BB-0DA5-49A9-8541-21CB30863C87}" name="Total Votes by Party" totalsRowFunction="custom" dataDxfId="143" totalsRowDxfId="142">
      <totalsRowFormula>SUM(RepInCongressCongressionalDistrict21General[Total Votes by Party])</totalsRowFormula>
    </tableColumn>
    <tableColumn id="5" xr3:uid="{7913F281-116C-41E0-90D4-F3F4A3C95F25}" name="Total Votes by Candidate" dataDxfId="141" totalsRowDxfId="140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F7D0908A-BD3B-4F67-B670-46CA1D13FFF3}" name="RepInCongressCongressionalDistrict22General" displayName="RepInCongressCongressionalDistrict22General" ref="A2:K12" totalsRowCount="1" headerRowDxfId="139" dataDxfId="137" totalsRowDxfId="135" headerRowBorderDxfId="138" tableBorderDxfId="136" totalsRowBorderDxfId="134">
  <autoFilter ref="A2:K11" xr:uid="{004FB23F-B89A-4BE0-8C7A-0D0D60DB0C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2F60D30-94A8-436E-B5C4-6B140AA511CD}" name="Candidate Name (Party)" totalsRowLabel="Total Votes by County" dataDxfId="133" totalsRowDxfId="132"/>
    <tableColumn id="2" xr3:uid="{B7E5CBB5-A1F7-4C47-BCD9-51372BFE2D1A}" name="Chenango County Vote Results" totalsRowFunction="custom" dataDxfId="131" totalsRowDxfId="130">
      <totalsRowFormula>SUM(RepInCongressCongressionalDistrict22General[Chenango County Vote Results])</totalsRowFormula>
    </tableColumn>
    <tableColumn id="6" xr3:uid="{2BC7034A-E4BB-4D6C-8C07-B9D18B9DF579}" name="Cortland County Vote Results" totalsRowFunction="custom" dataDxfId="129" totalsRowDxfId="128">
      <totalsRowFormula>SUM(RepInCongressCongressionalDistrict22General[Cortland County Vote Results])</totalsRowFormula>
    </tableColumn>
    <tableColumn id="7" xr3:uid="{A80B3F51-8BFE-40E8-88EE-E491CA92D0C2}" name="Madison County Vote Results" totalsRowFunction="custom" dataDxfId="127" totalsRowDxfId="126">
      <totalsRowFormula>SUM(RepInCongressCongressionalDistrict22General[Madison County Vote Results])</totalsRowFormula>
    </tableColumn>
    <tableColumn id="10" xr3:uid="{D2A4178A-8CC3-455B-A57C-A09435C18EB5}" name="Oneida County Vote Results" totalsRowFunction="custom" dataDxfId="125" totalsRowDxfId="124">
      <totalsRowFormula>SUM(RepInCongressCongressionalDistrict22General[Oneida County Vote Results])</totalsRowFormula>
    </tableColumn>
    <tableColumn id="9" xr3:uid="{61B710FA-CCB4-4DE9-BF0F-281325E05AC2}" name="Part of Broome County Vote Results" totalsRowFunction="custom" dataDxfId="123" totalsRowDxfId="122">
      <totalsRowFormula>SUM(RepInCongressCongressionalDistrict22General[Part of Broome County Vote Results])</totalsRowFormula>
    </tableColumn>
    <tableColumn id="8" xr3:uid="{FE45732F-0B4F-4563-AAFF-BCBD930A1282}" name="Part of Herkimer County Vote Results" totalsRowFunction="custom" dataDxfId="121" totalsRowDxfId="120">
      <totalsRowFormula>SUM(RepInCongressCongressionalDistrict22General[Part of Herkimer County Vote Results])</totalsRowFormula>
    </tableColumn>
    <tableColumn id="3" xr3:uid="{097899C5-40CA-41F5-A9FB-B2B3B146F0EF}" name="Part of Oswego County Vote Results" totalsRowFunction="custom" dataDxfId="119" totalsRowDxfId="118">
      <totalsRowFormula>SUM(RepInCongressCongressionalDistrict22General[Part of Oswego County Vote Results])</totalsRowFormula>
    </tableColumn>
    <tableColumn id="4" xr3:uid="{06EEFD3F-A81C-4724-9E15-14098B6A2D6B}" name="Part of Tioga County Vote Results" totalsRowFunction="custom" dataDxfId="117" totalsRowDxfId="116">
      <totalsRowFormula>SUM(RepInCongressCongressionalDistrict22General[Part of Tioga County Vote Results])</totalsRowFormula>
    </tableColumn>
    <tableColumn id="11" xr3:uid="{1FFD6898-B788-4DAB-8DBC-C3D249265995}" name="Total Votes by Party" totalsRowFunction="custom" dataDxfId="115" totalsRowDxfId="114">
      <totalsRowFormula>SUM(RepInCongressCongressionalDistrict22General[Total Votes by Party])</totalsRowFormula>
    </tableColumn>
    <tableColumn id="5" xr3:uid="{3385B94D-1E14-48C4-96F4-E067268AA07A}" name="Total Votes by Candidate" dataDxfId="113" totalsRowDxfId="112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CC0D3B32-924A-41CE-A7C8-EFF11F472E4C}" name="RepInCongressCongressionalDistrict23General" displayName="RepInCongressCongressionalDistrict23General" ref="A2:N12" totalsRowCount="1" headerRowDxfId="111" dataDxfId="109" totalsRowDxfId="107" headerRowBorderDxfId="110" tableBorderDxfId="108" totalsRowBorderDxfId="106">
  <autoFilter ref="A2:N11" xr:uid="{0C49DDDC-F88C-4209-934A-3C7F684B09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CB381825-A6A7-41F4-9B98-E093B20BA3E2}" name="Candidate Name (Party)" totalsRowLabel="Total Votes by County" dataDxfId="105" totalsRowDxfId="104"/>
    <tableColumn id="2" xr3:uid="{91B7D694-EF5A-40F0-ABC6-DA6FD965728B}" name="Allegany County Vote Results" totalsRowFunction="custom" dataDxfId="103" totalsRowDxfId="102">
      <totalsRowFormula>SUM(RepInCongressCongressionalDistrict23General[Allegany County Vote Results])</totalsRowFormula>
    </tableColumn>
    <tableColumn id="13" xr3:uid="{B8AF5636-B7EA-49F8-86EC-2309AF8A4B50}" name="Cattaraugus County Vote Results" totalsRowFunction="custom" dataDxfId="101" totalsRowDxfId="100">
      <totalsRowFormula>SUM(RepInCongressCongressionalDistrict23General[Cattaraugus County Vote Results])</totalsRowFormula>
    </tableColumn>
    <tableColumn id="12" xr3:uid="{65A0DF7B-2F47-453A-BA96-EF7CA2CE7728}" name="Chautauqua County Vote Results" totalsRowFunction="custom" dataDxfId="99" totalsRowDxfId="98">
      <totalsRowFormula>SUM(RepInCongressCongressionalDistrict23General[Chautauqua County Vote Results])</totalsRowFormula>
    </tableColumn>
    <tableColumn id="11" xr3:uid="{36965201-DF71-4922-8DF0-223DFBA57BCC}" name="Chemung County Vote Results" totalsRowFunction="custom" dataDxfId="97" totalsRowDxfId="96">
      <totalsRowFormula>SUM(RepInCongressCongressionalDistrict23General[Chemung County Vote Results])</totalsRowFormula>
    </tableColumn>
    <tableColumn id="10" xr3:uid="{1B3FAB3F-A642-4B3D-8E9A-ED777847132C}" name="Schuyler County Vote Results" totalsRowFunction="custom" dataDxfId="95" totalsRowDxfId="94">
      <totalsRowFormula>SUM(RepInCongressCongressionalDistrict23General[Schuyler County Vote Results])</totalsRowFormula>
    </tableColumn>
    <tableColumn id="9" xr3:uid="{87BCA5CA-1F57-43A1-B59B-CBD6E23670E1}" name="Seneca County Vote Results" totalsRowFunction="custom" dataDxfId="93" totalsRowDxfId="92">
      <totalsRowFormula>SUM(RepInCongressCongressionalDistrict23General[Seneca County Vote Results])</totalsRowFormula>
    </tableColumn>
    <tableColumn id="8" xr3:uid="{883A6522-0E51-42F2-89DE-37AC5CB4CEA5}" name="Steuben County Vote Results" totalsRowFunction="custom" dataDxfId="91" totalsRowDxfId="90">
      <totalsRowFormula>SUM(RepInCongressCongressionalDistrict23General[Steuben County Vote Results])</totalsRowFormula>
    </tableColumn>
    <tableColumn id="7" xr3:uid="{052BE1E5-E45B-4BB7-848A-53770399BC02}" name="Tompkins County Vote Results" totalsRowFunction="custom" dataDxfId="89" totalsRowDxfId="88">
      <totalsRowFormula>SUM(RepInCongressCongressionalDistrict23General[Tompkins County Vote Results])</totalsRowFormula>
    </tableColumn>
    <tableColumn id="14" xr3:uid="{69B96D39-EEFF-4ADF-BDFC-7466049AD51A}" name="Yates County Vote Results" totalsRowFunction="custom" dataDxfId="87" totalsRowDxfId="86">
      <totalsRowFormula>SUM(RepInCongressCongressionalDistrict23General[Yates County Vote Results])</totalsRowFormula>
    </tableColumn>
    <tableColumn id="3" xr3:uid="{BB82E46B-8A1B-460C-B1DC-B64D94788E7B}" name="Part of Ontario County Vote Results" totalsRowFunction="custom" dataDxfId="85" totalsRowDxfId="84">
      <totalsRowFormula>SUM(RepInCongressCongressionalDistrict23General[Part of Ontario County Vote Results])</totalsRowFormula>
    </tableColumn>
    <tableColumn id="4" xr3:uid="{9BBDE277-A359-405D-AA3A-4E36A5FF4E91}" name="Part of Tioga County Vote Results" totalsRowFunction="custom" dataDxfId="83" totalsRowDxfId="82">
      <totalsRowFormula>SUM(RepInCongressCongressionalDistrict23General[Part of Tioga County Vote Results])</totalsRowFormula>
    </tableColumn>
    <tableColumn id="6" xr3:uid="{BC96CA23-1184-4D91-9B79-6EC1EDC7097B}" name="Total Votes by Party" totalsRowFunction="custom" dataDxfId="81" totalsRowDxfId="80">
      <totalsRowFormula>SUM(RepInCongressCongressionalDistrict23General[Total Votes by Party])</totalsRowFormula>
    </tableColumn>
    <tableColumn id="5" xr3:uid="{BE95CCB2-44E1-42CD-ACE8-032314B77109}" name="Total Votes by Candidate" dataDxfId="79" totalsRowDxfId="78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CDDE415A-1582-4110-9682-829D3C1DB869}" name="RepInCongressCongressionalDistrict24General" displayName="RepInCongressCongressionalDistrict24General" ref="A2:G11" totalsRowCount="1" headerRowDxfId="77" dataDxfId="75" totalsRowDxfId="73" headerRowBorderDxfId="76" tableBorderDxfId="74" totalsRowBorderDxfId="72">
  <autoFilter ref="A2:G10" xr:uid="{73707D82-830B-41CE-ABF5-16DAFA77C9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790CB0B-2A47-493B-B8D6-180377419AFA}" name="Candidate Name (Party)" totalsRowLabel="Total Votes by County" dataDxfId="71" totalsRowDxfId="70"/>
    <tableColumn id="2" xr3:uid="{F6CCEAE4-4E7D-4926-B101-97E0A084CF4B}" name="Cayuga County Vote Results" totalsRowFunction="custom" dataDxfId="69" totalsRowDxfId="68">
      <totalsRowFormula>SUM(RepInCongressCongressionalDistrict24General[Cayuga County Vote Results])</totalsRowFormula>
    </tableColumn>
    <tableColumn id="6" xr3:uid="{355186F7-C723-4428-B7D0-D18412F3DF14}" name="Onondaga County Vote Results" totalsRowFunction="custom" dataDxfId="67" totalsRowDxfId="66">
      <totalsRowFormula>SUM(RepInCongressCongressionalDistrict24General[Onondaga County Vote Results])</totalsRowFormula>
    </tableColumn>
    <tableColumn id="3" xr3:uid="{361B2B71-0A58-42E4-8977-78EE89517964}" name="Wayne County Vote Results" totalsRowFunction="custom" dataDxfId="65" totalsRowDxfId="64">
      <totalsRowFormula>SUM(RepInCongressCongressionalDistrict24General[Wayne County Vote Results])</totalsRowFormula>
    </tableColumn>
    <tableColumn id="4" xr3:uid="{5C434877-BDD4-4510-ACF3-8CA6C22409DF}" name="Part of Oswego County Vote Results" totalsRowFunction="custom" dataDxfId="63" totalsRowDxfId="62">
      <totalsRowFormula>SUM(RepInCongressCongressionalDistrict24General[Part of Oswego County Vote Results])</totalsRowFormula>
    </tableColumn>
    <tableColumn id="7" xr3:uid="{4315A5E6-291B-495E-9BCA-8709729E2888}" name="Total Votes by Party" totalsRowFunction="custom" dataDxfId="61" totalsRowDxfId="60">
      <totalsRowFormula>SUM(RepInCongressCongressionalDistrict24General[Total Votes by Party])</totalsRowFormula>
    </tableColumn>
    <tableColumn id="5" xr3:uid="{0417FAF6-AD4C-424F-BA9F-3C86A24E64D0}" name="Total Votes by Candidate" dataDxfId="59" totalsRowDxfId="58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93E77C43-6179-4793-9ADD-584BD2F08AFF}" name="RepInCongressCongressionalDistrict25General" displayName="RepInCongressCongressionalDistrict25General" ref="A2:D12" totalsRowCount="1" headerRowDxfId="57" dataDxfId="55" totalsRowDxfId="53" headerRowBorderDxfId="56" tableBorderDxfId="54" totalsRowBorderDxfId="52">
  <autoFilter ref="A2:D11" xr:uid="{64708C82-C3FB-4629-83EE-627387BA1A7D}">
    <filterColumn colId="0" hiddenButton="1"/>
    <filterColumn colId="1" hiddenButton="1"/>
    <filterColumn colId="2" hiddenButton="1"/>
    <filterColumn colId="3" hiddenButton="1"/>
  </autoFilter>
  <tableColumns count="4">
    <tableColumn id="1" xr3:uid="{04DEFDB3-5743-4BAE-A03E-546E1D43CD0B}" name="Candidate Name (Party)" totalsRowLabel="Total Votes by County" dataDxfId="51" totalsRowDxfId="50"/>
    <tableColumn id="4" xr3:uid="{D01E3B79-4FBA-4E5E-AC4C-10F7743B2A1F}" name="Part of Monroe County Vote Results" totalsRowFunction="custom" dataDxfId="49" totalsRowDxfId="48">
      <totalsRowFormula>SUM(RepInCongressCongressionalDistrict25General[Part of Monroe County Vote Results])</totalsRowFormula>
    </tableColumn>
    <tableColumn id="3" xr3:uid="{261A85ED-C96C-4BE5-925E-61D4B4E1B249}" name="Total Votes by Party" totalsRowFunction="custom" dataDxfId="47" totalsRowDxfId="46">
      <calculatedColumnFormula>RepInCongressCongressionalDistrict25General[[#This Row],[Part of Monroe County Vote Results]]</calculatedColumnFormula>
      <totalsRowFormula>SUM(RepInCongressCongressionalDistrict25General[Total Votes by Party])</totalsRowFormula>
    </tableColumn>
    <tableColumn id="2" xr3:uid="{015F276C-E4F4-4FE4-AE37-0E7107CC6789}" name="Total Votes by Candidate" dataDxfId="45" totalsRowDxfId="44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2ED76ED2-DD89-4027-9405-3D982AA05D6C}" name="RepInCongressCongressionalDistrict26General" displayName="RepInCongressCongressionalDistrict26General" ref="A2:E11" totalsRowCount="1" headerRowDxfId="43" dataDxfId="41" totalsRowDxfId="39" headerRowBorderDxfId="42" tableBorderDxfId="40" totalsRowBorderDxfId="38">
  <autoFilter ref="A2:E10" xr:uid="{3936682D-ED33-46CD-BD56-5B7D602B4DE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BB70ED1-DFF1-4861-9471-9EB62ED8C005}" name="Candidate Name (Party)" totalsRowLabel="Total Votes by County" dataDxfId="37" totalsRowDxfId="36"/>
    <tableColumn id="2" xr3:uid="{744F6BC8-4266-402F-8543-1A2BD92C8C2F}" name="Part of Erie County Vote Results" totalsRowFunction="custom" dataDxfId="35" totalsRowDxfId="34">
      <totalsRowFormula>SUM(RepInCongressCongressionalDistrict26General[Part of Erie County Vote Results])</totalsRowFormula>
    </tableColumn>
    <tableColumn id="4" xr3:uid="{54463627-5A90-424A-8164-99297B9D61E7}" name="Part of Niagara County Vote Results" totalsRowFunction="custom" dataDxfId="33" totalsRowDxfId="32">
      <totalsRowFormula>SUM(RepInCongressCongressionalDistrict26General[Part of Niagara County Vote Results])</totalsRowFormula>
    </tableColumn>
    <tableColumn id="3" xr3:uid="{81E47EAA-43D8-4BE9-90EC-8913E3D26071}" name="Total Votes by Party" totalsRowFunction="custom" dataDxfId="31" totalsRowDxfId="30">
      <calculatedColumnFormula>SUM(RepInCongressCongressionalDistrict26General[[#This Row],[Part of Erie County Vote Results]:[Part of Niagara County Vote Results]])</calculatedColumnFormula>
      <totalsRowFormula>SUM(RepInCongressCongressionalDistrict26General[Total Votes by Party])</totalsRowFormula>
    </tableColumn>
    <tableColumn id="5" xr3:uid="{1B027D29-9AB8-4774-AB31-F008DB726843}" name="Total Votes by Candidate" dataDxfId="29" totalsRowDxfId="28"/>
  </tableColumns>
  <tableStyleInfo name="TableStyleMedium2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65DD54A7-46C8-4997-8E41-962ECE1A7C40}" name="RepInCongressCongressionalDistrict27General" displayName="RepInCongressCongressionalDistrict27General" ref="A2:K12" totalsRowCount="1" headerRowDxfId="27" dataDxfId="25" totalsRowDxfId="23" headerRowBorderDxfId="26" tableBorderDxfId="24" totalsRowBorderDxfId="22">
  <autoFilter ref="A2:K11" xr:uid="{CC33615E-FD2B-4AF4-B459-101BAA968D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675D384-EE38-421C-A0B3-E83E0DACCBB6}" name="Candidate Name (Party)" totalsRowLabel="Total Votes by County" dataDxfId="21" totalsRowDxfId="20"/>
    <tableColumn id="2" xr3:uid="{D3F7C6C1-DA48-479C-AB85-7FC097128FCF}" name="Genesee County Vote Results" totalsRowFunction="custom" dataDxfId="19" totalsRowDxfId="18">
      <totalsRowFormula>SUM(RepInCongressCongressionalDistrict27General[Genesee County Vote Results])</totalsRowFormula>
    </tableColumn>
    <tableColumn id="13" xr3:uid="{4D18FB46-F4EA-400C-8E3D-DF5B11B3CBC8}" name="Livingston County Vote Results" totalsRowFunction="custom" dataDxfId="17" totalsRowDxfId="16">
      <totalsRowFormula>SUM(RepInCongressCongressionalDistrict27General[Livingston County Vote Results])</totalsRowFormula>
    </tableColumn>
    <tableColumn id="12" xr3:uid="{B542F8F1-5AA3-476E-94C9-A8125ACC4A44}" name="Orleans County Vote Results" totalsRowFunction="custom" dataDxfId="15" totalsRowDxfId="14">
      <totalsRowFormula>SUM(RepInCongressCongressionalDistrict27General[Orleans County Vote Results])</totalsRowFormula>
    </tableColumn>
    <tableColumn id="11" xr3:uid="{D77EB94B-0505-42C6-8B51-EDA576FBF1D1}" name="Wyoming County Vote Results" totalsRowFunction="custom" dataDxfId="13" totalsRowDxfId="12">
      <totalsRowFormula>SUM(RepInCongressCongressionalDistrict27General[Wyoming County Vote Results])</totalsRowFormula>
    </tableColumn>
    <tableColumn id="10" xr3:uid="{064AB5AD-5DF8-4B9B-9F4A-A73652DA1E2D}" name="Part of Erie County Vote Results" totalsRowFunction="custom" dataDxfId="11" totalsRowDxfId="10">
      <totalsRowFormula>SUM(RepInCongressCongressionalDistrict27General[Part of Erie County Vote Results])</totalsRowFormula>
    </tableColumn>
    <tableColumn id="9" xr3:uid="{450C9B05-A670-493A-A5EF-76B024C76662}" name="Part of Monroe County Vote Results" totalsRowFunction="custom" dataDxfId="9" totalsRowDxfId="8">
      <totalsRowFormula>SUM(RepInCongressCongressionalDistrict27General[Part of Monroe County Vote Results])</totalsRowFormula>
    </tableColumn>
    <tableColumn id="3" xr3:uid="{486F1ECC-5131-4749-BCEF-AE3CE5C5A809}" name="Part of Niagara County Vote Results" totalsRowFunction="custom" dataDxfId="7" totalsRowDxfId="6">
      <totalsRowFormula>SUM(RepInCongressCongressionalDistrict27General[Part of Niagara County Vote Results])</totalsRowFormula>
    </tableColumn>
    <tableColumn id="4" xr3:uid="{FBC27BE9-D4AE-425C-976C-91703E035EF1}" name="Part of Ontario County Vote Results" totalsRowFunction="custom" dataDxfId="5" totalsRowDxfId="4">
      <totalsRowFormula>SUM(RepInCongressCongressionalDistrict27General[Part of Ontario County Vote Results])</totalsRowFormula>
    </tableColumn>
    <tableColumn id="6" xr3:uid="{E886213C-3C74-4548-B51E-2097AFE754D5}" name="Total Votes by Party" totalsRowFunction="custom" dataDxfId="3" totalsRowDxfId="2">
      <totalsRowFormula>SUM(RepInCongressCongressionalDistrict27General[Total Votes by Party])</totalsRowFormula>
    </tableColumn>
    <tableColumn id="5" xr3:uid="{C347AAC4-B14F-4E92-9768-057C788921B5}" name="Total Votes by Candidate" dataDxfId="1" totalsRowDxfId="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C7D3C537-F411-461A-9141-69F0EB7B37F7}" name="RepInCongressCongressionalDistrict3General" displayName="RepInCongressCongressionalDistrict3General" ref="A2:F12" totalsRowCount="1" headerRowDxfId="478" dataDxfId="476" headerRowBorderDxfId="477" tableBorderDxfId="475" totalsRowBorderDxfId="474">
  <autoFilter ref="A2:F11" xr:uid="{013F4201-9F43-4569-BC15-21711BC52D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B346004-8430-44AA-9F34-92C37645585A}" name="Candidate Name (Party)" totalsRowLabel="Total Votes by County" dataDxfId="473" totalsRowDxfId="472"/>
    <tableColumn id="2" xr3:uid="{3FFE43FB-3BCD-428F-875E-2AB03E9E6A59}" name="Part of Nassau County Vote Results" totalsRowFunction="custom" dataDxfId="471" totalsRowDxfId="470">
      <totalsRowFormula>SUM(RepInCongressCongressionalDistrict3General[Part of Nassau County Vote Results])</totalsRowFormula>
    </tableColumn>
    <tableColumn id="3" xr3:uid="{A213CC25-9939-41CD-A4D2-18A1B293F9F7}" name="Part of Queens County Vote Results" totalsRowFunction="custom" dataDxfId="469" totalsRowDxfId="468">
      <totalsRowFormula>SUM(RepInCongressCongressionalDistrict3General[Part of Queens County Vote Results])</totalsRowFormula>
    </tableColumn>
    <tableColumn id="4" xr3:uid="{8B5FBB76-DF38-4273-A5E2-D2E983F8E695}" name="Part of Suffolk County Vote Results" totalsRowFunction="custom" dataDxfId="467" totalsRowDxfId="466">
      <totalsRowFormula>SUM(RepInCongressCongressionalDistrict3General[Part of Suffolk County Vote Results])</totalsRowFormula>
    </tableColumn>
    <tableColumn id="6" xr3:uid="{353A649F-E7C0-4046-A97D-D139F1F615C7}" name="Total Votes by Party" totalsRowFunction="custom" dataDxfId="465" totalsRowDxfId="464">
      <calculatedColumnFormula>SUM(RepInCongressCongressionalDistrict3General[[#This Row],[Part of Nassau County Vote Results]:[Part of Suffolk County Vote Results]])</calculatedColumnFormula>
      <totalsRowFormula>SUM(RepInCongressCongressionalDistrict3General[Total Votes by Party])</totalsRowFormula>
    </tableColumn>
    <tableColumn id="5" xr3:uid="{CE72F6BF-9C5F-45E4-8877-628105F24873}" name="Total Votes by Candidate" dataDxfId="463" totalsRowDxfId="46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C595583A-4A9B-440E-AFC7-6842CBABCD02}" name="RepInCongressCongressionalDistrict4General" displayName="RepInCongressCongressionalDistrict4General" ref="A2:D10" totalsRowCount="1" headerRowDxfId="461" dataDxfId="459" totalsRowDxfId="457" headerRowBorderDxfId="460" tableBorderDxfId="458" totalsRowBorderDxfId="456">
  <autoFilter ref="A2:D9" xr:uid="{921EDB68-DC53-40F7-A5D9-925E119F012C}">
    <filterColumn colId="0" hiddenButton="1"/>
    <filterColumn colId="1" hiddenButton="1"/>
    <filterColumn colId="2" hiddenButton="1"/>
    <filterColumn colId="3" hiddenButton="1"/>
  </autoFilter>
  <tableColumns count="4">
    <tableColumn id="1" xr3:uid="{BC751C3F-8D6B-4C65-A0CF-5B70C18FE315}" name="Candidate Name (Party)" totalsRowLabel="Total Votes by County" dataDxfId="455" totalsRowDxfId="454"/>
    <tableColumn id="4" xr3:uid="{276626CC-9119-41D9-AFCE-313522824A3D}" name="Part of Nassau County Vote Results" totalsRowFunction="custom" dataDxfId="453" totalsRowDxfId="452">
      <totalsRowFormula>SUM(RepInCongressCongressionalDistrict4General[Part of Nassau County Vote Results])</totalsRowFormula>
    </tableColumn>
    <tableColumn id="3" xr3:uid="{6282D6F6-5532-48EB-B4CD-A9A16174B236}" name="Total Votes by Party" totalsRowFunction="custom" dataDxfId="451" totalsRowDxfId="450">
      <calculatedColumnFormula>RepInCongressCongressionalDistrict4General[[#This Row],[Part of Nassau County Vote Results]]</calculatedColumnFormula>
      <totalsRowFormula>SUM(RepInCongressCongressionalDistrict4General[Total Votes by Party])</totalsRowFormula>
    </tableColumn>
    <tableColumn id="2" xr3:uid="{3E5B5254-F527-4424-9254-96BCC72910BC}" name="Total Votes by Candidate" dataDxfId="449" totalsRowDxfId="448">
      <calculatedColumnFormula>SUM(RepInCongressCongressionalDistrict4General[[#This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12CE04F7-5869-41E1-99F8-1C7649AE021F}" name="RepInCongressCongressionalDistrict5General" displayName="RepInCongressCongressionalDistrict5General" ref="A2:E7" totalsRowCount="1" headerRowDxfId="447" dataDxfId="445" totalsRowDxfId="443" headerRowBorderDxfId="446" tableBorderDxfId="444" totalsRowBorderDxfId="442">
  <autoFilter ref="A2:E6" xr:uid="{B823C752-69AB-40CC-A239-F27F579B07E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6ACFFD6-CBD4-4EBC-B8D3-33C5B38B2975}" name="Candidate Name (Party)" totalsRowLabel="Total Votes by County" dataDxfId="441" totalsRowDxfId="440"/>
    <tableColumn id="2" xr3:uid="{832779FF-7A21-4D4A-927B-5C0733A8CE08}" name="Part of Nassau County Vote Results" totalsRowFunction="custom" dataDxfId="439" totalsRowDxfId="438">
      <totalsRowFormula>SUM(RepInCongressCongressionalDistrict5General[Part of Nassau County Vote Results])</totalsRowFormula>
    </tableColumn>
    <tableColumn id="4" xr3:uid="{9EF5D0E6-1813-44CF-A26A-4B1C1CB6F462}" name="Part of Queens County Vote Results" totalsRowFunction="custom" totalsRowDxfId="437">
      <totalsRowFormula>SUM(RepInCongressCongressionalDistrict5General[Part of Queens County Vote Results])</totalsRowFormula>
    </tableColumn>
    <tableColumn id="3" xr3:uid="{D29C26D6-D05C-4171-B6D3-9BB83666034A}" name="Total Votes by Party" totalsRowFunction="custom" dataDxfId="436" totalsRowDxfId="435">
      <calculatedColumnFormula>SUM(RepInCongressCongressionalDistrict5General[[#This Row],[Part of Nassau County Vote Results]:[Part of Queens County Vote Results]])</calculatedColumnFormula>
      <totalsRowFormula>SUM(RepInCongressCongressionalDistrict5General[Total Votes by Party])</totalsRowFormula>
    </tableColumn>
    <tableColumn id="5" xr3:uid="{3611E431-9422-44C7-8856-BC736AC90C61}" name="Total Votes by Candidate" dataDxfId="434" totalsRowDxfId="433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09EE3C34-E00C-484E-B52C-C0362C76A10A}" name="RepInCongressCongressionalDistrict6General" displayName="RepInCongressCongressionalDistrict6General" ref="A2:D12" totalsRowCount="1" headerRowDxfId="432" dataDxfId="430" totalsRowDxfId="428" headerRowBorderDxfId="431" tableBorderDxfId="429" totalsRowBorderDxfId="427">
  <autoFilter ref="A2:D11" xr:uid="{A5D383CB-B61F-4561-ADC3-55A409D5E370}">
    <filterColumn colId="0" hiddenButton="1"/>
    <filterColumn colId="1" hiddenButton="1"/>
    <filterColumn colId="2" hiddenButton="1"/>
    <filterColumn colId="3" hiddenButton="1"/>
  </autoFilter>
  <tableColumns count="4">
    <tableColumn id="1" xr3:uid="{DB5AA337-5F7B-4275-9C0D-402F772AD411}" name="Candidate Name (Party)" totalsRowLabel="Total Votes by County" dataDxfId="426" totalsRowDxfId="425"/>
    <tableColumn id="4" xr3:uid="{8D6960C5-2AF2-48E5-8469-41DDA9CAA21C}" name="Part of Queens County Vote Results" totalsRowFunction="custom" dataDxfId="424" totalsRowDxfId="423">
      <totalsRowFormula>SUM(RepInCongressCongressionalDistrict6General[Part of Queens County Vote Results])</totalsRowFormula>
    </tableColumn>
    <tableColumn id="3" xr3:uid="{42FD8FB8-03B9-466C-A91F-225490A89ACF}" name="Total Votes by Party" totalsRowFunction="custom" dataDxfId="422" totalsRowDxfId="421">
      <totalsRowFormula>SUM(RepInCongressCongressionalDistrict6General[Total Votes by Party])</totalsRowFormula>
    </tableColumn>
    <tableColumn id="2" xr3:uid="{2DF13FB4-15F2-4C5B-B757-58DE004F141B}" name="Total Votes by Candidate" dataDxfId="420" totalsRowDxfId="419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4EC5AF66-F56B-400A-8491-DEDC7C247A95}" name="RepInCongressCongressionalDistrict7General" displayName="RepInCongressCongressionalDistrict7General" ref="A2:F11" totalsRowCount="1" headerRowDxfId="418" dataDxfId="416" totalsRowDxfId="414" headerRowBorderDxfId="417" tableBorderDxfId="415" totalsRowBorderDxfId="413">
  <autoFilter ref="A2:F10" xr:uid="{44B01D1C-45DF-49CF-8E6C-ADBDB09A40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0F0D22D-2030-4AC9-85EA-04E2D1854B4B}" name="Candidate Name (Party)" totalsRowLabel="Total Votes by County" dataDxfId="412" totalsRowDxfId="411"/>
    <tableColumn id="2" xr3:uid="{205E90C1-B9FA-4478-A57A-BEEDA815557A}" name="Part of Kings County Vote Results" totalsRowFunction="custom" totalsRowDxfId="410">
      <totalsRowFormula>SUM(RepInCongressCongressionalDistrict7General[Part of Kings County Vote Results])</totalsRowFormula>
    </tableColumn>
    <tableColumn id="3" xr3:uid="{52E10317-EBC0-4702-8D23-69A3D5DAFC42}" name="Part of New York County Vote Results" totalsRowFunction="custom" dataDxfId="409" totalsRowDxfId="408">
      <totalsRowFormula>SUM(RepInCongressCongressionalDistrict7General[Part of New York County Vote Results])</totalsRowFormula>
    </tableColumn>
    <tableColumn id="4" xr3:uid="{1BD0D9D2-C1A1-4C0D-80AB-713A8EB2064F}" name="Part of Queens County Vote Results" totalsRowFunction="custom" dataDxfId="407" totalsRowDxfId="406">
      <totalsRowFormula>SUM(RepInCongressCongressionalDistrict7General[Part of Queens County Vote Results])</totalsRowFormula>
    </tableColumn>
    <tableColumn id="6" xr3:uid="{F3829902-3F45-4ECE-894B-3D723F37BAA8}" name="Total Votes by Party" totalsRowFunction="custom" dataDxfId="405" totalsRowDxfId="404">
      <calculatedColumnFormula>SUM(RepInCongressCongressionalDistrict7General[[#This Row],[Part of Kings County Vote Results]:[Part of Queens County Vote Results]])</calculatedColumnFormula>
      <totalsRowFormula>SUM(RepInCongressCongressionalDistrict7General[Total Votes by Party])</totalsRowFormula>
    </tableColumn>
    <tableColumn id="5" xr3:uid="{32ABD5FB-A716-4778-B570-2DEF6D2B443B}" name="Total Votes by Candidate" dataDxfId="403" totalsRowDxfId="402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99CC535E-BAF6-4D40-A339-E7962257CFD2}" name="RepInCongressCongressionalDistrict8General" displayName="RepInCongressCongressionalDistrict8General" ref="A2:E10" totalsRowCount="1" headerRowDxfId="401" dataDxfId="399" totalsRowDxfId="397" headerRowBorderDxfId="400" tableBorderDxfId="398" totalsRowBorderDxfId="396">
  <autoFilter ref="A2:E9" xr:uid="{9F90E68D-AC1A-410B-ACBC-D9097683019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0C3BF1C-D451-4B8C-A252-C60943EC0DB7}" name="Candidate Name (Party)" totalsRowLabel="Total Votes by County" dataDxfId="395" totalsRowDxfId="394"/>
    <tableColumn id="2" xr3:uid="{F9C16063-6E9F-4235-A579-C54670157247}" name="Part of Kings County Vote Results" totalsRowFunction="custom" totalsRowDxfId="393">
      <totalsRowFormula>SUM(RepInCongressCongressionalDistrict8General[Part of Kings County Vote Results])</totalsRowFormula>
    </tableColumn>
    <tableColumn id="4" xr3:uid="{38FB2E3D-E23E-4DB9-9D22-33060A8F5910}" name="Part of Queens County Vote Results" totalsRowFunction="custom" dataDxfId="392" totalsRowDxfId="391">
      <totalsRowFormula>SUM(RepInCongressCongressionalDistrict8General[Part of Queens County Vote Results])</totalsRowFormula>
    </tableColumn>
    <tableColumn id="3" xr3:uid="{2CB06F0A-C24C-43D5-A007-A53EF5AC9990}" name="Total Votes by Party" totalsRowFunction="custom" dataDxfId="390" totalsRowDxfId="389">
      <calculatedColumnFormula>SUM(RepInCongressCongressionalDistrict8General[[#This Row],[Part of Kings County Vote Results]:[Part of Queens County Vote Results]])</calculatedColumnFormula>
      <totalsRowFormula>SUM(RepInCongressCongressionalDistrict8General[Total Votes by Party])</totalsRowFormula>
    </tableColumn>
    <tableColumn id="5" xr3:uid="{B6F65832-8A3B-482B-86EA-6B7E28105CE0}" name="Total Votes by Candidate" dataDxfId="388" totalsRowDxfId="387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89D64423-93DB-4D2A-B47C-7A84045E58E8}" name="RepInCongressCongressionalDistrict9General" displayName="RepInCongressCongressionalDistrict9General" ref="A2:D12" totalsRowCount="1" headerRowDxfId="386" dataDxfId="384" totalsRowDxfId="382" headerRowBorderDxfId="385" tableBorderDxfId="383" totalsRowBorderDxfId="381">
  <autoFilter ref="A2:D11" xr:uid="{2ABB5165-DA54-458E-948F-F67912A9FB1C}">
    <filterColumn colId="0" hiddenButton="1"/>
    <filterColumn colId="1" hiddenButton="1"/>
    <filterColumn colId="2" hiddenButton="1"/>
    <filterColumn colId="3" hiddenButton="1"/>
  </autoFilter>
  <tableColumns count="4">
    <tableColumn id="1" xr3:uid="{02F95D63-F688-4055-9A5A-6EC8BC64F083}" name="Candidate Name (Party)" totalsRowLabel="Total Votes by County" dataDxfId="380" totalsRowDxfId="379"/>
    <tableColumn id="4" xr3:uid="{B59B8BFC-66E1-40DC-878F-5E611FC673A2}" name="Part of Kings County Vote Results" totalsRowFunction="custom" totalsRowDxfId="378">
      <totalsRowFormula>SUM(RepInCongressCongressionalDistrict9General[Part of Kings County Vote Results])</totalsRowFormula>
    </tableColumn>
    <tableColumn id="3" xr3:uid="{2F43D2D1-4380-459F-A5B2-C3A03515658E}" name="Total Votes by Party" totalsRowFunction="custom" dataDxfId="377" totalsRowDxfId="376">
      <totalsRowFormula>SUM(RepInCongressCongressionalDistrict9General[Total Votes by Party])</totalsRowFormula>
    </tableColumn>
    <tableColumn id="2" xr3:uid="{54D10975-6EB5-447B-932C-4A4DDDABFDD1}" name="Total Votes by Candidate" dataDxfId="375" totalsRowDxfId="37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tabSelected="1" zoomScaleNormal="100" zoomScaleSheetLayoutView="120" workbookViewId="0">
      <selection activeCell="F20" sqref="F2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5" ht="24.9" customHeight="1" x14ac:dyDescent="0.25">
      <c r="A1" s="27" t="s">
        <v>35</v>
      </c>
    </row>
    <row r="2" spans="1:5" ht="24.9" customHeight="1" x14ac:dyDescent="0.25">
      <c r="A2" s="5" t="s">
        <v>5</v>
      </c>
      <c r="B2" s="6" t="s">
        <v>36</v>
      </c>
      <c r="C2" s="7" t="s">
        <v>3</v>
      </c>
      <c r="D2" s="8" t="s">
        <v>4</v>
      </c>
    </row>
    <row r="3" spans="1:5" ht="13.8" x14ac:dyDescent="0.3">
      <c r="A3" s="1" t="s">
        <v>37</v>
      </c>
      <c r="B3" s="21">
        <v>149724</v>
      </c>
      <c r="C3" s="9">
        <f>RepInCongressCongressionalDistrict1General[[#This Row],[Part of Suffolk County Vote Results]]</f>
        <v>149724</v>
      </c>
      <c r="D3" s="10">
        <f>SUM(RepInCongressCongressionalDistrict1General[[#This Row],[Total Votes by Party]],C6)</f>
        <v>157484</v>
      </c>
    </row>
    <row r="4" spans="1:5" ht="13.8" x14ac:dyDescent="0.3">
      <c r="A4" s="1" t="s">
        <v>38</v>
      </c>
      <c r="B4" s="21">
        <v>175775</v>
      </c>
      <c r="C4" s="9">
        <f>RepInCongressCongressionalDistrict1General[[#This Row],[Part of Suffolk County Vote Results]]</f>
        <v>175775</v>
      </c>
      <c r="D4" s="10">
        <f>SUM(RepInCongressCongressionalDistrict1General[[#This Row],[Total Votes by Party]],C5,C7)</f>
        <v>199763</v>
      </c>
    </row>
    <row r="5" spans="1:5" ht="13.8" x14ac:dyDescent="0.3">
      <c r="A5" s="1" t="s">
        <v>39</v>
      </c>
      <c r="B5" s="21">
        <v>20925</v>
      </c>
      <c r="C5" s="9">
        <f>RepInCongressCongressionalDistrict1General[[#This Row],[Part of Suffolk County Vote Results]]</f>
        <v>20925</v>
      </c>
      <c r="D5" s="11"/>
    </row>
    <row r="6" spans="1:5" ht="13.8" x14ac:dyDescent="0.3">
      <c r="A6" s="1" t="s">
        <v>40</v>
      </c>
      <c r="B6" s="21">
        <v>7760</v>
      </c>
      <c r="C6" s="9">
        <f>RepInCongressCongressionalDistrict1General[[#This Row],[Part of Suffolk County Vote Results]]</f>
        <v>7760</v>
      </c>
      <c r="D6" s="11"/>
    </row>
    <row r="7" spans="1:5" ht="13.8" x14ac:dyDescent="0.3">
      <c r="A7" s="1" t="s">
        <v>41</v>
      </c>
      <c r="B7" s="21">
        <v>3063</v>
      </c>
      <c r="C7" s="9">
        <f>RepInCongressCongressionalDistrict1General[[#This Row],[Part of Suffolk County Vote Results]]</f>
        <v>3063</v>
      </c>
      <c r="D7" s="11"/>
    </row>
    <row r="8" spans="1:5" ht="13.8" x14ac:dyDescent="0.3">
      <c r="A8" s="3" t="s">
        <v>0</v>
      </c>
      <c r="B8" s="21">
        <v>12993</v>
      </c>
      <c r="C8" s="9">
        <f>RepInCongressCongressionalDistrict1General[[#This Row],[Part of Suffolk County Vote Results]]</f>
        <v>12993</v>
      </c>
      <c r="D8" s="11"/>
    </row>
    <row r="9" spans="1:5" ht="13.8" x14ac:dyDescent="0.3">
      <c r="A9" s="3" t="s">
        <v>1</v>
      </c>
      <c r="B9" s="21">
        <v>102</v>
      </c>
      <c r="C9" s="9">
        <f>RepInCongressCongressionalDistrict1General[[#This Row],[Part of Suffolk County Vote Results]]</f>
        <v>102</v>
      </c>
      <c r="D9" s="11"/>
    </row>
    <row r="10" spans="1:5" ht="13.8" x14ac:dyDescent="0.3">
      <c r="A10" s="3" t="s">
        <v>6</v>
      </c>
      <c r="B10" s="21">
        <v>99</v>
      </c>
      <c r="C10" s="14">
        <f>RepInCongressCongressionalDistrict1General[[#This Row],[Part of Suffolk County Vote Results]]</f>
        <v>99</v>
      </c>
      <c r="D10" s="18"/>
      <c r="E10" s="28"/>
    </row>
    <row r="11" spans="1:5" ht="13.8" x14ac:dyDescent="0.3">
      <c r="A11" s="13" t="s">
        <v>2</v>
      </c>
      <c r="B11" s="21">
        <f>SUM(RepInCongressCongressionalDistrict1General[Part of Suffolk County Vote Results])</f>
        <v>370441</v>
      </c>
      <c r="C11" s="14">
        <f>SUM(RepInCongressCongressionalDistrict1General[Total Votes by Party])</f>
        <v>370441</v>
      </c>
      <c r="D11" s="17"/>
      <c r="E11" s="28"/>
    </row>
    <row r="12" spans="1:5" x14ac:dyDescent="0.25">
      <c r="E12" s="28"/>
    </row>
  </sheetData>
  <phoneticPr fontId="1" type="noConversion"/>
  <printOptions horizontalCentered="1"/>
  <pageMargins left="0" right="0" top="0.5" bottom="0.5" header="0.25" footer="0.25"/>
  <pageSetup orientation="landscape" r:id="rId1"/>
  <headerFooter alignWithMargins="0">
    <oddFooter>&amp;RPage &amp;P of &amp;N</oddFooter>
  </headerFooter>
  <rowBreaks count="8" manualBreakCount="8">
    <brk id="37" max="4" man="1"/>
    <brk id="80" max="4" man="1"/>
    <brk id="123" max="4" man="1"/>
    <brk id="165" max="16383" man="1"/>
    <brk id="189" max="16383" man="1"/>
    <brk id="223" max="16383" man="1"/>
    <brk id="261" max="16383" man="1"/>
    <brk id="303" max="16383" man="1"/>
  </rowBreak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225B-D692-41A9-A826-3C75EFA2A897}">
  <dimension ref="A1:E11"/>
  <sheetViews>
    <sheetView workbookViewId="0">
      <selection activeCell="C15" sqref="C15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75" customHeight="1" x14ac:dyDescent="0.25">
      <c r="A1" s="27" t="s">
        <v>94</v>
      </c>
    </row>
    <row r="2" spans="1:5" ht="27.6" x14ac:dyDescent="0.25">
      <c r="A2" s="5" t="s">
        <v>5</v>
      </c>
      <c r="B2" s="6" t="s">
        <v>75</v>
      </c>
      <c r="C2" s="6" t="s">
        <v>76</v>
      </c>
      <c r="D2" s="7" t="s">
        <v>3</v>
      </c>
      <c r="E2" s="8" t="s">
        <v>4</v>
      </c>
    </row>
    <row r="3" spans="1:5" ht="13.8" x14ac:dyDescent="0.3">
      <c r="A3" s="1" t="s">
        <v>95</v>
      </c>
      <c r="B3" s="24">
        <v>29564</v>
      </c>
      <c r="C3" s="2">
        <v>151651</v>
      </c>
      <c r="D3" s="9">
        <f>SUM(RepInCongressCongressionalDistrict10General[[#This Row],[Part of Kings County Vote Results]:[Part of New York County Vote Results]])</f>
        <v>181215</v>
      </c>
      <c r="E3" s="10">
        <f>SUM(RepInCongressCongressionalDistrict10General[[#This Row],[Total Votes by Party]],D6)</f>
        <v>206310</v>
      </c>
    </row>
    <row r="4" spans="1:5" ht="13.8" x14ac:dyDescent="0.3">
      <c r="A4" s="1" t="s">
        <v>96</v>
      </c>
      <c r="B4" s="24">
        <v>33438</v>
      </c>
      <c r="C4" s="2">
        <v>27607</v>
      </c>
      <c r="D4" s="9">
        <f>SUM(RepInCongressCongressionalDistrict10General[[#This Row],[Part of Kings County Vote Results]:[Part of New York County Vote Results]])</f>
        <v>61045</v>
      </c>
      <c r="E4" s="10">
        <f>SUM(RepInCongressCongressionalDistrict10General[[#This Row],[Total Votes by Party]],D5)</f>
        <v>66889</v>
      </c>
    </row>
    <row r="5" spans="1:5" ht="13.8" x14ac:dyDescent="0.3">
      <c r="A5" s="1" t="s">
        <v>97</v>
      </c>
      <c r="B5" s="24">
        <v>3880</v>
      </c>
      <c r="C5" s="2">
        <v>1964</v>
      </c>
      <c r="D5" s="9">
        <f>SUM(RepInCongressCongressionalDistrict10General[[#This Row],[Part of Kings County Vote Results]:[Part of New York County Vote Results]])</f>
        <v>5844</v>
      </c>
      <c r="E5" s="11"/>
    </row>
    <row r="6" spans="1:5" ht="13.8" x14ac:dyDescent="0.3">
      <c r="A6" s="1" t="s">
        <v>98</v>
      </c>
      <c r="B6" s="24">
        <v>4518</v>
      </c>
      <c r="C6" s="2">
        <v>20577</v>
      </c>
      <c r="D6" s="9">
        <f>SUM(RepInCongressCongressionalDistrict10General[[#This Row],[Part of Kings County Vote Results]:[Part of New York County Vote Results]])</f>
        <v>25095</v>
      </c>
      <c r="E6" s="11"/>
    </row>
    <row r="7" spans="1:5" ht="13.8" x14ac:dyDescent="0.3">
      <c r="A7" s="1" t="s">
        <v>99</v>
      </c>
      <c r="B7" s="24">
        <v>732</v>
      </c>
      <c r="C7" s="2">
        <v>2638</v>
      </c>
      <c r="D7" s="9">
        <f>SUM(RepInCongressCongressionalDistrict10General[[#This Row],[Part of Kings County Vote Results]:[Part of New York County Vote Results]])</f>
        <v>3370</v>
      </c>
      <c r="E7" s="10">
        <f>SUM(RepInCongressCongressionalDistrict10General[[#This Row],[Total Votes by Party]])</f>
        <v>3370</v>
      </c>
    </row>
    <row r="8" spans="1:5" ht="13.8" x14ac:dyDescent="0.3">
      <c r="A8" s="3" t="s">
        <v>0</v>
      </c>
      <c r="B8" s="23">
        <v>5719</v>
      </c>
      <c r="C8" s="2">
        <v>6420</v>
      </c>
      <c r="D8" s="9">
        <f>SUM(RepInCongressCongressionalDistrict10General[[#This Row],[Part of Kings County Vote Results]:[Part of New York County Vote Results]])</f>
        <v>12139</v>
      </c>
      <c r="E8" s="11"/>
    </row>
    <row r="9" spans="1:5" ht="13.8" x14ac:dyDescent="0.3">
      <c r="A9" s="3" t="s">
        <v>1</v>
      </c>
      <c r="B9" s="23">
        <v>3</v>
      </c>
      <c r="C9" s="2">
        <v>12</v>
      </c>
      <c r="D9" s="9">
        <f>SUM(RepInCongressCongressionalDistrict10General[[#This Row],[Part of Kings County Vote Results]:[Part of New York County Vote Results]])</f>
        <v>15</v>
      </c>
      <c r="E9" s="11"/>
    </row>
    <row r="10" spans="1:5" ht="13.8" x14ac:dyDescent="0.3">
      <c r="A10" s="3" t="s">
        <v>6</v>
      </c>
      <c r="B10" s="23">
        <v>162</v>
      </c>
      <c r="C10" s="2">
        <v>245</v>
      </c>
      <c r="D10" s="9">
        <f>SUM(RepInCongressCongressionalDistrict10General[[#This Row],[Part of Kings County Vote Results]:[Part of New York County Vote Results]])</f>
        <v>407</v>
      </c>
      <c r="E10" s="11"/>
    </row>
    <row r="11" spans="1:5" ht="13.8" x14ac:dyDescent="0.3">
      <c r="A11" s="13" t="s">
        <v>2</v>
      </c>
      <c r="B11" s="2">
        <f>SUM(RepInCongressCongressionalDistrict10General[Part of Kings County Vote Results])</f>
        <v>78016</v>
      </c>
      <c r="C11" s="2">
        <f>SUM(RepInCongressCongressionalDistrict10General[Part of New York County Vote Results])</f>
        <v>211114</v>
      </c>
      <c r="D11" s="9">
        <f>SUM(RepInCongressCongressionalDistrict10General[Total Votes by Party])</f>
        <v>289130</v>
      </c>
      <c r="E11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BDA8-A20A-4ECD-9044-D16AC07C4695}">
  <dimension ref="A1:E10"/>
  <sheetViews>
    <sheetView workbookViewId="0">
      <selection activeCell="D15" sqref="D15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75" customHeight="1" x14ac:dyDescent="0.25">
      <c r="A1" s="27" t="s">
        <v>100</v>
      </c>
    </row>
    <row r="2" spans="1:5" ht="27.6" x14ac:dyDescent="0.25">
      <c r="A2" s="5" t="s">
        <v>5</v>
      </c>
      <c r="B2" s="6" t="s">
        <v>34</v>
      </c>
      <c r="C2" s="6" t="s">
        <v>75</v>
      </c>
      <c r="D2" s="7" t="s">
        <v>3</v>
      </c>
      <c r="E2" s="8" t="s">
        <v>4</v>
      </c>
    </row>
    <row r="3" spans="1:5" ht="13.8" x14ac:dyDescent="0.3">
      <c r="A3" s="1" t="s">
        <v>101</v>
      </c>
      <c r="B3" s="2">
        <v>93408</v>
      </c>
      <c r="C3" s="24">
        <v>41217</v>
      </c>
      <c r="D3" s="9">
        <f>SUM(RepInCongressCongressionalDistrict11General[[#This Row],[Richmond County Vote Results]:[Part of Kings County Vote Results]])</f>
        <v>134625</v>
      </c>
      <c r="E3" s="10">
        <f>SUM(RepInCongressCongressionalDistrict11General[[#This Row],[Total Votes by Party]],D6)</f>
        <v>137198</v>
      </c>
    </row>
    <row r="4" spans="1:5" ht="13.8" x14ac:dyDescent="0.3">
      <c r="A4" s="1" t="s">
        <v>102</v>
      </c>
      <c r="B4" s="2">
        <v>108414</v>
      </c>
      <c r="C4" s="24">
        <v>35006</v>
      </c>
      <c r="D4" s="9">
        <f>SUM(RepInCongressCongressionalDistrict11General[[#This Row],[Richmond County Vote Results]:[Part of Kings County Vote Results]])</f>
        <v>143420</v>
      </c>
      <c r="E4" s="10">
        <f>SUM(RepInCongressCongressionalDistrict11General[[#This Row],[Total Votes by Party]],D5)</f>
        <v>155608</v>
      </c>
    </row>
    <row r="5" spans="1:5" ht="13.8" x14ac:dyDescent="0.3">
      <c r="A5" s="1" t="s">
        <v>103</v>
      </c>
      <c r="B5" s="2">
        <v>9108</v>
      </c>
      <c r="C5" s="24">
        <v>3080</v>
      </c>
      <c r="D5" s="9">
        <f>SUM(RepInCongressCongressionalDistrict11General[[#This Row],[Richmond County Vote Results]:[Part of Kings County Vote Results]])</f>
        <v>12188</v>
      </c>
      <c r="E5" s="11"/>
    </row>
    <row r="6" spans="1:5" ht="13.8" x14ac:dyDescent="0.3">
      <c r="A6" s="1" t="s">
        <v>104</v>
      </c>
      <c r="B6" s="2">
        <v>1860</v>
      </c>
      <c r="C6" s="24">
        <v>713</v>
      </c>
      <c r="D6" s="9">
        <f>SUM(RepInCongressCongressionalDistrict11General[[#This Row],[Richmond County Vote Results]:[Part of Kings County Vote Results]])</f>
        <v>2573</v>
      </c>
      <c r="E6" s="11"/>
    </row>
    <row r="7" spans="1:5" ht="13.8" x14ac:dyDescent="0.3">
      <c r="A7" s="3" t="s">
        <v>0</v>
      </c>
      <c r="B7" s="2">
        <v>4671</v>
      </c>
      <c r="C7" s="23">
        <v>3339</v>
      </c>
      <c r="D7" s="9">
        <f>SUM(RepInCongressCongressionalDistrict11General[[#This Row],[Richmond County Vote Results]:[Part of Kings County Vote Results]])</f>
        <v>8010</v>
      </c>
      <c r="E7" s="11"/>
    </row>
    <row r="8" spans="1:5" ht="13.8" x14ac:dyDescent="0.3">
      <c r="A8" s="3" t="s">
        <v>1</v>
      </c>
      <c r="B8" s="2">
        <v>25</v>
      </c>
      <c r="C8" s="23">
        <v>2</v>
      </c>
      <c r="D8" s="9">
        <f>SUM(RepInCongressCongressionalDistrict11General[[#This Row],[Richmond County Vote Results]:[Part of Kings County Vote Results]])</f>
        <v>27</v>
      </c>
      <c r="E8" s="11"/>
    </row>
    <row r="9" spans="1:5" ht="13.8" x14ac:dyDescent="0.3">
      <c r="A9" s="3" t="s">
        <v>6</v>
      </c>
      <c r="B9" s="2">
        <v>413</v>
      </c>
      <c r="C9" s="23">
        <v>95</v>
      </c>
      <c r="D9" s="9">
        <f>SUM(RepInCongressCongressionalDistrict11General[[#This Row],[Richmond County Vote Results]:[Part of Kings County Vote Results]])</f>
        <v>508</v>
      </c>
      <c r="E9" s="11"/>
    </row>
    <row r="10" spans="1:5" ht="13.8" x14ac:dyDescent="0.3">
      <c r="A10" s="13" t="s">
        <v>2</v>
      </c>
      <c r="B10" s="2">
        <f>SUM(RepInCongressCongressionalDistrict11General[Richmond County Vote Results])</f>
        <v>217899</v>
      </c>
      <c r="C10" s="2">
        <f>SUM(RepInCongressCongressionalDistrict11General[Part of Kings County Vote Results])</f>
        <v>83452</v>
      </c>
      <c r="D10" s="9">
        <f>SUM(RepInCongressCongressionalDistrict11General[Total Votes by Party])</f>
        <v>301351</v>
      </c>
      <c r="E10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6810-9FEC-4E0C-B513-8E2136773A96}">
  <dimension ref="A1:F10"/>
  <sheetViews>
    <sheetView zoomScaleNormal="100" zoomScaleSheetLayoutView="110" workbookViewId="0">
      <selection activeCell="D13" sqref="D13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24.75" customHeight="1" x14ac:dyDescent="0.25">
      <c r="A1" s="27" t="s">
        <v>105</v>
      </c>
    </row>
    <row r="2" spans="1:6" ht="27.6" x14ac:dyDescent="0.25">
      <c r="A2" s="5" t="s">
        <v>5</v>
      </c>
      <c r="B2" s="6" t="s">
        <v>75</v>
      </c>
      <c r="C2" s="6" t="s">
        <v>76</v>
      </c>
      <c r="D2" s="6" t="s">
        <v>53</v>
      </c>
      <c r="E2" s="7" t="s">
        <v>3</v>
      </c>
      <c r="F2" s="8" t="s">
        <v>4</v>
      </c>
    </row>
    <row r="3" spans="1:6" ht="13.8" x14ac:dyDescent="0.3">
      <c r="A3" s="1" t="s">
        <v>106</v>
      </c>
      <c r="B3" s="24">
        <v>29627</v>
      </c>
      <c r="C3" s="2">
        <v>193336</v>
      </c>
      <c r="D3" s="26">
        <v>42209</v>
      </c>
      <c r="E3" s="9">
        <f>SUM(RepInCongressCongressionalDistrict12General[[#This Row],[Part of Kings County Vote Results]:[Part of Queens County Vote Results]])</f>
        <v>265172</v>
      </c>
      <c r="F3" s="10">
        <f>SUM(RepInCongressCongressionalDistrict12General[[#This Row],[Total Votes by Party]])</f>
        <v>265172</v>
      </c>
    </row>
    <row r="4" spans="1:6" ht="13.8" x14ac:dyDescent="0.3">
      <c r="A4" s="1" t="s">
        <v>107</v>
      </c>
      <c r="B4" s="24">
        <v>3655</v>
      </c>
      <c r="C4" s="2">
        <v>38485</v>
      </c>
      <c r="D4" s="26">
        <v>7017</v>
      </c>
      <c r="E4" s="9">
        <f>SUM(RepInCongressCongressionalDistrict12General[[#This Row],[Part of Kings County Vote Results]:[Part of Queens County Vote Results]])</f>
        <v>49157</v>
      </c>
      <c r="F4" s="10">
        <f>SUM(RepInCongressCongressionalDistrict12General[[#This Row],[Total Votes by Party]],E5)</f>
        <v>53061</v>
      </c>
    </row>
    <row r="5" spans="1:6" ht="13.8" x14ac:dyDescent="0.3">
      <c r="A5" s="1" t="s">
        <v>108</v>
      </c>
      <c r="B5" s="24">
        <v>379</v>
      </c>
      <c r="C5" s="2">
        <v>2746</v>
      </c>
      <c r="D5" s="25">
        <v>779</v>
      </c>
      <c r="E5" s="9">
        <f>SUM(RepInCongressCongressionalDistrict12General[[#This Row],[Part of Kings County Vote Results]:[Part of Queens County Vote Results]])</f>
        <v>3904</v>
      </c>
      <c r="F5" s="11"/>
    </row>
    <row r="6" spans="1:6" ht="13.8" x14ac:dyDescent="0.3">
      <c r="A6" s="1" t="s">
        <v>109</v>
      </c>
      <c r="B6" s="24">
        <v>487</v>
      </c>
      <c r="C6" s="2">
        <v>2815</v>
      </c>
      <c r="D6" s="25">
        <v>713</v>
      </c>
      <c r="E6" s="9">
        <f>SUM(RepInCongressCongressionalDistrict12General[[#This Row],[Part of Kings County Vote Results]:[Part of Queens County Vote Results]])</f>
        <v>4015</v>
      </c>
      <c r="F6" s="10">
        <f>SUM(RepInCongressCongressionalDistrict12General[[#This Row],[Total Votes by Party]])</f>
        <v>4015</v>
      </c>
    </row>
    <row r="7" spans="1:6" ht="13.8" x14ac:dyDescent="0.3">
      <c r="A7" s="3" t="s">
        <v>0</v>
      </c>
      <c r="B7" s="23">
        <v>1369</v>
      </c>
      <c r="C7" s="2">
        <v>8987</v>
      </c>
      <c r="D7" s="2">
        <v>2691</v>
      </c>
      <c r="E7" s="9">
        <f>SUM(RepInCongressCongressionalDistrict12General[[#This Row],[Part of Kings County Vote Results]:[Part of Queens County Vote Results]])</f>
        <v>13047</v>
      </c>
      <c r="F7" s="11"/>
    </row>
    <row r="8" spans="1:6" ht="13.8" x14ac:dyDescent="0.3">
      <c r="A8" s="3" t="s">
        <v>1</v>
      </c>
      <c r="B8" s="23">
        <v>0</v>
      </c>
      <c r="C8" s="2">
        <v>5</v>
      </c>
      <c r="D8" s="2">
        <v>6</v>
      </c>
      <c r="E8" s="9">
        <f>SUM(RepInCongressCongressionalDistrict12General[[#This Row],[Part of Kings County Vote Results]:[Part of Queens County Vote Results]])</f>
        <v>11</v>
      </c>
      <c r="F8" s="11"/>
    </row>
    <row r="9" spans="1:6" ht="13.8" x14ac:dyDescent="0.3">
      <c r="A9" s="3" t="s">
        <v>6</v>
      </c>
      <c r="B9" s="23">
        <v>85</v>
      </c>
      <c r="C9" s="2">
        <v>520</v>
      </c>
      <c r="D9" s="2">
        <v>168</v>
      </c>
      <c r="E9" s="9">
        <f>SUM(RepInCongressCongressionalDistrict12General[[#This Row],[Part of Kings County Vote Results]:[Part of Queens County Vote Results]])</f>
        <v>773</v>
      </c>
      <c r="F9" s="11"/>
    </row>
    <row r="10" spans="1:6" ht="13.8" x14ac:dyDescent="0.3">
      <c r="A10" s="13" t="s">
        <v>2</v>
      </c>
      <c r="B10" s="2">
        <f>SUM(RepInCongressCongressionalDistrict12General[Part of Kings County Vote Results])</f>
        <v>35602</v>
      </c>
      <c r="C10" s="2">
        <f>SUM(RepInCongressCongressionalDistrict12General[Part of New York County Vote Results])</f>
        <v>246894</v>
      </c>
      <c r="D10" s="2">
        <f>SUM(RepInCongressCongressionalDistrict12General[Part of Queens County Vote Results])</f>
        <v>53583</v>
      </c>
      <c r="E10" s="9">
        <f>SUM(RepInCongressCongressionalDistrict12General[Total Votes by Party])</f>
        <v>336079</v>
      </c>
      <c r="F10" s="11"/>
    </row>
  </sheetData>
  <pageMargins left="0.7" right="0.7" top="0.75" bottom="0.75" header="0.3" footer="0.3"/>
  <pageSetup scale="97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D071-119F-4D3B-82AF-74BF8D09625E}">
  <dimension ref="A1:E10"/>
  <sheetViews>
    <sheetView workbookViewId="0">
      <selection activeCell="C15" sqref="C15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75" customHeight="1" x14ac:dyDescent="0.25">
      <c r="A1" s="27" t="s">
        <v>110</v>
      </c>
    </row>
    <row r="2" spans="1:5" ht="27.6" x14ac:dyDescent="0.25">
      <c r="A2" s="5" t="s">
        <v>5</v>
      </c>
      <c r="B2" s="6" t="s">
        <v>111</v>
      </c>
      <c r="C2" s="6" t="s">
        <v>76</v>
      </c>
      <c r="D2" s="7" t="s">
        <v>3</v>
      </c>
      <c r="E2" s="8" t="s">
        <v>4</v>
      </c>
    </row>
    <row r="3" spans="1:5" ht="13.8" x14ac:dyDescent="0.3">
      <c r="A3" s="1" t="s">
        <v>112</v>
      </c>
      <c r="B3" s="2">
        <v>42558</v>
      </c>
      <c r="C3" s="26">
        <v>160358</v>
      </c>
      <c r="D3" s="9">
        <f>SUM(RepInCongressCongressionalDistrict13General[[#This Row],[Part of Bronx County Vote Results]:[Part of New York County Vote Results]])</f>
        <v>202916</v>
      </c>
      <c r="E3" s="10">
        <f>SUM(RepInCongressCongressionalDistrict13General[[#This Row],[Total Votes by Party]],D6)</f>
        <v>231841</v>
      </c>
    </row>
    <row r="4" spans="1:5" ht="13.8" x14ac:dyDescent="0.3">
      <c r="A4" s="1" t="s">
        <v>113</v>
      </c>
      <c r="B4" s="2">
        <v>5884</v>
      </c>
      <c r="C4" s="26">
        <v>13945</v>
      </c>
      <c r="D4" s="9">
        <f>SUM(RepInCongressCongressionalDistrict13General[[#This Row],[Part of Bronx County Vote Results]:[Part of New York County Vote Results]])</f>
        <v>19829</v>
      </c>
      <c r="E4" s="10">
        <f>SUM(RepInCongressCongressionalDistrict13General[[#This Row],[Total Votes by Party]])</f>
        <v>19829</v>
      </c>
    </row>
    <row r="5" spans="1:5" ht="13.8" x14ac:dyDescent="0.3">
      <c r="A5" s="1" t="s">
        <v>114</v>
      </c>
      <c r="B5" s="2">
        <v>787</v>
      </c>
      <c r="C5" s="26">
        <v>2508</v>
      </c>
      <c r="D5" s="9">
        <f>SUM(RepInCongressCongressionalDistrict13General[[#This Row],[Part of Bronx County Vote Results]:[Part of New York County Vote Results]])</f>
        <v>3295</v>
      </c>
      <c r="E5" s="10">
        <f>SUM(RepInCongressCongressionalDistrict13General[[#This Row],[Total Votes by Party]])</f>
        <v>3295</v>
      </c>
    </row>
    <row r="6" spans="1:5" ht="13.8" x14ac:dyDescent="0.3">
      <c r="A6" s="1" t="s">
        <v>115</v>
      </c>
      <c r="B6" s="2">
        <v>3813</v>
      </c>
      <c r="C6" s="26">
        <v>25112</v>
      </c>
      <c r="D6" s="9">
        <f>SUM(RepInCongressCongressionalDistrict13General[[#This Row],[Part of Bronx County Vote Results]:[Part of New York County Vote Results]])</f>
        <v>28925</v>
      </c>
      <c r="E6" s="11"/>
    </row>
    <row r="7" spans="1:5" ht="13.8" x14ac:dyDescent="0.3">
      <c r="A7" s="3" t="s">
        <v>0</v>
      </c>
      <c r="B7" s="2">
        <v>2191</v>
      </c>
      <c r="C7" s="25">
        <v>9663</v>
      </c>
      <c r="D7" s="9">
        <f>SUM(RepInCongressCongressionalDistrict13General[[#This Row],[Part of Bronx County Vote Results]:[Part of New York County Vote Results]])</f>
        <v>11854</v>
      </c>
      <c r="E7" s="11"/>
    </row>
    <row r="8" spans="1:5" ht="13.8" x14ac:dyDescent="0.3">
      <c r="A8" s="3" t="s">
        <v>1</v>
      </c>
      <c r="B8" s="2">
        <v>0</v>
      </c>
      <c r="C8" s="25">
        <v>12</v>
      </c>
      <c r="D8" s="9">
        <f>SUM(RepInCongressCongressionalDistrict13General[[#This Row],[Part of Bronx County Vote Results]:[Part of New York County Vote Results]])</f>
        <v>12</v>
      </c>
      <c r="E8" s="11"/>
    </row>
    <row r="9" spans="1:5" ht="13.8" x14ac:dyDescent="0.3">
      <c r="A9" s="3" t="s">
        <v>6</v>
      </c>
      <c r="B9" s="2">
        <v>60</v>
      </c>
      <c r="C9" s="25">
        <v>345</v>
      </c>
      <c r="D9" s="9">
        <f>SUM(RepInCongressCongressionalDistrict13General[[#This Row],[Part of Bronx County Vote Results]:[Part of New York County Vote Results]])</f>
        <v>405</v>
      </c>
      <c r="E9" s="11"/>
    </row>
    <row r="10" spans="1:5" ht="13.8" x14ac:dyDescent="0.3">
      <c r="A10" s="13" t="s">
        <v>2</v>
      </c>
      <c r="B10" s="2">
        <f>SUM(RepInCongressCongressionalDistrict13General[Part of Bronx County Vote Results])</f>
        <v>55293</v>
      </c>
      <c r="C10" s="2">
        <f>SUM(RepInCongressCongressionalDistrict13General[Part of New York County Vote Results])</f>
        <v>211943</v>
      </c>
      <c r="D10" s="9">
        <f>SUM(RepInCongressCongressionalDistrict13General[Total Votes by Party])</f>
        <v>267236</v>
      </c>
      <c r="E10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FCD1-ADA7-4FCA-80B9-C7957D633204}">
  <dimension ref="A1:E10"/>
  <sheetViews>
    <sheetView workbookViewId="0">
      <selection activeCell="C15" sqref="C15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75" customHeight="1" x14ac:dyDescent="0.25">
      <c r="A1" s="27" t="s">
        <v>116</v>
      </c>
    </row>
    <row r="2" spans="1:5" ht="27.6" x14ac:dyDescent="0.25">
      <c r="A2" s="5" t="s">
        <v>5</v>
      </c>
      <c r="B2" s="6" t="s">
        <v>111</v>
      </c>
      <c r="C2" s="6" t="s">
        <v>53</v>
      </c>
      <c r="D2" s="7" t="s">
        <v>3</v>
      </c>
      <c r="E2" s="8" t="s">
        <v>4</v>
      </c>
    </row>
    <row r="3" spans="1:5" ht="13.8" x14ac:dyDescent="0.3">
      <c r="A3" s="1" t="s">
        <v>117</v>
      </c>
      <c r="B3" s="26">
        <v>52860</v>
      </c>
      <c r="C3" s="26">
        <v>99801</v>
      </c>
      <c r="D3" s="9">
        <f>SUM(RepInCongressCongressionalDistrict14General[[#This Row],[Part of Bronx County Vote Results]:[Part of Queens County Vote Results]])</f>
        <v>152661</v>
      </c>
      <c r="E3" s="10">
        <f>SUM(RepInCongressCongressionalDistrict14General[[#This Row],[Total Votes by Party]])</f>
        <v>152661</v>
      </c>
    </row>
    <row r="4" spans="1:5" ht="13.8" x14ac:dyDescent="0.3">
      <c r="A4" s="1" t="s">
        <v>118</v>
      </c>
      <c r="B4" s="26">
        <v>21290</v>
      </c>
      <c r="C4" s="26">
        <v>31187</v>
      </c>
      <c r="D4" s="9">
        <f>SUM(RepInCongressCongressionalDistrict14General[[#This Row],[Part of Bronx County Vote Results]:[Part of Queens County Vote Results]])</f>
        <v>52477</v>
      </c>
      <c r="E4" s="10">
        <f>SUM(RepInCongressCongressionalDistrict14General[[#This Row],[Total Votes by Party]],D5)</f>
        <v>58440</v>
      </c>
    </row>
    <row r="5" spans="1:5" ht="13.8" x14ac:dyDescent="0.3">
      <c r="A5" s="1" t="s">
        <v>119</v>
      </c>
      <c r="B5" s="26">
        <v>2648</v>
      </c>
      <c r="C5" s="26">
        <v>3315</v>
      </c>
      <c r="D5" s="9">
        <f>SUM(RepInCongressCongressionalDistrict14General[[#This Row],[Part of Bronx County Vote Results]:[Part of Queens County Vote Results]])</f>
        <v>5963</v>
      </c>
      <c r="E5" s="11"/>
    </row>
    <row r="6" spans="1:5" ht="13.8" x14ac:dyDescent="0.3">
      <c r="A6" s="1" t="s">
        <v>120</v>
      </c>
      <c r="B6" s="25">
        <v>592</v>
      </c>
      <c r="C6" s="26">
        <v>1408</v>
      </c>
      <c r="D6" s="9">
        <f>SUM(RepInCongressCongressionalDistrict14General[[#This Row],[Part of Bronx County Vote Results]:[Part of Queens County Vote Results]])</f>
        <v>2000</v>
      </c>
      <c r="E6" s="10">
        <f>SUM(RepInCongressCongressionalDistrict14General[[#This Row],[Total Votes by Party]])</f>
        <v>2000</v>
      </c>
    </row>
    <row r="7" spans="1:5" ht="13.8" x14ac:dyDescent="0.3">
      <c r="A7" s="3" t="s">
        <v>0</v>
      </c>
      <c r="B7" s="25">
        <v>2551</v>
      </c>
      <c r="C7" s="25">
        <v>7720</v>
      </c>
      <c r="D7" s="9">
        <f>SUM(RepInCongressCongressionalDistrict14General[[#This Row],[Part of Bronx County Vote Results]:[Part of Queens County Vote Results]])</f>
        <v>10271</v>
      </c>
      <c r="E7" s="11"/>
    </row>
    <row r="8" spans="1:5" ht="13.8" x14ac:dyDescent="0.3">
      <c r="A8" s="3" t="s">
        <v>1</v>
      </c>
      <c r="B8" s="25">
        <v>0</v>
      </c>
      <c r="C8" s="25">
        <v>17</v>
      </c>
      <c r="D8" s="9">
        <f>SUM(RepInCongressCongressionalDistrict14General[[#This Row],[Part of Bronx County Vote Results]:[Part of Queens County Vote Results]])</f>
        <v>17</v>
      </c>
      <c r="E8" s="11"/>
    </row>
    <row r="9" spans="1:5" ht="13.8" x14ac:dyDescent="0.3">
      <c r="A9" s="3" t="s">
        <v>6</v>
      </c>
      <c r="B9" s="25">
        <v>71</v>
      </c>
      <c r="C9" s="25">
        <v>151</v>
      </c>
      <c r="D9" s="9">
        <f>SUM(RepInCongressCongressionalDistrict14General[[#This Row],[Part of Bronx County Vote Results]:[Part of Queens County Vote Results]])</f>
        <v>222</v>
      </c>
      <c r="E9" s="11"/>
    </row>
    <row r="10" spans="1:5" ht="13.8" x14ac:dyDescent="0.3">
      <c r="A10" s="13" t="s">
        <v>2</v>
      </c>
      <c r="B10" s="2">
        <f>SUM(RepInCongressCongressionalDistrict14General[Part of Bronx County Vote Results])</f>
        <v>80012</v>
      </c>
      <c r="C10" s="2">
        <f>SUM(RepInCongressCongressionalDistrict14General[Part of Queens County Vote Results])</f>
        <v>143599</v>
      </c>
      <c r="D10" s="9">
        <f>SUM(RepInCongressCongressionalDistrict14General[Total Votes by Party])</f>
        <v>223611</v>
      </c>
      <c r="E10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164B-B12E-480E-8935-AA7D81FDB309}">
  <dimension ref="A1:D9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7" t="s">
        <v>121</v>
      </c>
    </row>
    <row r="2" spans="1:4" ht="24.9" customHeight="1" x14ac:dyDescent="0.25">
      <c r="A2" s="5" t="s">
        <v>5</v>
      </c>
      <c r="B2" s="6" t="s">
        <v>111</v>
      </c>
      <c r="C2" s="7" t="s">
        <v>3</v>
      </c>
      <c r="D2" s="8" t="s">
        <v>4</v>
      </c>
    </row>
    <row r="3" spans="1:4" ht="13.8" x14ac:dyDescent="0.3">
      <c r="A3" s="1" t="s">
        <v>122</v>
      </c>
      <c r="B3" s="2">
        <v>169533</v>
      </c>
      <c r="C3" s="9">
        <f>RepInCongressCongressionalDistrict15General[[#This Row],[Part of Bronx County Vote Results]]</f>
        <v>169533</v>
      </c>
      <c r="D3" s="10">
        <f>SUM(RepInCongressCongressionalDistrict15General[[#This Row],[Total Votes by Party]])</f>
        <v>169533</v>
      </c>
    </row>
    <row r="4" spans="1:4" ht="13.8" x14ac:dyDescent="0.3">
      <c r="A4" s="1" t="s">
        <v>123</v>
      </c>
      <c r="B4" s="2">
        <v>18984</v>
      </c>
      <c r="C4" s="9">
        <f>RepInCongressCongressionalDistrict15General[[#This Row],[Part of Bronx County Vote Results]]</f>
        <v>18984</v>
      </c>
      <c r="D4" s="10">
        <f>SUM(RepInCongressCongressionalDistrict15General[[#This Row],[Total Votes by Party]],C5)</f>
        <v>21221</v>
      </c>
    </row>
    <row r="5" spans="1:4" ht="13.8" x14ac:dyDescent="0.3">
      <c r="A5" s="1" t="s">
        <v>124</v>
      </c>
      <c r="B5" s="2">
        <v>2237</v>
      </c>
      <c r="C5" s="9">
        <f>RepInCongressCongressionalDistrict15General[[#This Row],[Part of Bronx County Vote Results]]</f>
        <v>2237</v>
      </c>
      <c r="D5" s="11"/>
    </row>
    <row r="6" spans="1:4" ht="13.8" x14ac:dyDescent="0.3">
      <c r="A6" s="3" t="s">
        <v>0</v>
      </c>
      <c r="B6" s="2">
        <v>9168</v>
      </c>
      <c r="C6" s="9">
        <f>RepInCongressCongressionalDistrict15General[[#This Row],[Part of Bronx County Vote Results]]</f>
        <v>9168</v>
      </c>
      <c r="D6" s="11"/>
    </row>
    <row r="7" spans="1:4" ht="13.8" x14ac:dyDescent="0.3">
      <c r="A7" s="3" t="s">
        <v>1</v>
      </c>
      <c r="B7" s="2">
        <v>0</v>
      </c>
      <c r="C7" s="9">
        <f>RepInCongressCongressionalDistrict15General[[#This Row],[Part of Bronx County Vote Results]]</f>
        <v>0</v>
      </c>
      <c r="D7" s="11"/>
    </row>
    <row r="8" spans="1:4" ht="13.8" x14ac:dyDescent="0.3">
      <c r="A8" s="3" t="s">
        <v>6</v>
      </c>
      <c r="B8" s="2">
        <v>283</v>
      </c>
      <c r="C8" s="9">
        <f>RepInCongressCongressionalDistrict15General[[#This Row],[Part of Bronx County Vote Results]]</f>
        <v>283</v>
      </c>
      <c r="D8" s="11"/>
    </row>
    <row r="9" spans="1:4" ht="13.8" x14ac:dyDescent="0.3">
      <c r="A9" s="13" t="s">
        <v>2</v>
      </c>
      <c r="B9" s="2">
        <f>SUM(RepInCongressCongressionalDistrict15General[Part of Bronx County Vote Results])</f>
        <v>200205</v>
      </c>
      <c r="C9" s="9">
        <f>SUM(RepInCongressCongressionalDistrict15General[Total Votes by Party])</f>
        <v>200205</v>
      </c>
      <c r="D9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8681-0909-4972-9D99-267675C27B06}">
  <dimension ref="A1:E8"/>
  <sheetViews>
    <sheetView workbookViewId="0">
      <selection activeCell="C3" sqref="C3:C7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75" customHeight="1" x14ac:dyDescent="0.25">
      <c r="A1" s="27" t="s">
        <v>125</v>
      </c>
    </row>
    <row r="2" spans="1:5" ht="27.6" x14ac:dyDescent="0.25">
      <c r="A2" s="5" t="s">
        <v>5</v>
      </c>
      <c r="B2" s="6" t="s">
        <v>111</v>
      </c>
      <c r="C2" s="6" t="s">
        <v>126</v>
      </c>
      <c r="D2" s="7" t="s">
        <v>3</v>
      </c>
      <c r="E2" s="8" t="s">
        <v>4</v>
      </c>
    </row>
    <row r="3" spans="1:5" ht="13.8" x14ac:dyDescent="0.3">
      <c r="A3" s="1" t="s">
        <v>127</v>
      </c>
      <c r="B3" s="2">
        <v>82344</v>
      </c>
      <c r="C3" s="21">
        <v>136127</v>
      </c>
      <c r="D3" s="9">
        <f>SUM(RepInCongressCongressionalDistrict16General[[#This Row],[Part of Bronx County Vote Results]:[Part of Westchester County Vote Results]])</f>
        <v>218471</v>
      </c>
      <c r="E3" s="10">
        <f>SUM(RepInCongressCongressionalDistrict16General[[#This Row],[Total Votes by Party]])</f>
        <v>218471</v>
      </c>
    </row>
    <row r="4" spans="1:5" ht="13.8" x14ac:dyDescent="0.3">
      <c r="A4" s="1" t="s">
        <v>128</v>
      </c>
      <c r="B4" s="2">
        <v>8261</v>
      </c>
      <c r="C4" s="21">
        <v>32824</v>
      </c>
      <c r="D4" s="9">
        <f>SUM(RepInCongressCongressionalDistrict16General[[#This Row],[Part of Bronx County Vote Results]:[Part of Westchester County Vote Results]])</f>
        <v>41085</v>
      </c>
      <c r="E4" s="10">
        <f>SUM(RepInCongressCongressionalDistrict16General[[#This Row],[Total Votes by Party]])</f>
        <v>41085</v>
      </c>
    </row>
    <row r="5" spans="1:5" ht="13.8" x14ac:dyDescent="0.3">
      <c r="A5" s="3" t="s">
        <v>0</v>
      </c>
      <c r="B5" s="2">
        <v>6090</v>
      </c>
      <c r="C5" s="21"/>
      <c r="D5" s="9">
        <f>SUM(RepInCongressCongressionalDistrict16General[[#This Row],[Part of Bronx County Vote Results]:[Part of Westchester County Vote Results]])</f>
        <v>6090</v>
      </c>
      <c r="E5" s="11"/>
    </row>
    <row r="6" spans="1:5" ht="13.8" x14ac:dyDescent="0.3">
      <c r="A6" s="3" t="s">
        <v>1</v>
      </c>
      <c r="B6" s="2">
        <v>0</v>
      </c>
      <c r="C6" s="21"/>
      <c r="D6" s="9">
        <f>SUM(RepInCongressCongressionalDistrict16General[[#This Row],[Part of Bronx County Vote Results]:[Part of Westchester County Vote Results]])</f>
        <v>0</v>
      </c>
      <c r="E6" s="11"/>
    </row>
    <row r="7" spans="1:5" ht="13.8" x14ac:dyDescent="0.3">
      <c r="A7" s="3" t="s">
        <v>6</v>
      </c>
      <c r="B7" s="2">
        <v>194</v>
      </c>
      <c r="C7" s="21">
        <v>220</v>
      </c>
      <c r="D7" s="9">
        <f>SUM(RepInCongressCongressionalDistrict16General[[#This Row],[Part of Bronx County Vote Results]:[Part of Westchester County Vote Results]])</f>
        <v>414</v>
      </c>
      <c r="E7" s="11"/>
    </row>
    <row r="8" spans="1:5" ht="13.8" x14ac:dyDescent="0.3">
      <c r="A8" s="13" t="s">
        <v>2</v>
      </c>
      <c r="B8" s="2">
        <f>SUM(RepInCongressCongressionalDistrict16General[Part of Bronx County Vote Results])</f>
        <v>96889</v>
      </c>
      <c r="C8" s="2">
        <f>SUM(RepInCongressCongressionalDistrict16General[Part of Westchester County Vote Results])</f>
        <v>169171</v>
      </c>
      <c r="D8" s="9">
        <f>SUM(RepInCongressCongressionalDistrict16General[Total Votes by Party])</f>
        <v>266060</v>
      </c>
      <c r="E8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75DB-BB47-45B1-A0A8-557E2E88EE14}">
  <dimension ref="A1:E12"/>
  <sheetViews>
    <sheetView topLeftCell="A2" workbookViewId="0">
      <selection activeCell="C3" sqref="C3:C11"/>
    </sheetView>
  </sheetViews>
  <sheetFormatPr defaultRowHeight="13.2" x14ac:dyDescent="0.25"/>
  <cols>
    <col min="1" max="1" width="27.33203125" customWidth="1"/>
    <col min="2" max="5" width="20.5546875" customWidth="1"/>
    <col min="6" max="7" width="23.5546875" customWidth="1"/>
  </cols>
  <sheetData>
    <row r="1" spans="1:5" ht="24.75" customHeight="1" x14ac:dyDescent="0.25">
      <c r="A1" s="27" t="s">
        <v>129</v>
      </c>
    </row>
    <row r="2" spans="1:5" ht="27.6" x14ac:dyDescent="0.25">
      <c r="A2" s="5" t="s">
        <v>5</v>
      </c>
      <c r="B2" s="6" t="s">
        <v>33</v>
      </c>
      <c r="C2" s="6" t="s">
        <v>126</v>
      </c>
      <c r="D2" s="7" t="s">
        <v>3</v>
      </c>
      <c r="E2" s="8" t="s">
        <v>4</v>
      </c>
    </row>
    <row r="3" spans="1:5" ht="13.8" x14ac:dyDescent="0.3">
      <c r="A3" s="1" t="s">
        <v>130</v>
      </c>
      <c r="B3" s="21">
        <v>68697</v>
      </c>
      <c r="C3" s="21">
        <v>115278</v>
      </c>
      <c r="D3" s="9">
        <f>SUM(RepInCongressCongressionalDistrict17General[[#This Row],[Rockland County Vote Results]:[Part of Westchester County Vote Results]])</f>
        <v>183975</v>
      </c>
      <c r="E3" s="10">
        <f>SUM(RepInCongressCongressionalDistrict17General[[#This Row],[Total Votes by Party]],D6)</f>
        <v>197353</v>
      </c>
    </row>
    <row r="4" spans="1:5" ht="13.8" x14ac:dyDescent="0.3">
      <c r="A4" s="1" t="s">
        <v>131</v>
      </c>
      <c r="B4" s="21">
        <v>54791</v>
      </c>
      <c r="C4" s="21">
        <v>62516</v>
      </c>
      <c r="D4" s="9">
        <f>SUM(RepInCongressCongressionalDistrict17General[[#This Row],[Rockland County Vote Results]:[Part of Westchester County Vote Results]])</f>
        <v>117307</v>
      </c>
      <c r="E4" s="10">
        <f>SUM(RepInCongressCongressionalDistrict17General[[#This Row],[Total Votes by Party]])</f>
        <v>117307</v>
      </c>
    </row>
    <row r="5" spans="1:5" ht="13.8" x14ac:dyDescent="0.3">
      <c r="A5" s="1" t="s">
        <v>132</v>
      </c>
      <c r="B5" s="21">
        <v>4544</v>
      </c>
      <c r="C5" s="21">
        <v>4343</v>
      </c>
      <c r="D5" s="9">
        <f>SUM(RepInCongressCongressionalDistrict17General[[#This Row],[Rockland County Vote Results]:[Part of Westchester County Vote Results]])</f>
        <v>8887</v>
      </c>
      <c r="E5" s="10">
        <f>SUM(RepInCongressCongressionalDistrict17General[[#This Row],[Total Votes by Party]])</f>
        <v>8887</v>
      </c>
    </row>
    <row r="6" spans="1:5" ht="13.8" x14ac:dyDescent="0.3">
      <c r="A6" s="1" t="s">
        <v>133</v>
      </c>
      <c r="B6" s="21">
        <v>4758</v>
      </c>
      <c r="C6" s="21">
        <v>8620</v>
      </c>
      <c r="D6" s="9">
        <f>SUM(RepInCongressCongressionalDistrict17General[[#This Row],[Rockland County Vote Results]:[Part of Westchester County Vote Results]])</f>
        <v>13378</v>
      </c>
      <c r="E6" s="11"/>
    </row>
    <row r="7" spans="1:5" ht="13.8" x14ac:dyDescent="0.3">
      <c r="A7" s="3" t="s">
        <v>134</v>
      </c>
      <c r="B7" s="21">
        <v>1974</v>
      </c>
      <c r="C7" s="21">
        <v>771</v>
      </c>
      <c r="D7" s="9">
        <f>SUM(RepInCongressCongressionalDistrict17General[[#This Row],[Rockland County Vote Results]:[Part of Westchester County Vote Results]])</f>
        <v>2745</v>
      </c>
      <c r="E7" s="10">
        <f>SUM(RepInCongressCongressionalDistrict17General[[#This Row],[Total Votes by Party]])</f>
        <v>2745</v>
      </c>
    </row>
    <row r="8" spans="1:5" ht="13.8" x14ac:dyDescent="0.3">
      <c r="A8" s="3" t="s">
        <v>135</v>
      </c>
      <c r="B8" s="21">
        <v>4740</v>
      </c>
      <c r="C8" s="21">
        <v>1623</v>
      </c>
      <c r="D8" s="9">
        <f>SUM(RepInCongressCongressionalDistrict17General[[#This Row],[Rockland County Vote Results]:[Part of Westchester County Vote Results]])</f>
        <v>6363</v>
      </c>
      <c r="E8" s="10">
        <f>SUM(RepInCongressCongressionalDistrict17General[[#This Row],[Total Votes by Party]])</f>
        <v>6363</v>
      </c>
    </row>
    <row r="9" spans="1:5" ht="13.8" x14ac:dyDescent="0.3">
      <c r="A9" s="3" t="s">
        <v>0</v>
      </c>
      <c r="B9" s="21">
        <v>11370</v>
      </c>
      <c r="C9" s="21"/>
      <c r="D9" s="9">
        <f>SUM(RepInCongressCongressionalDistrict17General[[#This Row],[Rockland County Vote Results]:[Part of Westchester County Vote Results]])</f>
        <v>11370</v>
      </c>
      <c r="E9" s="11"/>
    </row>
    <row r="10" spans="1:5" ht="13.8" x14ac:dyDescent="0.3">
      <c r="A10" s="3" t="s">
        <v>1</v>
      </c>
      <c r="B10" s="21">
        <v>419</v>
      </c>
      <c r="C10" s="21"/>
      <c r="D10" s="9">
        <f>SUM(RepInCongressCongressionalDistrict17General[[#This Row],[Rockland County Vote Results]:[Part of Westchester County Vote Results]])</f>
        <v>419</v>
      </c>
      <c r="E10" s="11"/>
    </row>
    <row r="11" spans="1:5" ht="13.8" x14ac:dyDescent="0.3">
      <c r="A11" s="3" t="s">
        <v>6</v>
      </c>
      <c r="B11" s="21">
        <v>88</v>
      </c>
      <c r="C11" s="21">
        <v>109</v>
      </c>
      <c r="D11" s="9">
        <f>SUM(RepInCongressCongressionalDistrict17General[[#This Row],[Rockland County Vote Results]:[Part of Westchester County Vote Results]])</f>
        <v>197</v>
      </c>
      <c r="E11" s="11"/>
    </row>
    <row r="12" spans="1:5" ht="13.8" x14ac:dyDescent="0.3">
      <c r="A12" s="13" t="s">
        <v>2</v>
      </c>
      <c r="B12" s="21">
        <f>SUM(RepInCongressCongressionalDistrict17General[Rockland County Vote Results])</f>
        <v>151381</v>
      </c>
      <c r="C12" s="2">
        <f>SUM(RepInCongressCongressionalDistrict17General[Part of Westchester County Vote Results])</f>
        <v>193260</v>
      </c>
      <c r="D12" s="9">
        <f>SUM(RepInCongressCongressionalDistrict17General[Total Votes by Party])</f>
        <v>344641</v>
      </c>
      <c r="E12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15AE-67CA-4C17-9207-132B2124528A}">
  <dimension ref="A1:G13"/>
  <sheetViews>
    <sheetView zoomScaleNormal="100" zoomScaleSheetLayoutView="100" workbookViewId="0">
      <selection activeCell="E3" sqref="E3:E12"/>
    </sheetView>
  </sheetViews>
  <sheetFormatPr defaultRowHeight="13.2" x14ac:dyDescent="0.25"/>
  <cols>
    <col min="1" max="1" width="25.5546875" customWidth="1"/>
    <col min="2" max="7" width="20.5546875" customWidth="1"/>
    <col min="8" max="9" width="23.5546875" customWidth="1"/>
  </cols>
  <sheetData>
    <row r="1" spans="1:7" ht="24.75" customHeight="1" x14ac:dyDescent="0.25">
      <c r="A1" s="27" t="s">
        <v>136</v>
      </c>
    </row>
    <row r="2" spans="1:7" ht="27.6" x14ac:dyDescent="0.25">
      <c r="A2" s="5" t="s">
        <v>5</v>
      </c>
      <c r="B2" s="6" t="s">
        <v>31</v>
      </c>
      <c r="C2" s="6" t="s">
        <v>32</v>
      </c>
      <c r="D2" s="6" t="s">
        <v>137</v>
      </c>
      <c r="E2" s="6" t="s">
        <v>126</v>
      </c>
      <c r="F2" s="7" t="s">
        <v>3</v>
      </c>
      <c r="G2" s="8" t="s">
        <v>4</v>
      </c>
    </row>
    <row r="3" spans="1:7" ht="13.8" x14ac:dyDescent="0.3">
      <c r="A3" s="1" t="s">
        <v>138</v>
      </c>
      <c r="B3" s="2">
        <v>81860</v>
      </c>
      <c r="C3" s="2">
        <v>22564</v>
      </c>
      <c r="D3" s="2">
        <v>43502</v>
      </c>
      <c r="E3" s="21">
        <v>22973</v>
      </c>
      <c r="F3" s="9">
        <f>SUM(RepInCongressCongressionalDistrict18General[[#This Row],[Orange County Vote Results]:[Part of Westchester County Vote Results]])</f>
        <v>170899</v>
      </c>
      <c r="G3" s="10">
        <f>SUM(RepInCongressCongressionalDistrict18General[[#This Row],[Total Votes by Party]],F6,F8)</f>
        <v>187169</v>
      </c>
    </row>
    <row r="4" spans="1:7" ht="13.8" x14ac:dyDescent="0.3">
      <c r="A4" s="1" t="s">
        <v>139</v>
      </c>
      <c r="B4" s="2">
        <v>62519</v>
      </c>
      <c r="C4" s="2">
        <v>23567</v>
      </c>
      <c r="D4" s="2">
        <v>28809</v>
      </c>
      <c r="E4" s="21">
        <v>13673</v>
      </c>
      <c r="F4" s="9">
        <f>SUM(RepInCongressCongressionalDistrict18General[[#This Row],[Orange County Vote Results]:[Part of Westchester County Vote Results]])</f>
        <v>128568</v>
      </c>
      <c r="G4" s="10">
        <f>SUM(RepInCongressCongressionalDistrict18General[[#This Row],[Total Votes by Party]],F5)</f>
        <v>145098</v>
      </c>
    </row>
    <row r="5" spans="1:7" ht="13.8" x14ac:dyDescent="0.3">
      <c r="A5" s="1" t="s">
        <v>140</v>
      </c>
      <c r="B5" s="2">
        <v>7812</v>
      </c>
      <c r="C5" s="2">
        <v>3016</v>
      </c>
      <c r="D5" s="2">
        <v>4274</v>
      </c>
      <c r="E5" s="21">
        <v>1428</v>
      </c>
      <c r="F5" s="9">
        <f>SUM(RepInCongressCongressionalDistrict18General[[#This Row],[Orange County Vote Results]:[Part of Westchester County Vote Results]])</f>
        <v>16530</v>
      </c>
      <c r="G5" s="11"/>
    </row>
    <row r="6" spans="1:7" ht="13.8" x14ac:dyDescent="0.3">
      <c r="A6" s="1" t="s">
        <v>141</v>
      </c>
      <c r="B6" s="2">
        <v>5683</v>
      </c>
      <c r="C6" s="2">
        <v>2073</v>
      </c>
      <c r="D6" s="2">
        <v>3903</v>
      </c>
      <c r="E6" s="21">
        <v>1255</v>
      </c>
      <c r="F6" s="9">
        <f>SUM(RepInCongressCongressionalDistrict18General[[#This Row],[Orange County Vote Results]:[Part of Westchester County Vote Results]])</f>
        <v>12914</v>
      </c>
      <c r="G6" s="11"/>
    </row>
    <row r="7" spans="1:7" ht="13.8" x14ac:dyDescent="0.3">
      <c r="A7" s="1" t="s">
        <v>142</v>
      </c>
      <c r="B7" s="2">
        <v>1518</v>
      </c>
      <c r="C7" s="2">
        <v>376</v>
      </c>
      <c r="D7" s="2">
        <v>576</v>
      </c>
      <c r="E7" s="21">
        <v>216</v>
      </c>
      <c r="F7" s="9">
        <f>SUM(RepInCongressCongressionalDistrict18General[[#This Row],[Orange County Vote Results]:[Part of Westchester County Vote Results]])</f>
        <v>2686</v>
      </c>
      <c r="G7" s="10">
        <f>SUM(RepInCongressCongressionalDistrict18General[[#This Row],[Total Votes by Party]],F9)</f>
        <v>3162</v>
      </c>
    </row>
    <row r="8" spans="1:7" ht="13.8" x14ac:dyDescent="0.3">
      <c r="A8" s="1" t="s">
        <v>143</v>
      </c>
      <c r="B8" s="2">
        <v>1516</v>
      </c>
      <c r="C8" s="2">
        <v>592</v>
      </c>
      <c r="D8" s="2">
        <v>937</v>
      </c>
      <c r="E8" s="21">
        <v>311</v>
      </c>
      <c r="F8" s="9">
        <f>SUM(RepInCongressCongressionalDistrict18General[[#This Row],[Orange County Vote Results]:[Part of Westchester County Vote Results]])</f>
        <v>3356</v>
      </c>
      <c r="G8" s="11"/>
    </row>
    <row r="9" spans="1:7" ht="13.8" x14ac:dyDescent="0.3">
      <c r="A9" s="1" t="s">
        <v>144</v>
      </c>
      <c r="B9" s="2">
        <v>314</v>
      </c>
      <c r="C9" s="2">
        <v>51</v>
      </c>
      <c r="D9" s="2">
        <v>75</v>
      </c>
      <c r="E9" s="21">
        <v>36</v>
      </c>
      <c r="F9" s="9">
        <f>SUM(RepInCongressCongressionalDistrict18General[[#This Row],[Orange County Vote Results]:[Part of Westchester County Vote Results]])</f>
        <v>476</v>
      </c>
      <c r="G9" s="11"/>
    </row>
    <row r="10" spans="1:7" ht="13.8" x14ac:dyDescent="0.3">
      <c r="A10" s="3" t="s">
        <v>0</v>
      </c>
      <c r="B10" s="2">
        <v>12005</v>
      </c>
      <c r="C10" s="2">
        <v>3065</v>
      </c>
      <c r="D10" s="2">
        <v>5452</v>
      </c>
      <c r="E10" s="21"/>
      <c r="F10" s="9">
        <f>SUM(RepInCongressCongressionalDistrict18General[[#This Row],[Orange County Vote Results]:[Part of Westchester County Vote Results]])</f>
        <v>20522</v>
      </c>
      <c r="G10" s="11"/>
    </row>
    <row r="11" spans="1:7" ht="13.8" x14ac:dyDescent="0.3">
      <c r="A11" s="3" t="s">
        <v>1</v>
      </c>
      <c r="B11" s="2">
        <v>0</v>
      </c>
      <c r="C11" s="2">
        <v>0</v>
      </c>
      <c r="D11" s="2">
        <f>90+16</f>
        <v>106</v>
      </c>
      <c r="E11" s="21"/>
      <c r="F11" s="9">
        <f>SUM(RepInCongressCongressionalDistrict18General[[#This Row],[Orange County Vote Results]:[Part of Westchester County Vote Results]])</f>
        <v>106</v>
      </c>
      <c r="G11" s="11"/>
    </row>
    <row r="12" spans="1:7" ht="13.8" x14ac:dyDescent="0.3">
      <c r="A12" s="3" t="s">
        <v>6</v>
      </c>
      <c r="B12" s="2">
        <v>78</v>
      </c>
      <c r="C12" s="2">
        <v>14</v>
      </c>
      <c r="D12" s="2">
        <v>12</v>
      </c>
      <c r="E12" s="21">
        <v>12</v>
      </c>
      <c r="F12" s="9">
        <f>SUM(RepInCongressCongressionalDistrict18General[[#This Row],[Orange County Vote Results]:[Part of Westchester County Vote Results]])</f>
        <v>116</v>
      </c>
      <c r="G12" s="11"/>
    </row>
    <row r="13" spans="1:7" ht="13.8" x14ac:dyDescent="0.3">
      <c r="A13" s="13" t="s">
        <v>2</v>
      </c>
      <c r="B13" s="2">
        <f>SUM(RepInCongressCongressionalDistrict18General[Orange County Vote Results])</f>
        <v>173305</v>
      </c>
      <c r="C13" s="2">
        <f>SUM(RepInCongressCongressionalDistrict18General[Putnam County Vote Results])</f>
        <v>55318</v>
      </c>
      <c r="D13" s="2">
        <f>SUM(RepInCongressCongressionalDistrict18General[Part of Dutchess County Vote Results])</f>
        <v>87646</v>
      </c>
      <c r="E13" s="2">
        <f>SUM(RepInCongressCongressionalDistrict18General[Part of Westchester County Vote Results])</f>
        <v>39904</v>
      </c>
      <c r="F13" s="9">
        <f>SUM(RepInCongressCongressionalDistrict18General[Total Votes by Party])</f>
        <v>356173</v>
      </c>
      <c r="G13" s="11"/>
    </row>
  </sheetData>
  <pageMargins left="0.7" right="0.7" top="0.75" bottom="0.75" header="0.3" footer="0.3"/>
  <pageSetup scale="83"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06BE-F025-4B05-9CCF-98CBA7FDDBE2}">
  <dimension ref="A1:N12"/>
  <sheetViews>
    <sheetView zoomScaleNormal="100" zoomScaleSheetLayoutView="90" workbookViewId="0">
      <pane xSplit="1" topLeftCell="B1" activePane="topRight" state="frozen"/>
      <selection pane="topRight" activeCell="G12" sqref="G3:G12"/>
    </sheetView>
  </sheetViews>
  <sheetFormatPr defaultRowHeight="13.2" x14ac:dyDescent="0.25"/>
  <cols>
    <col min="1" max="1" width="25.6640625" customWidth="1"/>
    <col min="2" max="14" width="20.5546875" customWidth="1"/>
    <col min="15" max="16" width="23.5546875" customWidth="1"/>
  </cols>
  <sheetData>
    <row r="1" spans="1:14" ht="24.75" customHeight="1" x14ac:dyDescent="0.25">
      <c r="A1" s="27" t="s">
        <v>145</v>
      </c>
    </row>
    <row r="2" spans="1:14" ht="27.6" x14ac:dyDescent="0.25">
      <c r="A2" s="5" t="s">
        <v>5</v>
      </c>
      <c r="B2" s="6" t="s">
        <v>146</v>
      </c>
      <c r="C2" s="6" t="s">
        <v>14</v>
      </c>
      <c r="D2" s="6" t="s">
        <v>147</v>
      </c>
      <c r="E2" s="6" t="s">
        <v>16</v>
      </c>
      <c r="F2" s="6" t="s">
        <v>148</v>
      </c>
      <c r="G2" s="6" t="s">
        <v>149</v>
      </c>
      <c r="H2" s="6" t="s">
        <v>150</v>
      </c>
      <c r="I2" s="6" t="s">
        <v>151</v>
      </c>
      <c r="J2" s="6" t="s">
        <v>137</v>
      </c>
      <c r="K2" s="6" t="s">
        <v>152</v>
      </c>
      <c r="L2" s="6" t="s">
        <v>153</v>
      </c>
      <c r="M2" s="7" t="s">
        <v>3</v>
      </c>
      <c r="N2" s="8" t="s">
        <v>4</v>
      </c>
    </row>
    <row r="3" spans="1:14" ht="13.8" x14ac:dyDescent="0.3">
      <c r="A3" s="1" t="s">
        <v>154</v>
      </c>
      <c r="B3" s="2">
        <v>18445</v>
      </c>
      <c r="C3" s="2">
        <v>8998</v>
      </c>
      <c r="D3" s="2">
        <v>9729</v>
      </c>
      <c r="E3" s="2">
        <v>12863</v>
      </c>
      <c r="F3" s="2">
        <v>5778</v>
      </c>
      <c r="G3" s="21">
        <v>14955</v>
      </c>
      <c r="H3" s="2">
        <v>50043</v>
      </c>
      <c r="I3" s="2">
        <v>377</v>
      </c>
      <c r="J3" s="2">
        <v>29537</v>
      </c>
      <c r="K3" s="20">
        <v>2270</v>
      </c>
      <c r="L3" s="2">
        <v>15286</v>
      </c>
      <c r="M3" s="9">
        <f t="shared" ref="M3:M11" si="0">SUM(B3:L3)</f>
        <v>168281</v>
      </c>
      <c r="N3" s="10">
        <f>SUM(RepInCongressCongressionalDistrict19General[[#This Row],[Total Votes by Party]],M5,M8)</f>
        <v>192100</v>
      </c>
    </row>
    <row r="4" spans="1:14" ht="13.8" x14ac:dyDescent="0.3">
      <c r="A4" s="1" t="s">
        <v>155</v>
      </c>
      <c r="B4" s="2">
        <v>12918</v>
      </c>
      <c r="C4" s="2">
        <v>11528</v>
      </c>
      <c r="D4" s="2">
        <v>12378</v>
      </c>
      <c r="E4" s="2">
        <v>10861</v>
      </c>
      <c r="F4" s="2">
        <v>8102</v>
      </c>
      <c r="G4" s="21">
        <v>14827</v>
      </c>
      <c r="H4" s="2">
        <v>33164</v>
      </c>
      <c r="I4" s="2">
        <v>574</v>
      </c>
      <c r="J4" s="2">
        <v>26402</v>
      </c>
      <c r="K4" s="20">
        <v>3371</v>
      </c>
      <c r="L4" s="2">
        <v>17350</v>
      </c>
      <c r="M4" s="9">
        <f t="shared" si="0"/>
        <v>151475</v>
      </c>
      <c r="N4" s="10">
        <f>SUM(RepInCongressCongressionalDistrict19General[[#This Row],[Total Votes by Party]])</f>
        <v>151475</v>
      </c>
    </row>
    <row r="5" spans="1:14" ht="13.8" x14ac:dyDescent="0.3">
      <c r="A5" s="1" t="s">
        <v>156</v>
      </c>
      <c r="B5" s="2">
        <v>2737</v>
      </c>
      <c r="C5" s="2">
        <v>867</v>
      </c>
      <c r="D5" s="2">
        <v>1437</v>
      </c>
      <c r="E5" s="2">
        <v>1049</v>
      </c>
      <c r="F5" s="2">
        <v>809</v>
      </c>
      <c r="G5" s="21">
        <v>1758</v>
      </c>
      <c r="H5" s="2">
        <v>9243</v>
      </c>
      <c r="I5" s="2">
        <v>43</v>
      </c>
      <c r="J5" s="2">
        <v>2577</v>
      </c>
      <c r="K5" s="20">
        <v>304</v>
      </c>
      <c r="L5" s="2">
        <v>2145</v>
      </c>
      <c r="M5" s="9">
        <f t="shared" si="0"/>
        <v>22969</v>
      </c>
      <c r="N5" s="11"/>
    </row>
    <row r="6" spans="1:14" ht="13.8" x14ac:dyDescent="0.3">
      <c r="A6" s="1" t="s">
        <v>157</v>
      </c>
      <c r="B6" s="2">
        <v>234</v>
      </c>
      <c r="C6" s="2">
        <v>149</v>
      </c>
      <c r="D6" s="2">
        <v>180</v>
      </c>
      <c r="E6" s="2">
        <v>200</v>
      </c>
      <c r="F6" s="2">
        <v>107</v>
      </c>
      <c r="G6" s="21">
        <v>239</v>
      </c>
      <c r="H6" s="2">
        <v>975</v>
      </c>
      <c r="I6" s="2">
        <v>5</v>
      </c>
      <c r="J6" s="2">
        <v>396</v>
      </c>
      <c r="K6" s="20">
        <v>34</v>
      </c>
      <c r="L6" s="2">
        <v>280</v>
      </c>
      <c r="M6" s="9">
        <f t="shared" si="0"/>
        <v>2799</v>
      </c>
      <c r="N6" s="10">
        <f>SUM(RepInCongressCongressionalDistrict19General[[#This Row],[Total Votes by Party]])</f>
        <v>2799</v>
      </c>
    </row>
    <row r="7" spans="1:14" ht="13.8" x14ac:dyDescent="0.3">
      <c r="A7" s="1" t="s">
        <v>158</v>
      </c>
      <c r="B7" s="2">
        <v>374</v>
      </c>
      <c r="C7" s="2">
        <v>253</v>
      </c>
      <c r="D7" s="2">
        <v>282</v>
      </c>
      <c r="E7" s="2">
        <v>382</v>
      </c>
      <c r="F7" s="2">
        <v>259</v>
      </c>
      <c r="G7" s="21">
        <v>333</v>
      </c>
      <c r="H7" s="2">
        <v>1087</v>
      </c>
      <c r="I7" s="2">
        <v>17</v>
      </c>
      <c r="J7" s="2">
        <v>636</v>
      </c>
      <c r="K7" s="20">
        <v>75</v>
      </c>
      <c r="L7" s="2">
        <v>526</v>
      </c>
      <c r="M7" s="9">
        <f t="shared" si="0"/>
        <v>4224</v>
      </c>
      <c r="N7" s="10">
        <f>SUM(RepInCongressCongressionalDistrict19General[[#This Row],[Total Votes by Party]])</f>
        <v>4224</v>
      </c>
    </row>
    <row r="8" spans="1:14" ht="13.8" x14ac:dyDescent="0.3">
      <c r="A8" s="1" t="s">
        <v>159</v>
      </c>
      <c r="B8" s="2">
        <v>75</v>
      </c>
      <c r="C8" s="2">
        <v>58</v>
      </c>
      <c r="D8" s="2">
        <v>59</v>
      </c>
      <c r="E8" s="2">
        <v>63</v>
      </c>
      <c r="F8" s="2">
        <v>42</v>
      </c>
      <c r="G8" s="21">
        <v>89</v>
      </c>
      <c r="H8" s="2">
        <v>218</v>
      </c>
      <c r="I8" s="2">
        <v>2</v>
      </c>
      <c r="J8" s="2">
        <v>127</v>
      </c>
      <c r="K8" s="20">
        <v>23</v>
      </c>
      <c r="L8" s="2">
        <v>94</v>
      </c>
      <c r="M8" s="9">
        <f t="shared" si="0"/>
        <v>850</v>
      </c>
      <c r="N8" s="11"/>
    </row>
    <row r="9" spans="1:14" ht="13.8" x14ac:dyDescent="0.3">
      <c r="A9" s="3" t="s">
        <v>0</v>
      </c>
      <c r="B9" s="2">
        <v>934</v>
      </c>
      <c r="C9" s="2">
        <v>908</v>
      </c>
      <c r="D9" s="2">
        <v>1074</v>
      </c>
      <c r="E9" s="2">
        <v>1522</v>
      </c>
      <c r="F9" s="2">
        <v>630</v>
      </c>
      <c r="G9" s="21">
        <v>2838</v>
      </c>
      <c r="H9" s="2">
        <v>3219</v>
      </c>
      <c r="I9" s="2">
        <v>84</v>
      </c>
      <c r="J9" s="2">
        <v>4431</v>
      </c>
      <c r="K9" s="20">
        <v>299</v>
      </c>
      <c r="L9" s="2">
        <v>1477</v>
      </c>
      <c r="M9" s="9">
        <f t="shared" si="0"/>
        <v>17416</v>
      </c>
      <c r="N9" s="11"/>
    </row>
    <row r="10" spans="1:14" ht="13.8" x14ac:dyDescent="0.3">
      <c r="A10" s="3" t="s">
        <v>1</v>
      </c>
      <c r="B10" s="2">
        <v>29</v>
      </c>
      <c r="C10" s="2">
        <v>0</v>
      </c>
      <c r="D10" s="2">
        <v>32</v>
      </c>
      <c r="E10" s="2">
        <v>1</v>
      </c>
      <c r="F10" s="2">
        <v>16</v>
      </c>
      <c r="G10" s="21">
        <v>39</v>
      </c>
      <c r="H10" s="2">
        <v>76</v>
      </c>
      <c r="I10" s="2">
        <v>1</v>
      </c>
      <c r="J10" s="2">
        <f>42+5</f>
        <v>47</v>
      </c>
      <c r="K10" s="20">
        <v>5</v>
      </c>
      <c r="L10" s="2">
        <v>0</v>
      </c>
      <c r="M10" s="9">
        <f t="shared" si="0"/>
        <v>246</v>
      </c>
      <c r="N10" s="11"/>
    </row>
    <row r="11" spans="1:14" ht="13.8" x14ac:dyDescent="0.3">
      <c r="A11" s="3" t="s">
        <v>6</v>
      </c>
      <c r="B11" s="2">
        <v>35</v>
      </c>
      <c r="C11" s="2">
        <v>313</v>
      </c>
      <c r="D11" s="2">
        <v>142</v>
      </c>
      <c r="E11" s="2">
        <v>1277</v>
      </c>
      <c r="F11" s="2">
        <v>67</v>
      </c>
      <c r="G11" s="21">
        <v>54</v>
      </c>
      <c r="H11" s="2">
        <v>135</v>
      </c>
      <c r="I11" s="2">
        <v>0</v>
      </c>
      <c r="J11" s="2">
        <v>88</v>
      </c>
      <c r="K11" s="20">
        <v>8</v>
      </c>
      <c r="L11" s="2">
        <v>54</v>
      </c>
      <c r="M11" s="9">
        <f t="shared" si="0"/>
        <v>2173</v>
      </c>
      <c r="N11" s="11"/>
    </row>
    <row r="12" spans="1:14" ht="13.8" x14ac:dyDescent="0.3">
      <c r="A12" s="13" t="s">
        <v>2</v>
      </c>
      <c r="B12" s="2">
        <f>SUM(RepInCongressCongressionalDistrict19General[Columbia County Vote Results])</f>
        <v>35781</v>
      </c>
      <c r="C12" s="2">
        <f>SUM(RepInCongressCongressionalDistrict19General[Delaware County Vote Results])</f>
        <v>23074</v>
      </c>
      <c r="D12" s="2">
        <f>SUM(RepInCongressCongressionalDistrict19General[Greene County Vote Results])</f>
        <v>25313</v>
      </c>
      <c r="E12" s="2">
        <f>SUM(RepInCongressCongressionalDistrict19General[Otsego County Vote Results])</f>
        <v>28218</v>
      </c>
      <c r="F12" s="2">
        <f>SUM(RepInCongressCongressionalDistrict19General[Schoharie County Vote Results])</f>
        <v>15810</v>
      </c>
      <c r="G12" s="21">
        <f>SUM(RepInCongressCongressionalDistrict19General[Sullivan County Vote Results])</f>
        <v>35132</v>
      </c>
      <c r="H12" s="2">
        <f>SUM(RepInCongressCongressionalDistrict19General[Ulster County Vote Results])</f>
        <v>98160</v>
      </c>
      <c r="I12" s="2">
        <f>SUM(RepInCongressCongressionalDistrict19General[Part of Broome County Vote Results])</f>
        <v>1103</v>
      </c>
      <c r="J12" s="2">
        <f>SUM(RepInCongressCongressionalDistrict19General[Part of Dutchess County Vote Results])</f>
        <v>64241</v>
      </c>
      <c r="K12" s="20">
        <f>SUM(RepInCongressCongressionalDistrict19General[Part of Montgomery County Vote Results])</f>
        <v>6389</v>
      </c>
      <c r="L12" s="2">
        <f>SUM(RepInCongressCongressionalDistrict19General[Part of Rensselaer County Vote Results])</f>
        <v>37212</v>
      </c>
      <c r="M12" s="9">
        <f>SUM(RepInCongressCongressionalDistrict19General[Total Votes by Party])</f>
        <v>370433</v>
      </c>
      <c r="N12" s="11"/>
    </row>
  </sheetData>
  <pageMargins left="0.7" right="0.7" top="0.75" bottom="0.75" header="0.3" footer="0.3"/>
  <pageSetup paperSize="5" scale="5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1944-8E89-4B3B-8D15-4448CBA23A71}">
  <dimension ref="A1:E14"/>
  <sheetViews>
    <sheetView topLeftCell="A2" zoomScaleNormal="100" zoomScaleSheetLayoutView="100" workbookViewId="0">
      <selection activeCell="C3" sqref="C3:C14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75" customHeight="1" x14ac:dyDescent="0.25">
      <c r="A1" s="27" t="s">
        <v>42</v>
      </c>
    </row>
    <row r="2" spans="1:5" ht="27.6" x14ac:dyDescent="0.25">
      <c r="A2" s="5" t="s">
        <v>5</v>
      </c>
      <c r="B2" s="6" t="s">
        <v>43</v>
      </c>
      <c r="C2" s="6" t="s">
        <v>36</v>
      </c>
      <c r="D2" s="7" t="s">
        <v>3</v>
      </c>
      <c r="E2" s="8" t="s">
        <v>4</v>
      </c>
    </row>
    <row r="3" spans="1:5" ht="13.8" x14ac:dyDescent="0.3">
      <c r="A3" s="1" t="s">
        <v>44</v>
      </c>
      <c r="B3" s="21">
        <v>36436</v>
      </c>
      <c r="C3" s="21">
        <v>108301</v>
      </c>
      <c r="D3" s="9">
        <f>SUM(RepInCongressCongressionalDistrict2General[[#This Row],[Part of Nassau County Vote Results]:[Part of Suffolk County Vote Results]])</f>
        <v>144737</v>
      </c>
      <c r="E3" s="10">
        <f>SUM(RepInCongressCongressionalDistrict2General[[#This Row],[Total Votes by Party]],D6,D9)</f>
        <v>154123</v>
      </c>
    </row>
    <row r="4" spans="1:5" ht="13.8" x14ac:dyDescent="0.3">
      <c r="A4" s="1" t="s">
        <v>45</v>
      </c>
      <c r="B4" s="21">
        <v>59115</v>
      </c>
      <c r="C4" s="21">
        <v>99015</v>
      </c>
      <c r="D4" s="9">
        <f>SUM(RepInCongressCongressionalDistrict2General[[#This Row],[Part of Nassau County Vote Results]:[Part of Suffolk County Vote Results]])</f>
        <v>158130</v>
      </c>
      <c r="E4" s="10">
        <f>SUM(RepInCongressCongressionalDistrict2General[[#This Row],[Total Votes by Party]],D5,D8,D10)</f>
        <v>177353</v>
      </c>
    </row>
    <row r="5" spans="1:5" ht="13.8" x14ac:dyDescent="0.3">
      <c r="A5" s="1" t="s">
        <v>46</v>
      </c>
      <c r="B5" s="21">
        <v>5168</v>
      </c>
      <c r="C5" s="21">
        <v>12262</v>
      </c>
      <c r="D5" s="9">
        <f>SUM(RepInCongressCongressionalDistrict2General[[#This Row],[Part of Nassau County Vote Results]:[Part of Suffolk County Vote Results]])</f>
        <v>17430</v>
      </c>
      <c r="E5" s="11"/>
    </row>
    <row r="6" spans="1:5" ht="13.8" x14ac:dyDescent="0.3">
      <c r="A6" s="1" t="s">
        <v>47</v>
      </c>
      <c r="B6" s="21">
        <v>1525</v>
      </c>
      <c r="C6" s="21">
        <v>4845</v>
      </c>
      <c r="D6" s="9">
        <f>SUM(RepInCongressCongressionalDistrict2General[[#This Row],[Part of Nassau County Vote Results]:[Part of Suffolk County Vote Results]])</f>
        <v>6370</v>
      </c>
      <c r="E6" s="11"/>
    </row>
    <row r="7" spans="1:5" ht="13.8" x14ac:dyDescent="0.3">
      <c r="A7" s="1" t="s">
        <v>48</v>
      </c>
      <c r="B7" s="21">
        <v>815</v>
      </c>
      <c r="C7" s="21">
        <v>2631</v>
      </c>
      <c r="D7" s="9">
        <f>SUM(RepInCongressCongressionalDistrict2General[[#This Row],[Part of Nassau County Vote Results]:[Part of Suffolk County Vote Results]])</f>
        <v>3446</v>
      </c>
      <c r="E7" s="10">
        <f>SUM(RepInCongressCongressionalDistrict2General[[#This Row],[Total Votes by Party]])</f>
        <v>3446</v>
      </c>
    </row>
    <row r="8" spans="1:5" ht="13.8" x14ac:dyDescent="0.3">
      <c r="A8" s="1" t="s">
        <v>49</v>
      </c>
      <c r="B8" s="21">
        <v>422</v>
      </c>
      <c r="C8" s="21">
        <v>1068</v>
      </c>
      <c r="D8" s="9">
        <f>SUM(RepInCongressCongressionalDistrict2General[[#This Row],[Part of Nassau County Vote Results]:[Part of Suffolk County Vote Results]])</f>
        <v>1490</v>
      </c>
      <c r="E8" s="11"/>
    </row>
    <row r="9" spans="1:5" ht="13.8" x14ac:dyDescent="0.3">
      <c r="A9" s="1" t="s">
        <v>50</v>
      </c>
      <c r="B9" s="21">
        <v>637</v>
      </c>
      <c r="C9" s="21">
        <v>2379</v>
      </c>
      <c r="D9" s="9">
        <f>SUM(RepInCongressCongressionalDistrict2General[[#This Row],[Part of Nassau County Vote Results]:[Part of Suffolk County Vote Results]])</f>
        <v>3016</v>
      </c>
      <c r="E9" s="11"/>
    </row>
    <row r="10" spans="1:5" ht="13.8" x14ac:dyDescent="0.3">
      <c r="A10" s="1" t="s">
        <v>51</v>
      </c>
      <c r="B10" s="21">
        <v>81</v>
      </c>
      <c r="C10" s="21">
        <v>222</v>
      </c>
      <c r="D10" s="9">
        <f>SUM(RepInCongressCongressionalDistrict2General[[#This Row],[Part of Nassau County Vote Results]:[Part of Suffolk County Vote Results]])</f>
        <v>303</v>
      </c>
      <c r="E10" s="11"/>
    </row>
    <row r="11" spans="1:5" ht="13.8" x14ac:dyDescent="0.3">
      <c r="A11" s="3" t="s">
        <v>0</v>
      </c>
      <c r="B11" s="21">
        <v>7105</v>
      </c>
      <c r="C11" s="21">
        <v>15934</v>
      </c>
      <c r="D11" s="9">
        <f>SUM(RepInCongressCongressionalDistrict2General[[#This Row],[Part of Nassau County Vote Results]:[Part of Suffolk County Vote Results]])</f>
        <v>23039</v>
      </c>
      <c r="E11" s="11"/>
    </row>
    <row r="12" spans="1:5" ht="13.8" x14ac:dyDescent="0.3">
      <c r="A12" s="3" t="s">
        <v>1</v>
      </c>
      <c r="B12" s="21">
        <v>149</v>
      </c>
      <c r="C12" s="21">
        <v>239</v>
      </c>
      <c r="D12" s="9">
        <f>SUM(RepInCongressCongressionalDistrict2General[[#This Row],[Part of Nassau County Vote Results]:[Part of Suffolk County Vote Results]])</f>
        <v>388</v>
      </c>
      <c r="E12" s="11"/>
    </row>
    <row r="13" spans="1:5" ht="13.8" x14ac:dyDescent="0.3">
      <c r="A13" s="3" t="s">
        <v>6</v>
      </c>
      <c r="B13" s="21">
        <v>30</v>
      </c>
      <c r="C13" s="21">
        <v>60</v>
      </c>
      <c r="D13" s="9">
        <f>SUM(RepInCongressCongressionalDistrict2General[[#This Row],[Part of Nassau County Vote Results]:[Part of Suffolk County Vote Results]])</f>
        <v>90</v>
      </c>
      <c r="E13" s="11"/>
    </row>
    <row r="14" spans="1:5" ht="13.8" x14ac:dyDescent="0.3">
      <c r="A14" s="13" t="s">
        <v>2</v>
      </c>
      <c r="B14" s="21">
        <f>SUM(RepInCongressCongressionalDistrict2General[Part of Nassau County Vote Results])</f>
        <v>111483</v>
      </c>
      <c r="C14" s="21">
        <f>SUM(RepInCongressCongressionalDistrict2General[Part of Suffolk County Vote Results])</f>
        <v>246956</v>
      </c>
      <c r="D14" s="9">
        <f>SUM(RepInCongressCongressionalDistrict2General[Total Votes by Party])</f>
        <v>358439</v>
      </c>
      <c r="E14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6B42-BEBB-4C4A-BAC1-766C70289916}">
  <dimension ref="A1:H12"/>
  <sheetViews>
    <sheetView topLeftCell="A2" zoomScaleNormal="100" zoomScaleSheetLayoutView="100" workbookViewId="0">
      <selection activeCell="B12" sqref="B12"/>
    </sheetView>
  </sheetViews>
  <sheetFormatPr defaultRowHeight="13.2" x14ac:dyDescent="0.25"/>
  <cols>
    <col min="1" max="1" width="25.5546875" customWidth="1"/>
    <col min="2" max="8" width="20.5546875" customWidth="1"/>
    <col min="9" max="10" width="23.5546875" customWidth="1"/>
  </cols>
  <sheetData>
    <row r="1" spans="1:8" ht="24.75" customHeight="1" x14ac:dyDescent="0.25">
      <c r="A1" s="27" t="s">
        <v>160</v>
      </c>
    </row>
    <row r="2" spans="1:8" ht="27.6" x14ac:dyDescent="0.25">
      <c r="A2" s="5" t="s">
        <v>5</v>
      </c>
      <c r="B2" s="6" t="s">
        <v>161</v>
      </c>
      <c r="C2" s="6" t="s">
        <v>162</v>
      </c>
      <c r="D2" s="6" t="s">
        <v>152</v>
      </c>
      <c r="E2" s="6" t="s">
        <v>153</v>
      </c>
      <c r="F2" s="6" t="s">
        <v>163</v>
      </c>
      <c r="G2" s="7" t="s">
        <v>3</v>
      </c>
      <c r="H2" s="8" t="s">
        <v>4</v>
      </c>
    </row>
    <row r="3" spans="1:8" ht="13.8" x14ac:dyDescent="0.3">
      <c r="A3" s="1" t="s">
        <v>164</v>
      </c>
      <c r="B3" s="2">
        <v>88304</v>
      </c>
      <c r="C3" s="2">
        <v>38006</v>
      </c>
      <c r="D3" s="20">
        <v>5866</v>
      </c>
      <c r="E3" s="2">
        <v>21867</v>
      </c>
      <c r="F3" s="2">
        <v>40028</v>
      </c>
      <c r="G3" s="9">
        <f>SUM(RepInCongressCongressionalDistrict20General[[#This Row],[Albany County Vote Results]:[Part of Saratoga County Vote Results]])</f>
        <v>194071</v>
      </c>
      <c r="H3" s="10">
        <f>SUM(RepInCongressCongressionalDistrict20General[[#This Row],[Total Votes by Party]],G6,G7)</f>
        <v>219705</v>
      </c>
    </row>
    <row r="4" spans="1:8" ht="13.8" x14ac:dyDescent="0.3">
      <c r="A4" s="1" t="s">
        <v>165</v>
      </c>
      <c r="B4" s="2">
        <v>43671</v>
      </c>
      <c r="C4" s="2">
        <v>25676</v>
      </c>
      <c r="D4" s="20">
        <v>7003</v>
      </c>
      <c r="E4" s="2">
        <v>13508</v>
      </c>
      <c r="F4" s="2">
        <v>30981</v>
      </c>
      <c r="G4" s="9">
        <f>SUM(RepInCongressCongressionalDistrict20General[[#This Row],[Albany County Vote Results]:[Part of Saratoga County Vote Results]])</f>
        <v>120839</v>
      </c>
      <c r="H4" s="10">
        <f>SUM(RepInCongressCongressionalDistrict20General[[#This Row],[Total Votes by Party]],G5,G8)</f>
        <v>139446</v>
      </c>
    </row>
    <row r="5" spans="1:8" ht="13.8" x14ac:dyDescent="0.3">
      <c r="A5" s="1" t="s">
        <v>166</v>
      </c>
      <c r="B5" s="2">
        <v>5862</v>
      </c>
      <c r="C5" s="2">
        <v>4612</v>
      </c>
      <c r="D5" s="20">
        <v>969</v>
      </c>
      <c r="E5" s="2">
        <v>2271</v>
      </c>
      <c r="F5" s="2">
        <v>4135</v>
      </c>
      <c r="G5" s="9">
        <f>SUM(RepInCongressCongressionalDistrict20General[[#This Row],[Albany County Vote Results]:[Part of Saratoga County Vote Results]])</f>
        <v>17849</v>
      </c>
      <c r="H5" s="11"/>
    </row>
    <row r="6" spans="1:8" ht="13.8" x14ac:dyDescent="0.3">
      <c r="A6" s="1" t="s">
        <v>167</v>
      </c>
      <c r="B6" s="2">
        <v>9858</v>
      </c>
      <c r="C6" s="2">
        <v>3326</v>
      </c>
      <c r="D6" s="20">
        <v>447</v>
      </c>
      <c r="E6" s="2">
        <v>2751</v>
      </c>
      <c r="F6" s="2">
        <v>3296</v>
      </c>
      <c r="G6" s="9">
        <f>SUM(RepInCongressCongressionalDistrict20General[[#This Row],[Albany County Vote Results]:[Part of Saratoga County Vote Results]])</f>
        <v>19678</v>
      </c>
      <c r="H6" s="11"/>
    </row>
    <row r="7" spans="1:8" ht="13.8" x14ac:dyDescent="0.3">
      <c r="A7" s="1" t="s">
        <v>168</v>
      </c>
      <c r="B7" s="2">
        <v>2349</v>
      </c>
      <c r="C7" s="2">
        <v>1201</v>
      </c>
      <c r="D7" s="20">
        <v>219</v>
      </c>
      <c r="E7" s="2">
        <v>951</v>
      </c>
      <c r="F7" s="2">
        <v>1236</v>
      </c>
      <c r="G7" s="9">
        <f>SUM(RepInCongressCongressionalDistrict20General[[#This Row],[Albany County Vote Results]:[Part of Saratoga County Vote Results]])</f>
        <v>5956</v>
      </c>
      <c r="H7" s="11"/>
    </row>
    <row r="8" spans="1:8" ht="13.8" x14ac:dyDescent="0.3">
      <c r="A8" s="3" t="s">
        <v>169</v>
      </c>
      <c r="B8" s="2">
        <v>324</v>
      </c>
      <c r="C8" s="2">
        <v>164</v>
      </c>
      <c r="D8" s="20">
        <v>31</v>
      </c>
      <c r="E8" s="2">
        <v>90</v>
      </c>
      <c r="F8" s="2">
        <v>149</v>
      </c>
      <c r="G8" s="9">
        <f>SUM(RepInCongressCongressionalDistrict20General[[#This Row],[Albany County Vote Results]:[Part of Saratoga County Vote Results]])</f>
        <v>758</v>
      </c>
      <c r="H8" s="15"/>
    </row>
    <row r="9" spans="1:8" ht="13.8" x14ac:dyDescent="0.3">
      <c r="A9" s="3" t="s">
        <v>0</v>
      </c>
      <c r="B9" s="2">
        <v>4149</v>
      </c>
      <c r="C9" s="2">
        <v>2255</v>
      </c>
      <c r="D9" s="20">
        <v>311</v>
      </c>
      <c r="E9" s="2">
        <v>1297</v>
      </c>
      <c r="F9" s="2">
        <v>1806</v>
      </c>
      <c r="G9" s="9">
        <f>SUM(RepInCongressCongressionalDistrict20General[[#This Row],[Albany County Vote Results]:[Part of Saratoga County Vote Results]])</f>
        <v>9818</v>
      </c>
      <c r="H9" s="11"/>
    </row>
    <row r="10" spans="1:8" ht="13.8" x14ac:dyDescent="0.3">
      <c r="A10" s="3" t="s">
        <v>1</v>
      </c>
      <c r="B10" s="2">
        <v>103</v>
      </c>
      <c r="C10" s="2">
        <v>80</v>
      </c>
      <c r="D10" s="20">
        <v>7</v>
      </c>
      <c r="E10" s="2">
        <v>0</v>
      </c>
      <c r="F10" s="2">
        <v>22</v>
      </c>
      <c r="G10" s="9">
        <f>SUM(RepInCongressCongressionalDistrict20General[[#This Row],[Albany County Vote Results]:[Part of Saratoga County Vote Results]])</f>
        <v>212</v>
      </c>
      <c r="H10" s="11"/>
    </row>
    <row r="11" spans="1:8" ht="13.8" x14ac:dyDescent="0.3">
      <c r="A11" s="3" t="s">
        <v>6</v>
      </c>
      <c r="B11" s="2">
        <v>107</v>
      </c>
      <c r="C11" s="2">
        <v>44</v>
      </c>
      <c r="D11" s="20">
        <v>4</v>
      </c>
      <c r="E11" s="2">
        <v>15</v>
      </c>
      <c r="F11" s="2">
        <v>21</v>
      </c>
      <c r="G11" s="9">
        <f>SUM(RepInCongressCongressionalDistrict20General[[#This Row],[Albany County Vote Results]:[Part of Saratoga County Vote Results]])</f>
        <v>191</v>
      </c>
      <c r="H11" s="11"/>
    </row>
    <row r="12" spans="1:8" ht="13.8" x14ac:dyDescent="0.3">
      <c r="A12" s="13" t="s">
        <v>2</v>
      </c>
      <c r="B12" s="2">
        <f>SUM(RepInCongressCongressionalDistrict20General[Albany County Vote Results])</f>
        <v>154727</v>
      </c>
      <c r="C12" s="2">
        <f>SUM(RepInCongressCongressionalDistrict20General[Schenectady County Vote Results])</f>
        <v>75364</v>
      </c>
      <c r="D12" s="20">
        <f>SUM(RepInCongressCongressionalDistrict20General[Part of Montgomery County Vote Results])</f>
        <v>14857</v>
      </c>
      <c r="E12" s="2">
        <f>SUM(RepInCongressCongressionalDistrict20General[Part of Rensselaer County Vote Results])</f>
        <v>42750</v>
      </c>
      <c r="F12" s="2">
        <f>SUM(RepInCongressCongressionalDistrict20General[Part of Saratoga County Vote Results])</f>
        <v>81674</v>
      </c>
      <c r="G12" s="9">
        <f>SUM(RepInCongressCongressionalDistrict20General[Total Votes by Party])</f>
        <v>369372</v>
      </c>
      <c r="H12" s="11"/>
    </row>
  </sheetData>
  <pageMargins left="0.7" right="0.7" top="0.75" bottom="0.75" header="0.3" footer="0.3"/>
  <pageSetup paperSize="5" scale="96"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6032-061E-40BD-BBF8-BA73AEDB0FDD}">
  <dimension ref="A1:O11"/>
  <sheetViews>
    <sheetView zoomScaleNormal="100" zoomScaleSheetLayoutView="90" workbookViewId="0">
      <pane xSplit="1" topLeftCell="B1" activePane="topRight" state="frozen"/>
      <selection pane="topRight" activeCell="M16" sqref="M16"/>
    </sheetView>
  </sheetViews>
  <sheetFormatPr defaultRowHeight="13.2" x14ac:dyDescent="0.25"/>
  <cols>
    <col min="1" max="1" width="25.5546875" customWidth="1"/>
    <col min="2" max="15" width="20.5546875" customWidth="1"/>
    <col min="16" max="17" width="23.5546875" customWidth="1"/>
  </cols>
  <sheetData>
    <row r="1" spans="1:15" ht="24.75" customHeight="1" x14ac:dyDescent="0.25">
      <c r="A1" s="27" t="s">
        <v>170</v>
      </c>
    </row>
    <row r="2" spans="1:15" ht="27.6" x14ac:dyDescent="0.25">
      <c r="A2" s="5" t="s">
        <v>5</v>
      </c>
      <c r="B2" s="6" t="s">
        <v>171</v>
      </c>
      <c r="C2" s="6" t="s">
        <v>172</v>
      </c>
      <c r="D2" s="6" t="s">
        <v>173</v>
      </c>
      <c r="E2" s="6" t="s">
        <v>174</v>
      </c>
      <c r="F2" s="6" t="s">
        <v>175</v>
      </c>
      <c r="G2" s="6" t="s">
        <v>7</v>
      </c>
      <c r="H2" s="6" t="s">
        <v>8</v>
      </c>
      <c r="I2" s="6" t="s">
        <v>176</v>
      </c>
      <c r="J2" s="6" t="s">
        <v>177</v>
      </c>
      <c r="K2" s="6" t="s">
        <v>178</v>
      </c>
      <c r="L2" s="6" t="s">
        <v>179</v>
      </c>
      <c r="M2" s="6" t="s">
        <v>163</v>
      </c>
      <c r="N2" s="7" t="s">
        <v>3</v>
      </c>
      <c r="O2" s="8" t="s">
        <v>4</v>
      </c>
    </row>
    <row r="3" spans="1:15" ht="13.8" x14ac:dyDescent="0.3">
      <c r="A3" s="1" t="s">
        <v>180</v>
      </c>
      <c r="B3" s="2">
        <v>15894</v>
      </c>
      <c r="C3" s="2">
        <v>8580</v>
      </c>
      <c r="D3" s="2">
        <v>8268</v>
      </c>
      <c r="E3" s="2">
        <v>6904</v>
      </c>
      <c r="F3" s="2">
        <v>1030</v>
      </c>
      <c r="G3" s="2">
        <v>14649</v>
      </c>
      <c r="H3" s="2">
        <v>3189</v>
      </c>
      <c r="I3" s="2">
        <v>17156</v>
      </c>
      <c r="J3" s="2">
        <v>15284</v>
      </c>
      <c r="K3" s="2">
        <v>9981</v>
      </c>
      <c r="L3" s="2">
        <v>1226</v>
      </c>
      <c r="M3" s="2">
        <v>20258</v>
      </c>
      <c r="N3" s="9">
        <f>SUM(RepInCongressCongressionalDistrict21General[[#This Row],[Clinton County Vote Results]:[Part of Saratoga County Vote Results]])</f>
        <v>122419</v>
      </c>
      <c r="O3" s="10">
        <f>SUM(RepInCongressCongressionalDistrict21General[[#This Row],[Total Votes by Party]],N6)</f>
        <v>131992</v>
      </c>
    </row>
    <row r="4" spans="1:15" ht="13.8" x14ac:dyDescent="0.3">
      <c r="A4" s="1" t="s">
        <v>181</v>
      </c>
      <c r="B4" s="2">
        <v>16249</v>
      </c>
      <c r="C4" s="2">
        <v>8997</v>
      </c>
      <c r="D4" s="2">
        <v>9465</v>
      </c>
      <c r="E4" s="2">
        <v>14120</v>
      </c>
      <c r="F4" s="2">
        <v>2115</v>
      </c>
      <c r="G4" s="2">
        <v>25427</v>
      </c>
      <c r="H4" s="2">
        <v>8583</v>
      </c>
      <c r="I4" s="2">
        <v>23495</v>
      </c>
      <c r="J4" s="2">
        <v>17256</v>
      </c>
      <c r="K4" s="2">
        <v>15231</v>
      </c>
      <c r="L4" s="2">
        <v>3009</v>
      </c>
      <c r="M4" s="2">
        <v>25732</v>
      </c>
      <c r="N4" s="9">
        <f>SUM(RepInCongressCongressionalDistrict21General[[#This Row],[Clinton County Vote Results]:[Part of Saratoga County Vote Results]])</f>
        <v>169679</v>
      </c>
      <c r="O4" s="10">
        <f>SUM(RepInCongressCongressionalDistrict21General[[#This Row],[Total Votes by Party]],N5,N7)</f>
        <v>188649</v>
      </c>
    </row>
    <row r="5" spans="1:15" ht="13.8" x14ac:dyDescent="0.3">
      <c r="A5" s="1" t="s">
        <v>182</v>
      </c>
      <c r="B5" s="2">
        <v>1309</v>
      </c>
      <c r="C5" s="2">
        <v>656</v>
      </c>
      <c r="D5" s="2">
        <v>665</v>
      </c>
      <c r="E5" s="2">
        <v>1475</v>
      </c>
      <c r="F5" s="2">
        <v>185</v>
      </c>
      <c r="G5" s="2">
        <v>1991</v>
      </c>
      <c r="H5" s="2">
        <v>694</v>
      </c>
      <c r="I5" s="2">
        <v>2093</v>
      </c>
      <c r="J5" s="2">
        <v>1617</v>
      </c>
      <c r="K5" s="2">
        <v>1507</v>
      </c>
      <c r="L5" s="2">
        <v>236</v>
      </c>
      <c r="M5" s="2">
        <v>2615</v>
      </c>
      <c r="N5" s="9">
        <f>SUM(RepInCongressCongressionalDistrict21General[[#This Row],[Clinton County Vote Results]:[Part of Saratoga County Vote Results]])</f>
        <v>15043</v>
      </c>
      <c r="O5" s="11"/>
    </row>
    <row r="6" spans="1:15" ht="13.8" x14ac:dyDescent="0.3">
      <c r="A6" s="1" t="s">
        <v>183</v>
      </c>
      <c r="B6" s="2">
        <v>1318</v>
      </c>
      <c r="C6" s="2">
        <v>695</v>
      </c>
      <c r="D6" s="2">
        <v>624</v>
      </c>
      <c r="E6" s="2">
        <v>566</v>
      </c>
      <c r="F6" s="2">
        <v>70</v>
      </c>
      <c r="G6" s="2">
        <v>905</v>
      </c>
      <c r="H6" s="2">
        <v>214</v>
      </c>
      <c r="I6" s="2">
        <v>1219</v>
      </c>
      <c r="J6" s="2">
        <v>1320</v>
      </c>
      <c r="K6" s="2">
        <v>839</v>
      </c>
      <c r="L6" s="2">
        <v>101</v>
      </c>
      <c r="M6" s="2">
        <v>1702</v>
      </c>
      <c r="N6" s="9">
        <f>SUM(RepInCongressCongressionalDistrict21General[[#This Row],[Clinton County Vote Results]:[Part of Saratoga County Vote Results]])</f>
        <v>9573</v>
      </c>
      <c r="O6" s="11"/>
    </row>
    <row r="7" spans="1:15" ht="13.8" x14ac:dyDescent="0.3">
      <c r="A7" s="1" t="s">
        <v>184</v>
      </c>
      <c r="B7" s="2">
        <v>502</v>
      </c>
      <c r="C7" s="2">
        <v>191</v>
      </c>
      <c r="D7" s="2">
        <v>199</v>
      </c>
      <c r="E7" s="2">
        <v>215</v>
      </c>
      <c r="F7" s="2">
        <v>26</v>
      </c>
      <c r="G7" s="2">
        <v>507</v>
      </c>
      <c r="H7" s="2">
        <v>142</v>
      </c>
      <c r="I7" s="2">
        <v>550</v>
      </c>
      <c r="J7" s="2">
        <v>442</v>
      </c>
      <c r="K7" s="2">
        <v>344</v>
      </c>
      <c r="L7" s="2">
        <v>35</v>
      </c>
      <c r="M7" s="2">
        <v>774</v>
      </c>
      <c r="N7" s="9">
        <f>SUM(RepInCongressCongressionalDistrict21General[[#This Row],[Clinton County Vote Results]:[Part of Saratoga County Vote Results]])</f>
        <v>3927</v>
      </c>
      <c r="O7" s="11"/>
    </row>
    <row r="8" spans="1:15" ht="13.8" x14ac:dyDescent="0.3">
      <c r="A8" s="3" t="s">
        <v>0</v>
      </c>
      <c r="B8" s="2">
        <v>246</v>
      </c>
      <c r="C8" s="2">
        <v>329</v>
      </c>
      <c r="D8" s="2">
        <v>185</v>
      </c>
      <c r="E8" s="2">
        <v>775</v>
      </c>
      <c r="F8" s="2">
        <v>63</v>
      </c>
      <c r="G8" s="2">
        <v>591</v>
      </c>
      <c r="H8" s="2">
        <v>203</v>
      </c>
      <c r="I8" s="2">
        <v>734</v>
      </c>
      <c r="J8" s="2">
        <v>430</v>
      </c>
      <c r="K8" s="2">
        <v>347</v>
      </c>
      <c r="L8" s="2">
        <v>221</v>
      </c>
      <c r="M8" s="2">
        <v>775</v>
      </c>
      <c r="N8" s="9">
        <f>SUM(RepInCongressCongressionalDistrict21General[[#This Row],[Clinton County Vote Results]:[Part of Saratoga County Vote Results]])</f>
        <v>4899</v>
      </c>
      <c r="O8" s="11"/>
    </row>
    <row r="9" spans="1:15" ht="13.8" x14ac:dyDescent="0.3">
      <c r="A9" s="3" t="s">
        <v>1</v>
      </c>
      <c r="B9" s="2">
        <v>5</v>
      </c>
      <c r="C9" s="2">
        <v>15</v>
      </c>
      <c r="D9" s="2">
        <v>8</v>
      </c>
      <c r="E9" s="2">
        <v>7</v>
      </c>
      <c r="F9" s="2">
        <v>0</v>
      </c>
      <c r="G9" s="2">
        <v>33</v>
      </c>
      <c r="H9" s="2">
        <v>5</v>
      </c>
      <c r="I9" s="2">
        <v>6</v>
      </c>
      <c r="J9" s="2">
        <v>13</v>
      </c>
      <c r="K9" s="2">
        <v>7</v>
      </c>
      <c r="L9" s="2">
        <v>1</v>
      </c>
      <c r="M9" s="2">
        <v>11</v>
      </c>
      <c r="N9" s="9">
        <f>SUM(RepInCongressCongressionalDistrict21General[[#This Row],[Clinton County Vote Results]:[Part of Saratoga County Vote Results]])</f>
        <v>111</v>
      </c>
      <c r="O9" s="11"/>
    </row>
    <row r="10" spans="1:15" ht="13.8" x14ac:dyDescent="0.3">
      <c r="A10" s="3" t="s">
        <v>6</v>
      </c>
      <c r="B10" s="2">
        <v>18</v>
      </c>
      <c r="C10" s="2">
        <v>7</v>
      </c>
      <c r="D10" s="2">
        <v>6</v>
      </c>
      <c r="E10" s="2">
        <v>10</v>
      </c>
      <c r="F10" s="2">
        <v>0</v>
      </c>
      <c r="G10" s="2">
        <v>24</v>
      </c>
      <c r="H10" s="2">
        <v>6</v>
      </c>
      <c r="I10" s="2">
        <v>14</v>
      </c>
      <c r="J10" s="2">
        <v>29</v>
      </c>
      <c r="K10" s="2">
        <v>9</v>
      </c>
      <c r="L10" s="2">
        <v>0</v>
      </c>
      <c r="M10" s="2">
        <v>15</v>
      </c>
      <c r="N10" s="9">
        <f>SUM(RepInCongressCongressionalDistrict21General[[#This Row],[Clinton County Vote Results]:[Part of Saratoga County Vote Results]])</f>
        <v>138</v>
      </c>
      <c r="O10" s="11"/>
    </row>
    <row r="11" spans="1:15" ht="13.8" x14ac:dyDescent="0.3">
      <c r="A11" s="13" t="s">
        <v>2</v>
      </c>
      <c r="B11" s="2">
        <f>SUM(RepInCongressCongressionalDistrict21General[Clinton County Vote Results])</f>
        <v>35541</v>
      </c>
      <c r="C11" s="2">
        <f>SUM(RepInCongressCongressionalDistrict21General[Essex County Vote Results])</f>
        <v>19470</v>
      </c>
      <c r="D11" s="2">
        <f>SUM(RepInCongressCongressionalDistrict21General[Franklin County Vote Results])</f>
        <v>19420</v>
      </c>
      <c r="E11" s="2">
        <f>SUBTOTAL(109,E3:E10)</f>
        <v>24072</v>
      </c>
      <c r="F11" s="2">
        <f>SUM(RepInCongressCongressionalDistrict21General[Hamilton County Vote Results])</f>
        <v>3489</v>
      </c>
      <c r="G11" s="2">
        <f>SUM(RepInCongressCongressionalDistrict21General[Jefferson County Vote Results])</f>
        <v>44127</v>
      </c>
      <c r="H11" s="2">
        <f>SUM(RepInCongressCongressionalDistrict21General[Lewis County Vote Results])</f>
        <v>13036</v>
      </c>
      <c r="I11" s="2">
        <f>SUM(RepInCongressCongressionalDistrict21General[St. Lawrence County Vote Results])</f>
        <v>45267</v>
      </c>
      <c r="J11" s="2">
        <f>SUM(RepInCongressCongressionalDistrict21General[Warren County Vote Results])</f>
        <v>36391</v>
      </c>
      <c r="K11" s="2">
        <f>SUM(RepInCongressCongressionalDistrict21General[Washington County Vote Results])</f>
        <v>28265</v>
      </c>
      <c r="L11" s="2">
        <f>SUM(RepInCongressCongressionalDistrict21General[Part of Herkimer County Vote Results])</f>
        <v>4829</v>
      </c>
      <c r="M11" s="2">
        <f>SUM(RepInCongressCongressionalDistrict21General[Part of Saratoga County Vote Results])</f>
        <v>51882</v>
      </c>
      <c r="N11" s="9">
        <f>SUM(RepInCongressCongressionalDistrict21General[Total Votes by Party])</f>
        <v>325789</v>
      </c>
      <c r="O11" s="11"/>
    </row>
  </sheetData>
  <pageMargins left="0.7" right="0.7" top="0.75" bottom="0.75" header="0.3" footer="0.3"/>
  <pageSetup paperSize="5" scale="52"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FF37-0B7D-4D5C-8DFA-567C3BEFAE80}">
  <dimension ref="A1:K15"/>
  <sheetViews>
    <sheetView zoomScaleNormal="100" zoomScaleSheetLayoutView="90" workbookViewId="0">
      <pane xSplit="1" topLeftCell="B1" activePane="topRight" state="frozen"/>
      <selection pane="topRight" activeCell="D23" sqref="D23"/>
    </sheetView>
  </sheetViews>
  <sheetFormatPr defaultRowHeight="13.2" x14ac:dyDescent="0.25"/>
  <cols>
    <col min="1" max="1" width="25.5546875" customWidth="1"/>
    <col min="2" max="11" width="20.5546875" customWidth="1"/>
    <col min="12" max="13" width="23.5546875" customWidth="1"/>
  </cols>
  <sheetData>
    <row r="1" spans="1:11" ht="24.75" customHeight="1" x14ac:dyDescent="0.25">
      <c r="A1" s="27" t="s">
        <v>185</v>
      </c>
    </row>
    <row r="2" spans="1:11" ht="27.6" x14ac:dyDescent="0.25">
      <c r="A2" s="5" t="s">
        <v>5</v>
      </c>
      <c r="B2" s="6" t="s">
        <v>12</v>
      </c>
      <c r="C2" s="6" t="s">
        <v>13</v>
      </c>
      <c r="D2" s="6" t="s">
        <v>15</v>
      </c>
      <c r="E2" s="6" t="s">
        <v>9</v>
      </c>
      <c r="F2" s="6" t="s">
        <v>151</v>
      </c>
      <c r="G2" s="6" t="s">
        <v>179</v>
      </c>
      <c r="H2" s="6" t="s">
        <v>186</v>
      </c>
      <c r="I2" s="6" t="s">
        <v>187</v>
      </c>
      <c r="J2" s="7" t="s">
        <v>3</v>
      </c>
      <c r="K2" s="8" t="s">
        <v>4</v>
      </c>
    </row>
    <row r="3" spans="1:11" ht="13.8" x14ac:dyDescent="0.3">
      <c r="A3" s="1" t="s">
        <v>188</v>
      </c>
      <c r="B3" s="2"/>
      <c r="C3" s="2"/>
      <c r="D3" s="2"/>
      <c r="E3" s="2"/>
      <c r="F3" s="2"/>
      <c r="G3" s="2"/>
      <c r="H3" s="2"/>
      <c r="I3" s="2"/>
      <c r="J3" s="9">
        <f>SUM(RepInCongressCongressionalDistrict22General[[#This Row],[Chenango County Vote Results]:[Part of Tioga County Vote Results]])</f>
        <v>0</v>
      </c>
      <c r="K3" s="10">
        <f>SUM(RepInCongressCongressionalDistrict22General[[#This Row],[Total Votes by Party]],J6,J8)</f>
        <v>0</v>
      </c>
    </row>
    <row r="4" spans="1:11" ht="13.8" x14ac:dyDescent="0.3">
      <c r="A4" s="1" t="s">
        <v>189</v>
      </c>
      <c r="B4" s="2"/>
      <c r="C4" s="2"/>
      <c r="D4" s="2"/>
      <c r="E4" s="2"/>
      <c r="F4" s="2"/>
      <c r="G4" s="2"/>
      <c r="H4" s="2"/>
      <c r="I4" s="2"/>
      <c r="J4" s="9">
        <f>SUM(RepInCongressCongressionalDistrict22General[[#This Row],[Chenango County Vote Results]:[Part of Tioga County Vote Results]])</f>
        <v>0</v>
      </c>
      <c r="K4" s="10">
        <f>SUM(RepInCongressCongressionalDistrict22General[[#This Row],[Total Votes by Party]],J5)</f>
        <v>0</v>
      </c>
    </row>
    <row r="5" spans="1:11" ht="13.8" x14ac:dyDescent="0.3">
      <c r="A5" s="1" t="s">
        <v>190</v>
      </c>
      <c r="B5" s="2"/>
      <c r="C5" s="2"/>
      <c r="D5" s="2"/>
      <c r="E5" s="2"/>
      <c r="F5" s="2"/>
      <c r="G5" s="2"/>
      <c r="H5" s="2"/>
      <c r="I5" s="2"/>
      <c r="J5" s="9">
        <f>SUM(RepInCongressCongressionalDistrict22General[[#This Row],[Chenango County Vote Results]:[Part of Tioga County Vote Results]])</f>
        <v>0</v>
      </c>
      <c r="K5" s="11"/>
    </row>
    <row r="6" spans="1:11" ht="13.8" x14ac:dyDescent="0.3">
      <c r="A6" s="1" t="s">
        <v>191</v>
      </c>
      <c r="B6" s="2"/>
      <c r="C6" s="2"/>
      <c r="D6" s="2"/>
      <c r="E6" s="2"/>
      <c r="F6" s="2"/>
      <c r="G6" s="2"/>
      <c r="H6" s="2"/>
      <c r="I6" s="2"/>
      <c r="J6" s="9">
        <f>SUM(RepInCongressCongressionalDistrict22General[[#This Row],[Chenango County Vote Results]:[Part of Tioga County Vote Results]])</f>
        <v>0</v>
      </c>
      <c r="K6" s="11"/>
    </row>
    <row r="7" spans="1:11" ht="13.8" x14ac:dyDescent="0.3">
      <c r="A7" s="1" t="s">
        <v>192</v>
      </c>
      <c r="B7" s="2"/>
      <c r="C7" s="2"/>
      <c r="D7" s="2"/>
      <c r="E7" s="2"/>
      <c r="F7" s="2"/>
      <c r="G7" s="2"/>
      <c r="H7" s="2"/>
      <c r="I7" s="2"/>
      <c r="J7" s="9">
        <f>SUM(RepInCongressCongressionalDistrict22General[[#This Row],[Chenango County Vote Results]:[Part of Tioga County Vote Results]])</f>
        <v>0</v>
      </c>
      <c r="K7" s="10">
        <f>SUM(RepInCongressCongressionalDistrict22General[[#This Row],[Total Votes by Party]])</f>
        <v>0</v>
      </c>
    </row>
    <row r="8" spans="1:11" ht="13.8" x14ac:dyDescent="0.3">
      <c r="A8" s="1" t="s">
        <v>193</v>
      </c>
      <c r="B8" s="2"/>
      <c r="C8" s="2"/>
      <c r="D8" s="2"/>
      <c r="E8" s="2"/>
      <c r="F8" s="2"/>
      <c r="G8" s="2"/>
      <c r="H8" s="2"/>
      <c r="I8" s="2"/>
      <c r="J8" s="9">
        <f>SUM(RepInCongressCongressionalDistrict22General[[#This Row],[Chenango County Vote Results]:[Part of Tioga County Vote Results]])</f>
        <v>0</v>
      </c>
      <c r="K8" s="11"/>
    </row>
    <row r="9" spans="1:11" ht="13.8" x14ac:dyDescent="0.3">
      <c r="A9" s="3" t="s">
        <v>0</v>
      </c>
      <c r="B9" s="2"/>
      <c r="C9" s="2"/>
      <c r="D9" s="2"/>
      <c r="E9" s="2"/>
      <c r="F9" s="2"/>
      <c r="G9" s="2"/>
      <c r="H9" s="2"/>
      <c r="I9" s="2"/>
      <c r="J9" s="9">
        <f>SUM(RepInCongressCongressionalDistrict22General[[#This Row],[Chenango County Vote Results]:[Part of Tioga County Vote Results]])</f>
        <v>0</v>
      </c>
      <c r="K9" s="11"/>
    </row>
    <row r="10" spans="1:11" ht="13.8" x14ac:dyDescent="0.3">
      <c r="A10" s="3" t="s">
        <v>1</v>
      </c>
      <c r="B10" s="2"/>
      <c r="C10" s="2"/>
      <c r="D10" s="2"/>
      <c r="E10" s="2"/>
      <c r="F10" s="2"/>
      <c r="G10" s="2"/>
      <c r="H10" s="2"/>
      <c r="I10" s="2"/>
      <c r="J10" s="9">
        <f>SUM(RepInCongressCongressionalDistrict22General[[#This Row],[Chenango County Vote Results]:[Part of Tioga County Vote Results]])</f>
        <v>0</v>
      </c>
      <c r="K10" s="11"/>
    </row>
    <row r="11" spans="1:11" ht="13.8" x14ac:dyDescent="0.3">
      <c r="A11" s="3" t="s">
        <v>6</v>
      </c>
      <c r="B11" s="2"/>
      <c r="C11" s="2"/>
      <c r="D11" s="2"/>
      <c r="E11" s="2"/>
      <c r="F11" s="2"/>
      <c r="G11" s="2"/>
      <c r="H11" s="2"/>
      <c r="I11" s="2"/>
      <c r="J11" s="9">
        <f>SUM(RepInCongressCongressionalDistrict22General[[#This Row],[Chenango County Vote Results]:[Part of Tioga County Vote Results]])</f>
        <v>0</v>
      </c>
      <c r="K11" s="11"/>
    </row>
    <row r="12" spans="1:11" ht="13.8" x14ac:dyDescent="0.3">
      <c r="A12" s="13" t="s">
        <v>2</v>
      </c>
      <c r="B12" s="2">
        <f>SUM(RepInCongressCongressionalDistrict22General[Chenango County Vote Results])</f>
        <v>0</v>
      </c>
      <c r="C12" s="2">
        <f>SUM(RepInCongressCongressionalDistrict22General[Cortland County Vote Results])</f>
        <v>0</v>
      </c>
      <c r="D12" s="2">
        <f>SUM(RepInCongressCongressionalDistrict22General[Madison County Vote Results])</f>
        <v>0</v>
      </c>
      <c r="E12" s="2">
        <f>SUM(RepInCongressCongressionalDistrict22General[Oneida County Vote Results])</f>
        <v>0</v>
      </c>
      <c r="F12" s="2">
        <f>SUM(RepInCongressCongressionalDistrict22General[Part of Broome County Vote Results])</f>
        <v>0</v>
      </c>
      <c r="G12" s="2">
        <f>SUM(RepInCongressCongressionalDistrict22General[Part of Herkimer County Vote Results])</f>
        <v>0</v>
      </c>
      <c r="H12" s="2">
        <f>SUM(RepInCongressCongressionalDistrict22General[Part of Oswego County Vote Results])</f>
        <v>0</v>
      </c>
      <c r="I12" s="2">
        <f>SUM(RepInCongressCongressionalDistrict22General[Part of Tioga County Vote Results])</f>
        <v>0</v>
      </c>
      <c r="J12" s="9">
        <f>SUM(RepInCongressCongressionalDistrict22General[Total Votes by Party])</f>
        <v>0</v>
      </c>
      <c r="K12" s="11"/>
    </row>
    <row r="15" spans="1:11" x14ac:dyDescent="0.25">
      <c r="B15" s="19" t="s">
        <v>194</v>
      </c>
      <c r="C15" s="19"/>
      <c r="D15" s="19"/>
      <c r="E15" s="19"/>
    </row>
  </sheetData>
  <pageMargins left="0.7" right="0.7" top="0.75" bottom="0.75" header="0.3" footer="0.3"/>
  <pageSetup paperSize="5" scale="70"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EEDB-6D97-4977-A366-FFFA79432F9A}">
  <dimension ref="A1:N12"/>
  <sheetViews>
    <sheetView zoomScaleNormal="100" zoomScaleSheetLayoutView="90" workbookViewId="0">
      <pane xSplit="1" topLeftCell="C1" activePane="topRight" state="frozen"/>
      <selection pane="topRight" activeCell="K12" sqref="K12"/>
    </sheetView>
  </sheetViews>
  <sheetFormatPr defaultRowHeight="13.2" x14ac:dyDescent="0.25"/>
  <cols>
    <col min="1" max="1" width="25.5546875" customWidth="1"/>
    <col min="2" max="14" width="20.5546875" customWidth="1"/>
    <col min="15" max="16" width="23.5546875" customWidth="1"/>
  </cols>
  <sheetData>
    <row r="1" spans="1:14" ht="24.75" customHeight="1" x14ac:dyDescent="0.25">
      <c r="A1" s="27" t="s">
        <v>195</v>
      </c>
    </row>
    <row r="2" spans="1:14" ht="27.6" x14ac:dyDescent="0.25">
      <c r="A2" s="5" t="s">
        <v>5</v>
      </c>
      <c r="B2" s="6" t="s">
        <v>25</v>
      </c>
      <c r="C2" s="6" t="s">
        <v>26</v>
      </c>
      <c r="D2" s="6" t="s">
        <v>27</v>
      </c>
      <c r="E2" s="6" t="s">
        <v>11</v>
      </c>
      <c r="F2" s="6" t="s">
        <v>17</v>
      </c>
      <c r="G2" s="6" t="s">
        <v>21</v>
      </c>
      <c r="H2" s="6" t="s">
        <v>22</v>
      </c>
      <c r="I2" s="6" t="s">
        <v>18</v>
      </c>
      <c r="J2" s="6" t="s">
        <v>24</v>
      </c>
      <c r="K2" s="6" t="s">
        <v>196</v>
      </c>
      <c r="L2" s="6" t="s">
        <v>187</v>
      </c>
      <c r="M2" s="7" t="s">
        <v>3</v>
      </c>
      <c r="N2" s="8" t="s">
        <v>4</v>
      </c>
    </row>
    <row r="3" spans="1:14" ht="13.8" x14ac:dyDescent="0.3">
      <c r="A3" s="1" t="s">
        <v>197</v>
      </c>
      <c r="B3" s="2">
        <v>5121</v>
      </c>
      <c r="C3" s="2">
        <v>10178</v>
      </c>
      <c r="D3" s="2">
        <v>19454</v>
      </c>
      <c r="E3" s="2">
        <v>13852</v>
      </c>
      <c r="F3" s="2">
        <v>3255</v>
      </c>
      <c r="G3" s="2">
        <v>5802</v>
      </c>
      <c r="H3" s="2">
        <v>13290</v>
      </c>
      <c r="I3" s="21">
        <v>27450</v>
      </c>
      <c r="J3" s="2">
        <v>3621</v>
      </c>
      <c r="K3" s="2">
        <v>8052</v>
      </c>
      <c r="L3" s="2">
        <v>5987</v>
      </c>
      <c r="M3" s="9">
        <f>SUM(RepInCongressCongressionalDistrict23General[[#This Row],[Allegany County Vote Results]:[Part of Tioga County Vote Results]])</f>
        <v>116062</v>
      </c>
      <c r="N3" s="10">
        <f>SUM(RepInCongressCongressionalDistrict23General[[#This Row],[Total Votes by Party]],M6)</f>
        <v>129014</v>
      </c>
    </row>
    <row r="4" spans="1:14" ht="13.8" x14ac:dyDescent="0.3">
      <c r="A4" s="1" t="s">
        <v>198</v>
      </c>
      <c r="B4" s="2">
        <v>13128</v>
      </c>
      <c r="C4" s="2">
        <v>19743</v>
      </c>
      <c r="D4" s="2">
        <v>31020</v>
      </c>
      <c r="E4" s="2">
        <v>21236</v>
      </c>
      <c r="F4" s="2">
        <v>5309</v>
      </c>
      <c r="G4" s="2">
        <v>7532</v>
      </c>
      <c r="H4" s="2">
        <v>27824</v>
      </c>
      <c r="I4" s="21">
        <v>10569</v>
      </c>
      <c r="J4" s="2">
        <v>5676</v>
      </c>
      <c r="K4" s="2">
        <v>9283</v>
      </c>
      <c r="L4" s="2">
        <v>10510</v>
      </c>
      <c r="M4" s="9">
        <f>SUM(RepInCongressCongressionalDistrict23General[[#This Row],[Allegany County Vote Results]:[Part of Tioga County Vote Results]])</f>
        <v>161830</v>
      </c>
      <c r="N4" s="10">
        <f>SUM(RepInCongressCongressionalDistrict23General[[#This Row],[Total Votes by Party]],M5,M8)</f>
        <v>181060</v>
      </c>
    </row>
    <row r="5" spans="1:14" ht="13.8" x14ac:dyDescent="0.3">
      <c r="A5" s="1" t="s">
        <v>199</v>
      </c>
      <c r="B5" s="2">
        <v>1092</v>
      </c>
      <c r="C5" s="2">
        <v>2025</v>
      </c>
      <c r="D5" s="2">
        <v>4007</v>
      </c>
      <c r="E5" s="2">
        <v>1554</v>
      </c>
      <c r="F5" s="2">
        <v>437</v>
      </c>
      <c r="G5" s="2">
        <v>793</v>
      </c>
      <c r="H5" s="2">
        <v>2270</v>
      </c>
      <c r="I5" s="21">
        <v>829</v>
      </c>
      <c r="J5" s="2">
        <v>645</v>
      </c>
      <c r="K5" s="2">
        <v>1145</v>
      </c>
      <c r="L5" s="2">
        <v>722</v>
      </c>
      <c r="M5" s="9">
        <f>SUM(RepInCongressCongressionalDistrict23General[[#This Row],[Allegany County Vote Results]:[Part of Tioga County Vote Results]])</f>
        <v>15519</v>
      </c>
      <c r="N5" s="11"/>
    </row>
    <row r="6" spans="1:14" ht="13.8" x14ac:dyDescent="0.3">
      <c r="A6" s="1" t="s">
        <v>200</v>
      </c>
      <c r="B6" s="2">
        <v>502</v>
      </c>
      <c r="C6" s="2">
        <v>979</v>
      </c>
      <c r="D6" s="2">
        <v>1880</v>
      </c>
      <c r="E6" s="2">
        <v>960</v>
      </c>
      <c r="F6" s="2">
        <v>342</v>
      </c>
      <c r="G6" s="2">
        <v>532</v>
      </c>
      <c r="H6" s="2">
        <v>1166</v>
      </c>
      <c r="I6" s="21">
        <v>4995</v>
      </c>
      <c r="J6" s="2">
        <v>322</v>
      </c>
      <c r="K6" s="2">
        <v>723</v>
      </c>
      <c r="L6" s="2">
        <v>551</v>
      </c>
      <c r="M6" s="9">
        <f>SUM(RepInCongressCongressionalDistrict23General[[#This Row],[Allegany County Vote Results]:[Part of Tioga County Vote Results]])</f>
        <v>12952</v>
      </c>
      <c r="N6" s="11"/>
    </row>
    <row r="7" spans="1:14" ht="13.8" x14ac:dyDescent="0.3">
      <c r="A7" s="1" t="s">
        <v>201</v>
      </c>
      <c r="B7" s="2">
        <v>230</v>
      </c>
      <c r="C7" s="2">
        <v>420</v>
      </c>
      <c r="D7" s="2">
        <v>835</v>
      </c>
      <c r="E7" s="2">
        <v>509</v>
      </c>
      <c r="F7" s="2">
        <v>125</v>
      </c>
      <c r="G7" s="2">
        <v>116</v>
      </c>
      <c r="H7" s="2">
        <v>367</v>
      </c>
      <c r="I7" s="21">
        <v>493</v>
      </c>
      <c r="J7" s="2">
        <v>69</v>
      </c>
      <c r="K7" s="2">
        <v>190</v>
      </c>
      <c r="L7" s="2">
        <v>296</v>
      </c>
      <c r="M7" s="9">
        <f>SUM(RepInCongressCongressionalDistrict23General[[#This Row],[Allegany County Vote Results]:[Part of Tioga County Vote Results]])</f>
        <v>3650</v>
      </c>
      <c r="N7" s="10">
        <f>SUM(RepInCongressCongressionalDistrict23General[[#This Row],[Total Votes by Party]])</f>
        <v>3650</v>
      </c>
    </row>
    <row r="8" spans="1:14" ht="13.8" x14ac:dyDescent="0.3">
      <c r="A8" s="1" t="s">
        <v>202</v>
      </c>
      <c r="B8" s="2">
        <v>214</v>
      </c>
      <c r="C8" s="2">
        <v>414</v>
      </c>
      <c r="D8" s="2">
        <v>726</v>
      </c>
      <c r="E8" s="2">
        <v>604</v>
      </c>
      <c r="F8" s="2">
        <v>123</v>
      </c>
      <c r="G8" s="2">
        <v>170</v>
      </c>
      <c r="H8" s="2">
        <v>411</v>
      </c>
      <c r="I8" s="21">
        <v>418</v>
      </c>
      <c r="J8" s="2">
        <v>98</v>
      </c>
      <c r="K8" s="2">
        <v>240</v>
      </c>
      <c r="L8" s="2">
        <v>293</v>
      </c>
      <c r="M8" s="9">
        <f>SUM(RepInCongressCongressionalDistrict23General[[#This Row],[Allegany County Vote Results]:[Part of Tioga County Vote Results]])</f>
        <v>3711</v>
      </c>
      <c r="N8" s="11"/>
    </row>
    <row r="9" spans="1:14" ht="13.8" x14ac:dyDescent="0.3">
      <c r="A9" s="3" t="s">
        <v>0</v>
      </c>
      <c r="B9" s="2">
        <v>599</v>
      </c>
      <c r="C9" s="2">
        <v>1217</v>
      </c>
      <c r="D9" s="2">
        <v>1775</v>
      </c>
      <c r="E9" s="2">
        <v>996</v>
      </c>
      <c r="F9" s="2">
        <v>195</v>
      </c>
      <c r="G9" s="2">
        <v>752</v>
      </c>
      <c r="H9" s="2">
        <v>1156</v>
      </c>
      <c r="I9" s="21">
        <v>1222</v>
      </c>
      <c r="J9" s="2">
        <v>345</v>
      </c>
      <c r="K9" s="2">
        <v>1011</v>
      </c>
      <c r="L9" s="2">
        <v>718</v>
      </c>
      <c r="M9" s="9">
        <f>SUM(RepInCongressCongressionalDistrict23General[[#This Row],[Allegany County Vote Results]:[Part of Tioga County Vote Results]])</f>
        <v>9986</v>
      </c>
      <c r="N9" s="11"/>
    </row>
    <row r="10" spans="1:14" ht="13.8" x14ac:dyDescent="0.3">
      <c r="A10" s="3" t="s">
        <v>1</v>
      </c>
      <c r="B10" s="2">
        <v>4</v>
      </c>
      <c r="C10" s="2">
        <v>35</v>
      </c>
      <c r="D10" s="2">
        <v>48</v>
      </c>
      <c r="E10" s="2">
        <v>0</v>
      </c>
      <c r="F10" s="2">
        <v>6</v>
      </c>
      <c r="G10" s="2">
        <v>18</v>
      </c>
      <c r="H10" s="2">
        <v>20</v>
      </c>
      <c r="I10" s="21">
        <v>18</v>
      </c>
      <c r="J10" s="2">
        <v>9</v>
      </c>
      <c r="K10" s="2">
        <v>15</v>
      </c>
      <c r="L10" s="2">
        <v>14</v>
      </c>
      <c r="M10" s="9">
        <f>SUM(RepInCongressCongressionalDistrict23General[[#This Row],[Allegany County Vote Results]:[Part of Tioga County Vote Results]])</f>
        <v>187</v>
      </c>
      <c r="N10" s="11"/>
    </row>
    <row r="11" spans="1:14" ht="13.8" x14ac:dyDescent="0.3">
      <c r="A11" s="3" t="s">
        <v>6</v>
      </c>
      <c r="B11" s="2">
        <v>5</v>
      </c>
      <c r="C11" s="2">
        <v>3</v>
      </c>
      <c r="D11" s="2">
        <v>23</v>
      </c>
      <c r="E11" s="2">
        <v>0</v>
      </c>
      <c r="F11" s="2">
        <v>7</v>
      </c>
      <c r="G11" s="2">
        <v>3</v>
      </c>
      <c r="H11" s="2">
        <v>10</v>
      </c>
      <c r="I11" s="21">
        <v>53</v>
      </c>
      <c r="J11" s="2">
        <v>3</v>
      </c>
      <c r="K11" s="2">
        <v>4</v>
      </c>
      <c r="L11" s="2">
        <v>7</v>
      </c>
      <c r="M11" s="9">
        <f>SUM(RepInCongressCongressionalDistrict23General[[#This Row],[Allegany County Vote Results]:[Part of Tioga County Vote Results]])</f>
        <v>118</v>
      </c>
      <c r="N11" s="11"/>
    </row>
    <row r="12" spans="1:14" ht="13.8" x14ac:dyDescent="0.3">
      <c r="A12" s="13" t="s">
        <v>2</v>
      </c>
      <c r="B12" s="2">
        <f>SUM(RepInCongressCongressionalDistrict23General[Allegany County Vote Results])</f>
        <v>20895</v>
      </c>
      <c r="C12" s="2">
        <f>SUM(RepInCongressCongressionalDistrict23General[Cattaraugus County Vote Results])</f>
        <v>35014</v>
      </c>
      <c r="D12" s="2">
        <f>SUM(RepInCongressCongressionalDistrict23General[Chautauqua County Vote Results])</f>
        <v>59768</v>
      </c>
      <c r="E12" s="2">
        <f>SUM(RepInCongressCongressionalDistrict23General[Chemung County Vote Results])</f>
        <v>39711</v>
      </c>
      <c r="F12" s="2">
        <f>SUM(RepInCongressCongressionalDistrict23General[Schuyler County Vote Results])</f>
        <v>9799</v>
      </c>
      <c r="G12" s="2">
        <f>SUM(RepInCongressCongressionalDistrict23General[Seneca County Vote Results])</f>
        <v>15718</v>
      </c>
      <c r="H12" s="2">
        <f>SUM(RepInCongressCongressionalDistrict23General[Steuben County Vote Results])</f>
        <v>46514</v>
      </c>
      <c r="I12" s="2">
        <f>SUM(RepInCongressCongressionalDistrict23General[Tompkins County Vote Results])</f>
        <v>46047</v>
      </c>
      <c r="J12" s="2">
        <f>SUM(RepInCongressCongressionalDistrict23General[Yates County Vote Results])</f>
        <v>10788</v>
      </c>
      <c r="K12" s="2">
        <f>SUM(RepInCongressCongressionalDistrict23General[Part of Ontario County Vote Results])</f>
        <v>20663</v>
      </c>
      <c r="L12" s="2">
        <f>SUM(RepInCongressCongressionalDistrict23General[Part of Tioga County Vote Results])</f>
        <v>19098</v>
      </c>
      <c r="M12" s="9">
        <f>SUM(RepInCongressCongressionalDistrict23General[Total Votes by Party])</f>
        <v>324015</v>
      </c>
      <c r="N12" s="11"/>
    </row>
  </sheetData>
  <pageMargins left="0.7" right="0.7" top="0.75" bottom="0.75" header="0.3" footer="0.3"/>
  <pageSetup paperSize="5" scale="56"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810A-E04E-45E5-BFC2-533B20054108}">
  <dimension ref="A1:G11"/>
  <sheetViews>
    <sheetView workbookViewId="0">
      <selection activeCell="C3" sqref="C3:C11"/>
    </sheetView>
  </sheetViews>
  <sheetFormatPr defaultRowHeight="13.2" x14ac:dyDescent="0.25"/>
  <cols>
    <col min="1" max="1" width="25.5546875" customWidth="1"/>
    <col min="2" max="7" width="20.5546875" customWidth="1"/>
    <col min="8" max="9" width="23.5546875" customWidth="1"/>
  </cols>
  <sheetData>
    <row r="1" spans="1:7" ht="24.75" customHeight="1" x14ac:dyDescent="0.25">
      <c r="A1" s="27" t="s">
        <v>203</v>
      </c>
    </row>
    <row r="2" spans="1:7" ht="27.6" x14ac:dyDescent="0.25">
      <c r="A2" s="5" t="s">
        <v>5</v>
      </c>
      <c r="B2" s="6" t="s">
        <v>19</v>
      </c>
      <c r="C2" s="6" t="s">
        <v>10</v>
      </c>
      <c r="D2" s="6" t="s">
        <v>23</v>
      </c>
      <c r="E2" s="6" t="s">
        <v>186</v>
      </c>
      <c r="F2" s="7" t="s">
        <v>3</v>
      </c>
      <c r="G2" s="8" t="s">
        <v>4</v>
      </c>
    </row>
    <row r="3" spans="1:7" ht="13.8" x14ac:dyDescent="0.3">
      <c r="A3" s="1" t="s">
        <v>204</v>
      </c>
      <c r="B3" s="21">
        <v>12523</v>
      </c>
      <c r="C3" s="21">
        <v>110458</v>
      </c>
      <c r="D3" s="2">
        <v>13703</v>
      </c>
      <c r="E3" s="2">
        <v>10954</v>
      </c>
      <c r="F3" s="9">
        <f>SUM(RepInCongressCongressionalDistrict24General[[#This Row],[Cayuga County Vote Results]:[Part of Oswego County Vote Results]])</f>
        <v>147638</v>
      </c>
      <c r="G3" s="10">
        <f>SUM(RepInCongressCongressionalDistrict24General[[#This Row],[Total Votes by Party]])</f>
        <v>147638</v>
      </c>
    </row>
    <row r="4" spans="1:7" ht="13.8" x14ac:dyDescent="0.3">
      <c r="A4" s="1" t="s">
        <v>205</v>
      </c>
      <c r="B4" s="21">
        <v>19117</v>
      </c>
      <c r="C4" s="21">
        <v>96575</v>
      </c>
      <c r="D4" s="2">
        <v>23392</v>
      </c>
      <c r="E4" s="2">
        <v>16941</v>
      </c>
      <c r="F4" s="9">
        <f>SUM(RepInCongressCongressionalDistrict24General[[#This Row],[Cayuga County Vote Results]:[Part of Oswego County Vote Results]])</f>
        <v>156025</v>
      </c>
      <c r="G4" s="10">
        <f>SUM(RepInCongressCongressionalDistrict24General[[#This Row],[Total Votes by Party]],F5,F7)</f>
        <v>182567</v>
      </c>
    </row>
    <row r="5" spans="1:7" ht="13.8" x14ac:dyDescent="0.3">
      <c r="A5" s="1" t="s">
        <v>206</v>
      </c>
      <c r="B5" s="21">
        <v>2279</v>
      </c>
      <c r="C5" s="21">
        <v>13137</v>
      </c>
      <c r="D5" s="2">
        <v>3609</v>
      </c>
      <c r="E5" s="2">
        <v>2037</v>
      </c>
      <c r="F5" s="9">
        <f>SUM(RepInCongressCongressionalDistrict24General[[#This Row],[Cayuga County Vote Results]:[Part of Oswego County Vote Results]])</f>
        <v>21062</v>
      </c>
      <c r="G5" s="11"/>
    </row>
    <row r="6" spans="1:7" ht="13.8" x14ac:dyDescent="0.3">
      <c r="A6" s="1" t="s">
        <v>207</v>
      </c>
      <c r="B6" s="21">
        <v>1243</v>
      </c>
      <c r="C6" s="21">
        <v>8582</v>
      </c>
      <c r="D6" s="2">
        <v>1886</v>
      </c>
      <c r="E6" s="2">
        <v>1521</v>
      </c>
      <c r="F6" s="9">
        <f>SUM(RepInCongressCongressionalDistrict24General[[#This Row],[Cayuga County Vote Results]:[Part of Oswego County Vote Results]])</f>
        <v>13232</v>
      </c>
      <c r="G6" s="10">
        <f>SUM(RepInCongressCongressionalDistrict24General[[#This Row],[Total Votes by Party]])</f>
        <v>13232</v>
      </c>
    </row>
    <row r="7" spans="1:7" ht="13.8" x14ac:dyDescent="0.3">
      <c r="A7" s="1" t="s">
        <v>208</v>
      </c>
      <c r="B7" s="21">
        <v>395</v>
      </c>
      <c r="C7" s="21">
        <v>4260</v>
      </c>
      <c r="D7" s="2">
        <v>435</v>
      </c>
      <c r="E7" s="2">
        <v>390</v>
      </c>
      <c r="F7" s="9">
        <f>SUM(RepInCongressCongressionalDistrict24General[[#This Row],[Cayuga County Vote Results]:[Part of Oswego County Vote Results]])</f>
        <v>5480</v>
      </c>
      <c r="G7" s="11"/>
    </row>
    <row r="8" spans="1:7" ht="13.8" x14ac:dyDescent="0.3">
      <c r="A8" s="3" t="s">
        <v>0</v>
      </c>
      <c r="B8" s="21">
        <v>1165</v>
      </c>
      <c r="C8" s="21">
        <v>4263</v>
      </c>
      <c r="D8" s="2">
        <v>1958</v>
      </c>
      <c r="E8" s="2">
        <v>929</v>
      </c>
      <c r="F8" s="9">
        <f>SUM(RepInCongressCongressionalDistrict24General[[#This Row],[Cayuga County Vote Results]:[Part of Oswego County Vote Results]])</f>
        <v>8315</v>
      </c>
      <c r="G8" s="11"/>
    </row>
    <row r="9" spans="1:7" ht="13.8" x14ac:dyDescent="0.3">
      <c r="A9" s="3" t="s">
        <v>1</v>
      </c>
      <c r="B9" s="21">
        <v>23</v>
      </c>
      <c r="C9" s="21">
        <v>114</v>
      </c>
      <c r="D9" s="2">
        <v>41</v>
      </c>
      <c r="E9" s="2">
        <v>22</v>
      </c>
      <c r="F9" s="9">
        <f>SUM(RepInCongressCongressionalDistrict24General[[#This Row],[Cayuga County Vote Results]:[Part of Oswego County Vote Results]])</f>
        <v>200</v>
      </c>
      <c r="G9" s="11"/>
    </row>
    <row r="10" spans="1:7" ht="13.8" x14ac:dyDescent="0.3">
      <c r="A10" s="3" t="s">
        <v>6</v>
      </c>
      <c r="B10" s="21">
        <v>15</v>
      </c>
      <c r="C10" s="21">
        <v>144</v>
      </c>
      <c r="D10" s="2">
        <v>7</v>
      </c>
      <c r="E10" s="2">
        <v>21</v>
      </c>
      <c r="F10" s="9">
        <f>SUM(RepInCongressCongressionalDistrict24General[[#This Row],[Cayuga County Vote Results]:[Part of Oswego County Vote Results]])</f>
        <v>187</v>
      </c>
      <c r="G10" s="11"/>
    </row>
    <row r="11" spans="1:7" ht="13.8" x14ac:dyDescent="0.3">
      <c r="A11" s="13" t="s">
        <v>2</v>
      </c>
      <c r="B11" s="2">
        <f>SUM(RepInCongressCongressionalDistrict24General[Cayuga County Vote Results])</f>
        <v>36760</v>
      </c>
      <c r="C11" s="21">
        <f>SUM(RepInCongressCongressionalDistrict24General[Onondaga County Vote Results])</f>
        <v>237533</v>
      </c>
      <c r="D11" s="2">
        <f>SUM(RepInCongressCongressionalDistrict24General[Wayne County Vote Results])</f>
        <v>45031</v>
      </c>
      <c r="E11" s="2">
        <f>SUM(RepInCongressCongressionalDistrict24General[Part of Oswego County Vote Results])</f>
        <v>32815</v>
      </c>
      <c r="F11" s="9">
        <f>SUM(RepInCongressCongressionalDistrict24General[Total Votes by Party])</f>
        <v>352139</v>
      </c>
      <c r="G11" s="11"/>
    </row>
  </sheetData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2975-5FAD-4DAE-88E7-95FA6F3FCB95}">
  <dimension ref="A1:D12"/>
  <sheetViews>
    <sheetView workbookViewId="0">
      <selection activeCell="B12" sqref="B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7" t="s">
        <v>209</v>
      </c>
    </row>
    <row r="2" spans="1:4" ht="24.9" customHeight="1" x14ac:dyDescent="0.25">
      <c r="A2" s="5" t="s">
        <v>5</v>
      </c>
      <c r="B2" s="6" t="s">
        <v>210</v>
      </c>
      <c r="C2" s="7" t="s">
        <v>3</v>
      </c>
      <c r="D2" s="8" t="s">
        <v>4</v>
      </c>
    </row>
    <row r="3" spans="1:4" ht="13.8" x14ac:dyDescent="0.3">
      <c r="A3" s="1" t="s">
        <v>211</v>
      </c>
      <c r="B3" s="2">
        <v>187503</v>
      </c>
      <c r="C3" s="9">
        <f>RepInCongressCongressionalDistrict25General[[#This Row],[Part of Monroe County Vote Results]]</f>
        <v>187503</v>
      </c>
      <c r="D3" s="10">
        <f>SUM(RepInCongressCongressionalDistrict25General[[#This Row],[Total Votes by Party]],C6,C8)</f>
        <v>206396</v>
      </c>
    </row>
    <row r="4" spans="1:4" ht="13.8" x14ac:dyDescent="0.3">
      <c r="A4" s="1" t="s">
        <v>212</v>
      </c>
      <c r="B4" s="2">
        <v>115940</v>
      </c>
      <c r="C4" s="9">
        <f>RepInCongressCongressionalDistrict25General[[#This Row],[Part of Monroe County Vote Results]]</f>
        <v>115940</v>
      </c>
      <c r="D4" s="10">
        <f>SUM(RepInCongressCongressionalDistrict25General[[#This Row],[Total Votes by Party]],C5)</f>
        <v>136198</v>
      </c>
    </row>
    <row r="5" spans="1:4" ht="13.8" x14ac:dyDescent="0.3">
      <c r="A5" s="1" t="s">
        <v>213</v>
      </c>
      <c r="B5" s="2">
        <v>20258</v>
      </c>
      <c r="C5" s="9">
        <f>RepInCongressCongressionalDistrict25General[[#This Row],[Part of Monroe County Vote Results]]</f>
        <v>20258</v>
      </c>
      <c r="D5" s="11"/>
    </row>
    <row r="6" spans="1:4" ht="13.8" x14ac:dyDescent="0.3">
      <c r="A6" s="1" t="s">
        <v>214</v>
      </c>
      <c r="B6" s="2">
        <v>14584</v>
      </c>
      <c r="C6" s="9">
        <f>RepInCongressCongressionalDistrict25General[[#This Row],[Part of Monroe County Vote Results]]</f>
        <v>14584</v>
      </c>
      <c r="D6" s="11"/>
    </row>
    <row r="7" spans="1:4" ht="13.8" x14ac:dyDescent="0.3">
      <c r="A7" s="1" t="s">
        <v>215</v>
      </c>
      <c r="B7" s="2">
        <v>5325</v>
      </c>
      <c r="C7" s="9">
        <f>RepInCongressCongressionalDistrict25General[[#This Row],[Part of Monroe County Vote Results]]</f>
        <v>5325</v>
      </c>
      <c r="D7" s="10">
        <f>SUM(RepInCongressCongressionalDistrict25General[[#This Row],[Total Votes by Party]])</f>
        <v>5325</v>
      </c>
    </row>
    <row r="8" spans="1:4" ht="13.8" x14ac:dyDescent="0.3">
      <c r="A8" s="1" t="s">
        <v>216</v>
      </c>
      <c r="B8" s="2">
        <v>4309</v>
      </c>
      <c r="C8" s="9">
        <f>RepInCongressCongressionalDistrict25General[[#This Row],[Part of Monroe County Vote Results]]</f>
        <v>4309</v>
      </c>
      <c r="D8" s="11"/>
    </row>
    <row r="9" spans="1:4" ht="13.8" x14ac:dyDescent="0.3">
      <c r="A9" s="3" t="s">
        <v>0</v>
      </c>
      <c r="B9" s="2">
        <v>19079</v>
      </c>
      <c r="C9" s="9">
        <f>RepInCongressCongressionalDistrict25General[[#This Row],[Part of Monroe County Vote Results]]</f>
        <v>19079</v>
      </c>
      <c r="D9" s="11"/>
    </row>
    <row r="10" spans="1:4" ht="13.8" x14ac:dyDescent="0.3">
      <c r="A10" s="3" t="s">
        <v>1</v>
      </c>
      <c r="B10" s="2">
        <v>200</v>
      </c>
      <c r="C10" s="9">
        <f>RepInCongressCongressionalDistrict25General[[#This Row],[Part of Monroe County Vote Results]]</f>
        <v>200</v>
      </c>
      <c r="D10" s="11"/>
    </row>
    <row r="11" spans="1:4" ht="13.8" x14ac:dyDescent="0.3">
      <c r="A11" s="3" t="s">
        <v>6</v>
      </c>
      <c r="B11" s="2">
        <v>179</v>
      </c>
      <c r="C11" s="9">
        <f>RepInCongressCongressionalDistrict25General[[#This Row],[Part of Monroe County Vote Results]]</f>
        <v>179</v>
      </c>
      <c r="D11" s="11"/>
    </row>
    <row r="12" spans="1:4" ht="13.8" x14ac:dyDescent="0.3">
      <c r="A12" s="13" t="s">
        <v>2</v>
      </c>
      <c r="B12" s="2">
        <f>SUM(RepInCongressCongressionalDistrict25General[Part of Monroe County Vote Results])</f>
        <v>367377</v>
      </c>
      <c r="C12" s="9">
        <f>SUM(RepInCongressCongressionalDistrict25General[Total Votes by Party])</f>
        <v>367377</v>
      </c>
      <c r="D12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E2D4-38A5-4D2E-A85E-9C82874309D9}">
  <dimension ref="A1:E11"/>
  <sheetViews>
    <sheetView workbookViewId="0">
      <selection activeCell="C11" sqref="C11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75" customHeight="1" x14ac:dyDescent="0.25">
      <c r="A1" s="27" t="s">
        <v>217</v>
      </c>
    </row>
    <row r="2" spans="1:5" ht="27.6" x14ac:dyDescent="0.25">
      <c r="A2" s="5" t="s">
        <v>5</v>
      </c>
      <c r="B2" s="6" t="s">
        <v>218</v>
      </c>
      <c r="C2" s="6" t="s">
        <v>219</v>
      </c>
      <c r="D2" s="7" t="s">
        <v>3</v>
      </c>
      <c r="E2" s="8" t="s">
        <v>4</v>
      </c>
    </row>
    <row r="3" spans="1:5" ht="13.8" x14ac:dyDescent="0.3">
      <c r="A3" s="1" t="s">
        <v>220</v>
      </c>
      <c r="B3" s="2">
        <v>185016</v>
      </c>
      <c r="C3" s="2">
        <v>17299</v>
      </c>
      <c r="D3" s="9">
        <f>SUM(RepInCongressCongressionalDistrict26General[[#This Row],[Part of Erie County Vote Results]:[Part of Niagara County Vote Results]])</f>
        <v>202315</v>
      </c>
      <c r="E3" s="10">
        <f>SUM(RepInCongressCongressionalDistrict26General[[#This Row],[Total Votes by Party]],D5,D7)</f>
        <v>223276</v>
      </c>
    </row>
    <row r="4" spans="1:5" ht="13.8" x14ac:dyDescent="0.3">
      <c r="A4" s="1" t="s">
        <v>221</v>
      </c>
      <c r="B4" s="2">
        <v>79925</v>
      </c>
      <c r="C4" s="2">
        <v>11762</v>
      </c>
      <c r="D4" s="9">
        <f>SUM(RepInCongressCongressionalDistrict26General[[#This Row],[Part of Erie County Vote Results]:[Part of Niagara County Vote Results]])</f>
        <v>91687</v>
      </c>
      <c r="E4" s="10">
        <f>RepInCongressCongressionalDistrict26General[[#This Row],[Total Votes by Party]]</f>
        <v>91687</v>
      </c>
    </row>
    <row r="5" spans="1:5" ht="13.8" x14ac:dyDescent="0.3">
      <c r="A5" s="1" t="s">
        <v>222</v>
      </c>
      <c r="B5" s="2">
        <v>18485</v>
      </c>
      <c r="C5" s="2">
        <v>1819</v>
      </c>
      <c r="D5" s="9">
        <f>SUM(RepInCongressCongressionalDistrict26General[[#This Row],[Part of Erie County Vote Results]:[Part of Niagara County Vote Results]])</f>
        <v>20304</v>
      </c>
      <c r="E5" s="11"/>
    </row>
    <row r="6" spans="1:5" ht="13.8" x14ac:dyDescent="0.3">
      <c r="A6" s="3" t="s">
        <v>223</v>
      </c>
      <c r="B6" s="2">
        <v>4145</v>
      </c>
      <c r="C6" s="2">
        <v>483</v>
      </c>
      <c r="D6" s="9">
        <f>SUM(RepInCongressCongressionalDistrict26General[[#This Row],[Part of Erie County Vote Results]:[Part of Niagara County Vote Results]])</f>
        <v>4628</v>
      </c>
      <c r="E6" s="10">
        <f>RepInCongressCongressionalDistrict26General[[#This Row],[Total Votes by Party]]</f>
        <v>4628</v>
      </c>
    </row>
    <row r="7" spans="1:5" ht="13.8" x14ac:dyDescent="0.3">
      <c r="A7" s="1" t="s">
        <v>224</v>
      </c>
      <c r="B7" s="2">
        <v>581</v>
      </c>
      <c r="C7" s="2">
        <v>76</v>
      </c>
      <c r="D7" s="9">
        <f>SUM(RepInCongressCongressionalDistrict26General[[#This Row],[Part of Erie County Vote Results]:[Part of Niagara County Vote Results]])</f>
        <v>657</v>
      </c>
      <c r="E7" s="11"/>
    </row>
    <row r="8" spans="1:5" ht="13.8" x14ac:dyDescent="0.3">
      <c r="A8" s="3" t="s">
        <v>0</v>
      </c>
      <c r="B8" s="2">
        <v>14860</v>
      </c>
      <c r="C8" s="2">
        <v>2854</v>
      </c>
      <c r="D8" s="9">
        <f>SUM(RepInCongressCongressionalDistrict26General[[#This Row],[Part of Erie County Vote Results]:[Part of Niagara County Vote Results]])</f>
        <v>17714</v>
      </c>
      <c r="E8" s="11"/>
    </row>
    <row r="9" spans="1:5" ht="13.8" x14ac:dyDescent="0.3">
      <c r="A9" s="3" t="s">
        <v>1</v>
      </c>
      <c r="B9" s="2">
        <v>180</v>
      </c>
      <c r="C9" s="2">
        <v>16</v>
      </c>
      <c r="D9" s="9">
        <f>SUM(RepInCongressCongressionalDistrict26General[[#This Row],[Part of Erie County Vote Results]:[Part of Niagara County Vote Results]])</f>
        <v>196</v>
      </c>
      <c r="E9" s="11"/>
    </row>
    <row r="10" spans="1:5" ht="13.8" x14ac:dyDescent="0.3">
      <c r="A10" s="3" t="s">
        <v>6</v>
      </c>
      <c r="B10" s="2">
        <v>230</v>
      </c>
      <c r="C10" s="2">
        <v>14</v>
      </c>
      <c r="D10" s="9">
        <f>SUM(RepInCongressCongressionalDistrict26General[[#This Row],[Part of Erie County Vote Results]:[Part of Niagara County Vote Results]])</f>
        <v>244</v>
      </c>
      <c r="E10" s="11"/>
    </row>
    <row r="11" spans="1:5" ht="13.8" x14ac:dyDescent="0.3">
      <c r="A11" s="13" t="s">
        <v>2</v>
      </c>
      <c r="B11" s="2">
        <f>SUM(RepInCongressCongressionalDistrict26General[Part of Erie County Vote Results])</f>
        <v>303422</v>
      </c>
      <c r="C11" s="2">
        <f>SUM(RepInCongressCongressionalDistrict26General[Part of Niagara County Vote Results])</f>
        <v>34323</v>
      </c>
      <c r="D11" s="9">
        <f>SUM(RepInCongressCongressionalDistrict26General[Total Votes by Party])</f>
        <v>337745</v>
      </c>
      <c r="E11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F6D0-F95A-44B9-9350-CF5353CAAA89}">
  <dimension ref="A1:K12"/>
  <sheetViews>
    <sheetView zoomScaleNormal="100" zoomScaleSheetLayoutView="80" workbookViewId="0">
      <pane xSplit="1" topLeftCell="B1" activePane="topRight" state="frozen"/>
      <selection pane="topRight" activeCell="I12" sqref="I3:I12"/>
    </sheetView>
  </sheetViews>
  <sheetFormatPr defaultRowHeight="13.2" x14ac:dyDescent="0.25"/>
  <cols>
    <col min="1" max="1" width="25.5546875" customWidth="1"/>
    <col min="2" max="11" width="20.5546875" customWidth="1"/>
    <col min="12" max="13" width="23.5546875" customWidth="1"/>
  </cols>
  <sheetData>
    <row r="1" spans="1:11" ht="24.75" customHeight="1" x14ac:dyDescent="0.25">
      <c r="A1" s="27" t="s">
        <v>225</v>
      </c>
    </row>
    <row r="2" spans="1:11" ht="27.6" x14ac:dyDescent="0.25">
      <c r="A2" s="5" t="s">
        <v>5</v>
      </c>
      <c r="B2" s="6" t="s">
        <v>28</v>
      </c>
      <c r="C2" s="6" t="s">
        <v>20</v>
      </c>
      <c r="D2" s="6" t="s">
        <v>29</v>
      </c>
      <c r="E2" s="6" t="s">
        <v>30</v>
      </c>
      <c r="F2" s="6" t="s">
        <v>218</v>
      </c>
      <c r="G2" s="6" t="s">
        <v>210</v>
      </c>
      <c r="H2" s="6" t="s">
        <v>219</v>
      </c>
      <c r="I2" s="6" t="s">
        <v>196</v>
      </c>
      <c r="J2" s="7" t="s">
        <v>3</v>
      </c>
      <c r="K2" s="8" t="s">
        <v>4</v>
      </c>
    </row>
    <row r="3" spans="1:11" ht="13.8" x14ac:dyDescent="0.3">
      <c r="A3" s="1" t="s">
        <v>226</v>
      </c>
      <c r="B3" s="2">
        <v>7972</v>
      </c>
      <c r="C3" s="2">
        <v>10714</v>
      </c>
      <c r="D3" s="2">
        <v>4722</v>
      </c>
      <c r="E3" s="2">
        <v>4400</v>
      </c>
      <c r="F3" s="2">
        <v>62606</v>
      </c>
      <c r="G3" s="2">
        <v>6065</v>
      </c>
      <c r="H3" s="2">
        <v>24004</v>
      </c>
      <c r="I3" s="21">
        <v>16300</v>
      </c>
      <c r="J3" s="9">
        <f>SUM(RepInCongressCongressionalDistrict27General[[#This Row],[Genesee County Vote Results]:[Part of Ontario County Vote Results]])</f>
        <v>136783</v>
      </c>
      <c r="K3" s="10">
        <f>SUM(RepInCongressCongressionalDistrict27General[[#This Row],[Total Votes by Party]],J6)</f>
        <v>149559</v>
      </c>
    </row>
    <row r="4" spans="1:11" ht="13.8" x14ac:dyDescent="0.3">
      <c r="A4" s="1" t="s">
        <v>227</v>
      </c>
      <c r="B4" s="2">
        <v>16297</v>
      </c>
      <c r="C4" s="2">
        <v>15725</v>
      </c>
      <c r="D4" s="2">
        <v>10265</v>
      </c>
      <c r="E4" s="2">
        <v>12217</v>
      </c>
      <c r="F4" s="2">
        <v>80621</v>
      </c>
      <c r="G4" s="2">
        <v>7140</v>
      </c>
      <c r="H4" s="2">
        <v>33772</v>
      </c>
      <c r="I4" s="21">
        <v>16719</v>
      </c>
      <c r="J4" s="9">
        <f>SUM(RepInCongressCongressionalDistrict27General[[#This Row],[Genesee County Vote Results]:[Part of Ontario County Vote Results]])</f>
        <v>192756</v>
      </c>
      <c r="K4" s="10">
        <f>SUM(RepInCongressCongressionalDistrict27General[[#This Row],[Total Votes by Party]],J5,J8)</f>
        <v>229044</v>
      </c>
    </row>
    <row r="5" spans="1:11" ht="13.8" x14ac:dyDescent="0.3">
      <c r="A5" s="1" t="s">
        <v>228</v>
      </c>
      <c r="B5" s="2">
        <v>2135</v>
      </c>
      <c r="C5" s="2">
        <v>2090</v>
      </c>
      <c r="D5" s="2">
        <v>1249</v>
      </c>
      <c r="E5" s="2">
        <v>1452</v>
      </c>
      <c r="F5" s="2">
        <v>14890</v>
      </c>
      <c r="G5" s="2">
        <v>1230</v>
      </c>
      <c r="H5" s="2">
        <v>5553</v>
      </c>
      <c r="I5" s="21">
        <v>2428</v>
      </c>
      <c r="J5" s="9">
        <f>SUM(RepInCongressCongressionalDistrict27General[[#This Row],[Genesee County Vote Results]:[Part of Ontario County Vote Results]])</f>
        <v>31027</v>
      </c>
      <c r="K5" s="11"/>
    </row>
    <row r="6" spans="1:11" ht="13.8" x14ac:dyDescent="0.3">
      <c r="A6" s="1" t="s">
        <v>229</v>
      </c>
      <c r="B6" s="2">
        <v>808</v>
      </c>
      <c r="C6" s="2">
        <v>1032</v>
      </c>
      <c r="D6" s="2">
        <v>469</v>
      </c>
      <c r="E6" s="2">
        <v>495</v>
      </c>
      <c r="F6" s="2">
        <v>5928</v>
      </c>
      <c r="G6" s="2">
        <v>470</v>
      </c>
      <c r="H6" s="2">
        <v>2384</v>
      </c>
      <c r="I6" s="21">
        <v>1190</v>
      </c>
      <c r="J6" s="9">
        <f>SUM(RepInCongressCongressionalDistrict27General[[#This Row],[Genesee County Vote Results]:[Part of Ontario County Vote Results]])</f>
        <v>12776</v>
      </c>
      <c r="K6" s="11"/>
    </row>
    <row r="7" spans="1:11" ht="13.8" x14ac:dyDescent="0.3">
      <c r="A7" s="1" t="s">
        <v>230</v>
      </c>
      <c r="B7" s="2">
        <v>553</v>
      </c>
      <c r="C7" s="2">
        <v>387</v>
      </c>
      <c r="D7" s="2">
        <v>276</v>
      </c>
      <c r="E7" s="2">
        <v>263</v>
      </c>
      <c r="F7" s="2">
        <v>1928</v>
      </c>
      <c r="G7" s="2">
        <v>207</v>
      </c>
      <c r="H7" s="2">
        <v>840</v>
      </c>
      <c r="I7" s="21">
        <v>430</v>
      </c>
      <c r="J7" s="9">
        <f>SUM(RepInCongressCongressionalDistrict27General[[#This Row],[Genesee County Vote Results]:[Part of Ontario County Vote Results]])</f>
        <v>4884</v>
      </c>
      <c r="K7" s="10">
        <f>SUM(RepInCongressCongressionalDistrict27General[[#This Row],[Total Votes by Party]])</f>
        <v>4884</v>
      </c>
    </row>
    <row r="8" spans="1:11" ht="13.8" x14ac:dyDescent="0.3">
      <c r="A8" s="1" t="s">
        <v>231</v>
      </c>
      <c r="B8" s="2">
        <v>381</v>
      </c>
      <c r="C8" s="2">
        <v>348</v>
      </c>
      <c r="D8" s="2">
        <v>185</v>
      </c>
      <c r="E8" s="2">
        <v>210</v>
      </c>
      <c r="F8" s="2">
        <v>2553</v>
      </c>
      <c r="G8" s="2">
        <v>219</v>
      </c>
      <c r="H8" s="2">
        <v>989</v>
      </c>
      <c r="I8" s="21">
        <v>376</v>
      </c>
      <c r="J8" s="9">
        <f>SUM(RepInCongressCongressionalDistrict27General[[#This Row],[Genesee County Vote Results]:[Part of Ontario County Vote Results]])</f>
        <v>5261</v>
      </c>
      <c r="K8" s="11"/>
    </row>
    <row r="9" spans="1:11" ht="13.8" x14ac:dyDescent="0.3">
      <c r="A9" s="3" t="s">
        <v>0</v>
      </c>
      <c r="B9" s="2">
        <v>1259</v>
      </c>
      <c r="C9" s="2">
        <v>1312</v>
      </c>
      <c r="D9" s="2">
        <v>1135</v>
      </c>
      <c r="E9" s="2">
        <v>379</v>
      </c>
      <c r="F9" s="2">
        <v>4670</v>
      </c>
      <c r="G9" s="2">
        <v>776</v>
      </c>
      <c r="H9" s="2">
        <v>2889</v>
      </c>
      <c r="I9" s="21">
        <v>1925</v>
      </c>
      <c r="J9" s="9">
        <f>SUM(RepInCongressCongressionalDistrict27General[[#This Row],[Genesee County Vote Results]:[Part of Ontario County Vote Results]])</f>
        <v>14345</v>
      </c>
      <c r="K9" s="11"/>
    </row>
    <row r="10" spans="1:11" ht="13.8" x14ac:dyDescent="0.3">
      <c r="A10" s="3" t="s">
        <v>1</v>
      </c>
      <c r="B10" s="2">
        <v>22</v>
      </c>
      <c r="C10" s="2">
        <v>42</v>
      </c>
      <c r="D10" s="2">
        <v>10</v>
      </c>
      <c r="E10" s="2">
        <v>4</v>
      </c>
      <c r="F10" s="2">
        <v>84</v>
      </c>
      <c r="G10" s="2">
        <v>6</v>
      </c>
      <c r="H10" s="2">
        <v>22</v>
      </c>
      <c r="I10" s="21">
        <v>48</v>
      </c>
      <c r="J10" s="9">
        <f>SUM(RepInCongressCongressionalDistrict27General[[#This Row],[Genesee County Vote Results]:[Part of Ontario County Vote Results]])</f>
        <v>238</v>
      </c>
      <c r="K10" s="11"/>
    </row>
    <row r="11" spans="1:11" ht="13.8" x14ac:dyDescent="0.3">
      <c r="A11" s="3" t="s">
        <v>6</v>
      </c>
      <c r="B11" s="2">
        <v>4</v>
      </c>
      <c r="C11" s="2">
        <v>6</v>
      </c>
      <c r="D11" s="2">
        <v>3</v>
      </c>
      <c r="E11" s="2">
        <v>6</v>
      </c>
      <c r="F11" s="2">
        <v>70</v>
      </c>
      <c r="G11" s="2">
        <v>6</v>
      </c>
      <c r="H11" s="2">
        <v>19</v>
      </c>
      <c r="I11" s="21">
        <v>7</v>
      </c>
      <c r="J11" s="9">
        <f>SUM(RepInCongressCongressionalDistrict27General[[#This Row],[Genesee County Vote Results]:[Part of Ontario County Vote Results]])</f>
        <v>121</v>
      </c>
      <c r="K11" s="11"/>
    </row>
    <row r="12" spans="1:11" ht="13.8" x14ac:dyDescent="0.3">
      <c r="A12" s="13" t="s">
        <v>2</v>
      </c>
      <c r="B12" s="2">
        <f>SUM(RepInCongressCongressionalDistrict27General[Genesee County Vote Results])</f>
        <v>29431</v>
      </c>
      <c r="C12" s="2">
        <f>SUM(RepInCongressCongressionalDistrict27General[Livingston County Vote Results])</f>
        <v>31656</v>
      </c>
      <c r="D12" s="2">
        <f>SUM(RepInCongressCongressionalDistrict27General[Orleans County Vote Results])</f>
        <v>18314</v>
      </c>
      <c r="E12" s="2">
        <f>SUM(RepInCongressCongressionalDistrict27General[Wyoming County Vote Results])</f>
        <v>19426</v>
      </c>
      <c r="F12" s="2">
        <f>SUM(RepInCongressCongressionalDistrict27General[Part of Erie County Vote Results])</f>
        <v>173350</v>
      </c>
      <c r="G12" s="2">
        <f>SUM(RepInCongressCongressionalDistrict27General[Part of Monroe County Vote Results])</f>
        <v>16119</v>
      </c>
      <c r="H12" s="2">
        <f>SUM(RepInCongressCongressionalDistrict27General[Part of Niagara County Vote Results])</f>
        <v>70472</v>
      </c>
      <c r="I12" s="21">
        <f>SUM(RepInCongressCongressionalDistrict27General[Part of Ontario County Vote Results])</f>
        <v>39423</v>
      </c>
      <c r="J12" s="9">
        <f>SUM(RepInCongressCongressionalDistrict27General[Total Votes by Party])</f>
        <v>398191</v>
      </c>
      <c r="K12" s="11"/>
    </row>
  </sheetData>
  <pageMargins left="0.7" right="0.7" top="0.75" bottom="0.75" header="0.3" footer="0.3"/>
  <pageSetup paperSize="5" scale="7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C9F3-042C-4B50-80E4-1FC0CE7B648A}">
  <dimension ref="A1:F14"/>
  <sheetViews>
    <sheetView topLeftCell="A2" zoomScaleNormal="100" zoomScaleSheetLayoutView="110" workbookViewId="0">
      <selection activeCell="D3" sqref="D3:D12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24.75" customHeight="1" x14ac:dyDescent="0.25">
      <c r="A1" s="27" t="s">
        <v>52</v>
      </c>
    </row>
    <row r="2" spans="1:6" ht="27.6" x14ac:dyDescent="0.25">
      <c r="A2" s="5" t="s">
        <v>5</v>
      </c>
      <c r="B2" s="6" t="s">
        <v>43</v>
      </c>
      <c r="C2" s="6" t="s">
        <v>53</v>
      </c>
      <c r="D2" s="6" t="s">
        <v>36</v>
      </c>
      <c r="E2" s="7" t="s">
        <v>3</v>
      </c>
      <c r="F2" s="8" t="s">
        <v>4</v>
      </c>
    </row>
    <row r="3" spans="1:6" ht="13.8" x14ac:dyDescent="0.3">
      <c r="A3" s="1" t="s">
        <v>54</v>
      </c>
      <c r="B3" s="21">
        <v>100736</v>
      </c>
      <c r="C3" s="26">
        <v>29539</v>
      </c>
      <c r="D3" s="21">
        <v>65652</v>
      </c>
      <c r="E3" s="9">
        <f>SUM(RepInCongressCongressionalDistrict3General[[#This Row],[Part of Nassau County Vote Results]:[Part of Suffolk County Vote Results]])</f>
        <v>195927</v>
      </c>
      <c r="F3" s="10">
        <f>SUM(RepInCongressCongressionalDistrict3General[[#This Row],[Total Votes by Party]],E6,E8)</f>
        <v>208412</v>
      </c>
    </row>
    <row r="4" spans="1:6" ht="13.8" x14ac:dyDescent="0.3">
      <c r="A4" s="1" t="s">
        <v>55</v>
      </c>
      <c r="B4" s="21">
        <v>74624</v>
      </c>
      <c r="C4" s="26">
        <v>18647</v>
      </c>
      <c r="D4" s="21">
        <v>54166</v>
      </c>
      <c r="E4" s="9">
        <f>SUM(RepInCongressCongressionalDistrict3General[[#This Row],[Part of Nassau County Vote Results]:[Part of Suffolk County Vote Results]])</f>
        <v>147437</v>
      </c>
      <c r="F4" s="10">
        <f>SUM(RepInCongressCongressionalDistrict3General[[#This Row],[Total Votes by Party]],E5)</f>
        <v>161907</v>
      </c>
    </row>
    <row r="5" spans="1:6" ht="13.8" x14ac:dyDescent="0.3">
      <c r="A5" s="1" t="s">
        <v>56</v>
      </c>
      <c r="B5" s="21">
        <v>6296</v>
      </c>
      <c r="C5" s="26">
        <v>1672</v>
      </c>
      <c r="D5" s="21">
        <v>6502</v>
      </c>
      <c r="E5" s="9">
        <f>SUM(RepInCongressCongressionalDistrict3General[[#This Row],[Part of Nassau County Vote Results]:[Part of Suffolk County Vote Results]])</f>
        <v>14470</v>
      </c>
      <c r="F5" s="11"/>
    </row>
    <row r="6" spans="1:6" ht="13.8" x14ac:dyDescent="0.3">
      <c r="A6" s="1" t="s">
        <v>57</v>
      </c>
      <c r="B6" s="21">
        <v>3800</v>
      </c>
      <c r="C6" s="26">
        <v>2206</v>
      </c>
      <c r="D6" s="21">
        <v>3187</v>
      </c>
      <c r="E6" s="9">
        <f>SUM(RepInCongressCongressionalDistrict3General[[#This Row],[Part of Nassau County Vote Results]:[Part of Suffolk County Vote Results]])</f>
        <v>9193</v>
      </c>
      <c r="F6" s="11"/>
    </row>
    <row r="7" spans="1:6" ht="13.8" x14ac:dyDescent="0.3">
      <c r="A7" s="1" t="s">
        <v>58</v>
      </c>
      <c r="B7" s="21">
        <v>1039</v>
      </c>
      <c r="C7" s="25">
        <v>287</v>
      </c>
      <c r="D7" s="21">
        <v>828</v>
      </c>
      <c r="E7" s="9">
        <f>SUM(RepInCongressCongressionalDistrict3General[[#This Row],[Part of Nassau County Vote Results]:[Part of Suffolk County Vote Results]])</f>
        <v>2154</v>
      </c>
      <c r="F7" s="10">
        <f>SUM(RepInCongressCongressionalDistrict3General[[#This Row],[Total Votes by Party]])</f>
        <v>2154</v>
      </c>
    </row>
    <row r="8" spans="1:6" ht="13.8" x14ac:dyDescent="0.3">
      <c r="A8" s="1" t="s">
        <v>59</v>
      </c>
      <c r="B8" s="21">
        <v>1549</v>
      </c>
      <c r="C8" s="25">
        <v>122</v>
      </c>
      <c r="D8" s="21">
        <v>1621</v>
      </c>
      <c r="E8" s="9">
        <f>SUM(RepInCongressCongressionalDistrict3General[[#This Row],[Part of Nassau County Vote Results]:[Part of Suffolk County Vote Results]])</f>
        <v>3292</v>
      </c>
      <c r="F8" s="11"/>
    </row>
    <row r="9" spans="1:6" ht="13.8" x14ac:dyDescent="0.3">
      <c r="A9" s="3" t="s">
        <v>0</v>
      </c>
      <c r="B9" s="21">
        <v>13938</v>
      </c>
      <c r="C9" s="25">
        <v>3408</v>
      </c>
      <c r="D9" s="21">
        <v>8401</v>
      </c>
      <c r="E9" s="9">
        <f>SUM(RepInCongressCongressionalDistrict3General[[#This Row],[Part of Nassau County Vote Results]:[Part of Suffolk County Vote Results]])</f>
        <v>25747</v>
      </c>
      <c r="F9" s="11"/>
    </row>
    <row r="10" spans="1:6" ht="13.8" x14ac:dyDescent="0.3">
      <c r="A10" s="3" t="s">
        <v>1</v>
      </c>
      <c r="B10" s="21">
        <v>248</v>
      </c>
      <c r="C10" s="25">
        <v>9</v>
      </c>
      <c r="D10" s="21">
        <v>85</v>
      </c>
      <c r="E10" s="9">
        <f>SUM(RepInCongressCongressionalDistrict3General[[#This Row],[Part of Nassau County Vote Results]:[Part of Suffolk County Vote Results]])</f>
        <v>342</v>
      </c>
      <c r="F10" s="11"/>
    </row>
    <row r="11" spans="1:6" ht="13.8" x14ac:dyDescent="0.3">
      <c r="A11" s="3" t="s">
        <v>6</v>
      </c>
      <c r="B11" s="21">
        <v>68</v>
      </c>
      <c r="C11" s="25">
        <v>36</v>
      </c>
      <c r="D11" s="21">
        <v>35</v>
      </c>
      <c r="E11" s="9">
        <f>SUM(RepInCongressCongressionalDistrict3General[[#This Row],[Part of Nassau County Vote Results]:[Part of Suffolk County Vote Results]])</f>
        <v>139</v>
      </c>
      <c r="F11" s="11"/>
    </row>
    <row r="12" spans="1:6" ht="13.8" x14ac:dyDescent="0.3">
      <c r="A12" s="3" t="s">
        <v>2</v>
      </c>
      <c r="B12" s="22">
        <f>SUM(RepInCongressCongressionalDistrict3General[Part of Nassau County Vote Results])</f>
        <v>202298</v>
      </c>
      <c r="C12" s="4">
        <f>SUM(RepInCongressCongressionalDistrict3General[Part of Queens County Vote Results])</f>
        <v>55926</v>
      </c>
      <c r="D12" s="22">
        <f>SUM(RepInCongressCongressionalDistrict3General[Part of Suffolk County Vote Results])</f>
        <v>140477</v>
      </c>
      <c r="E12" s="9">
        <f>SUM(RepInCongressCongressionalDistrict3General[Total Votes by Party])</f>
        <v>398701</v>
      </c>
      <c r="F12" s="11"/>
    </row>
    <row r="13" spans="1:6" x14ac:dyDescent="0.25">
      <c r="C13" s="12"/>
    </row>
    <row r="14" spans="1:6" x14ac:dyDescent="0.25">
      <c r="C14" s="12"/>
    </row>
  </sheetData>
  <pageMargins left="0.7" right="0.7" top="0.75" bottom="0.75" header="0.3" footer="0.3"/>
  <pageSetup scale="97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27DE-15FF-4B0A-804E-0E179C27E990}">
  <dimension ref="A1:D10"/>
  <sheetViews>
    <sheetView topLeftCell="A2" workbookViewId="0">
      <selection activeCell="D16" sqref="D16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7" t="s">
        <v>60</v>
      </c>
    </row>
    <row r="2" spans="1:4" ht="24.9" customHeight="1" x14ac:dyDescent="0.25">
      <c r="A2" s="5" t="s">
        <v>5</v>
      </c>
      <c r="B2" s="6" t="s">
        <v>43</v>
      </c>
      <c r="C2" s="7" t="s">
        <v>3</v>
      </c>
      <c r="D2" s="8" t="s">
        <v>4</v>
      </c>
    </row>
    <row r="3" spans="1:4" ht="13.5" customHeight="1" x14ac:dyDescent="0.3">
      <c r="A3" s="16" t="s">
        <v>61</v>
      </c>
      <c r="B3" s="21">
        <v>199762</v>
      </c>
      <c r="C3" s="9">
        <f>RepInCongressCongressionalDistrict4General[[#This Row],[Part of Nassau County Vote Results]]</f>
        <v>199762</v>
      </c>
      <c r="D3" s="10">
        <f>SUM(RepInCongressCongressionalDistrict4General[[#This Row],[Total Votes by Party]])</f>
        <v>199762</v>
      </c>
    </row>
    <row r="4" spans="1:4" ht="13.8" x14ac:dyDescent="0.3">
      <c r="A4" s="1" t="s">
        <v>62</v>
      </c>
      <c r="B4" s="21">
        <v>139559</v>
      </c>
      <c r="C4" s="9">
        <f>RepInCongressCongressionalDistrict4General[[#This Row],[Part of Nassau County Vote Results]]</f>
        <v>139559</v>
      </c>
      <c r="D4" s="10">
        <f>SUM(RepInCongressCongressionalDistrict4General[[#This Row],[Total Votes by Party]],C5)</f>
        <v>153007</v>
      </c>
    </row>
    <row r="5" spans="1:4" ht="13.8" x14ac:dyDescent="0.3">
      <c r="A5" s="1" t="s">
        <v>63</v>
      </c>
      <c r="B5" s="21">
        <v>13448</v>
      </c>
      <c r="C5" s="9">
        <f>RepInCongressCongressionalDistrict4General[[#This Row],[Part of Nassau County Vote Results]]</f>
        <v>13448</v>
      </c>
      <c r="D5" s="11"/>
    </row>
    <row r="6" spans="1:4" ht="13.8" x14ac:dyDescent="0.3">
      <c r="A6" s="1" t="s">
        <v>64</v>
      </c>
      <c r="B6" s="21">
        <v>3024</v>
      </c>
      <c r="C6" s="9">
        <f>RepInCongressCongressionalDistrict4General[[#This Row],[Part of Nassau County Vote Results]]</f>
        <v>3024</v>
      </c>
      <c r="D6" s="10">
        <f>SUM(RepInCongressCongressionalDistrict4General[[#This Row],[Total Votes by Party]])</f>
        <v>3024</v>
      </c>
    </row>
    <row r="7" spans="1:4" ht="13.8" x14ac:dyDescent="0.3">
      <c r="A7" s="3" t="s">
        <v>0</v>
      </c>
      <c r="B7" s="21">
        <v>28742</v>
      </c>
      <c r="C7" s="9">
        <f>RepInCongressCongressionalDistrict4General[[#This Row],[Part of Nassau County Vote Results]]</f>
        <v>28742</v>
      </c>
      <c r="D7" s="11"/>
    </row>
    <row r="8" spans="1:4" ht="13.8" x14ac:dyDescent="0.3">
      <c r="A8" s="3" t="s">
        <v>1</v>
      </c>
      <c r="B8" s="21">
        <v>361</v>
      </c>
      <c r="C8" s="9">
        <f>RepInCongressCongressionalDistrict4General[[#This Row],[Part of Nassau County Vote Results]]</f>
        <v>361</v>
      </c>
      <c r="D8" s="11"/>
    </row>
    <row r="9" spans="1:4" ht="13.8" x14ac:dyDescent="0.3">
      <c r="A9" s="3" t="s">
        <v>6</v>
      </c>
      <c r="B9" s="21">
        <v>119</v>
      </c>
      <c r="C9" s="9">
        <f>RepInCongressCongressionalDistrict4General[[#This Row],[Part of Nassau County Vote Results]]</f>
        <v>119</v>
      </c>
      <c r="D9" s="11"/>
    </row>
    <row r="10" spans="1:4" ht="13.8" x14ac:dyDescent="0.3">
      <c r="A10" s="13" t="s">
        <v>2</v>
      </c>
      <c r="B10" s="21">
        <f>SUM(RepInCongressCongressionalDistrict4General[Part of Nassau County Vote Results])</f>
        <v>385015</v>
      </c>
      <c r="C10" s="9">
        <f>SUM(RepInCongressCongressionalDistrict4General[Total Votes by Party])</f>
        <v>385015</v>
      </c>
      <c r="D10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FEF1-2C5F-4932-A1EA-AB6B37DD1983}">
  <dimension ref="A1:E8"/>
  <sheetViews>
    <sheetView workbookViewId="0">
      <selection activeCell="E12" sqref="E12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75" customHeight="1" x14ac:dyDescent="0.25">
      <c r="A1" s="27" t="s">
        <v>65</v>
      </c>
    </row>
    <row r="2" spans="1:5" ht="27.6" x14ac:dyDescent="0.25">
      <c r="A2" s="5" t="s">
        <v>5</v>
      </c>
      <c r="B2" s="6" t="s">
        <v>43</v>
      </c>
      <c r="C2" s="6" t="s">
        <v>53</v>
      </c>
      <c r="D2" s="7" t="s">
        <v>3</v>
      </c>
      <c r="E2" s="8" t="s">
        <v>4</v>
      </c>
    </row>
    <row r="3" spans="1:5" ht="13.8" x14ac:dyDescent="0.3">
      <c r="A3" s="1" t="s">
        <v>66</v>
      </c>
      <c r="B3" s="21">
        <v>28672</v>
      </c>
      <c r="C3" s="26">
        <v>200453</v>
      </c>
      <c r="D3" s="9">
        <f>SUM(RepInCongressCongressionalDistrict5General[[#This Row],[Part of Nassau County Vote Results]:[Part of Queens County Vote Results]])</f>
        <v>229125</v>
      </c>
      <c r="E3" s="11"/>
    </row>
    <row r="4" spans="1:5" ht="13.8" x14ac:dyDescent="0.3">
      <c r="A4" s="3" t="s">
        <v>0</v>
      </c>
      <c r="B4" s="21">
        <v>10780</v>
      </c>
      <c r="C4" s="25">
        <v>36411</v>
      </c>
      <c r="D4" s="9">
        <f>SUM(RepInCongressCongressionalDistrict5General[[#This Row],[Part of Nassau County Vote Results]:[Part of Queens County Vote Results]])</f>
        <v>47191</v>
      </c>
      <c r="E4" s="11"/>
    </row>
    <row r="5" spans="1:5" ht="13.8" x14ac:dyDescent="0.3">
      <c r="A5" s="3" t="s">
        <v>1</v>
      </c>
      <c r="B5" s="21">
        <v>2</v>
      </c>
      <c r="C5" s="25">
        <v>37</v>
      </c>
      <c r="D5" s="9">
        <f>SUM(RepInCongressCongressionalDistrict5General[[#This Row],[Part of Nassau County Vote Results]:[Part of Queens County Vote Results]])</f>
        <v>39</v>
      </c>
      <c r="E5" s="11"/>
    </row>
    <row r="6" spans="1:5" ht="13.8" x14ac:dyDescent="0.3">
      <c r="A6" s="3" t="s">
        <v>6</v>
      </c>
      <c r="B6" s="21">
        <v>115</v>
      </c>
      <c r="C6" s="26">
        <v>1439</v>
      </c>
      <c r="D6" s="9">
        <f>SUM(RepInCongressCongressionalDistrict5General[[#This Row],[Part of Nassau County Vote Results]:[Part of Queens County Vote Results]])</f>
        <v>1554</v>
      </c>
      <c r="E6" s="11"/>
    </row>
    <row r="7" spans="1:5" ht="13.8" x14ac:dyDescent="0.3">
      <c r="A7" s="13" t="s">
        <v>2</v>
      </c>
      <c r="B7" s="21">
        <f>SUM(RepInCongressCongressionalDistrict5General[Part of Nassau County Vote Results])</f>
        <v>39569</v>
      </c>
      <c r="C7" s="2">
        <f>SUM(RepInCongressCongressionalDistrict5General[Part of Queens County Vote Results])</f>
        <v>238340</v>
      </c>
      <c r="D7" s="9">
        <f>SUM(RepInCongressCongressionalDistrict5General[Total Votes by Party])</f>
        <v>277909</v>
      </c>
      <c r="E7" s="11"/>
    </row>
    <row r="8" spans="1:5" x14ac:dyDescent="0.25">
      <c r="C8" s="12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B6DD-2481-4993-86C3-DB06F3A0D16A}">
  <dimension ref="A1:D12"/>
  <sheetViews>
    <sheetView workbookViewId="0">
      <selection activeCell="B15" sqref="B15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7" t="s">
        <v>67</v>
      </c>
    </row>
    <row r="2" spans="1:4" ht="24.9" customHeight="1" x14ac:dyDescent="0.25">
      <c r="A2" s="5" t="s">
        <v>5</v>
      </c>
      <c r="B2" s="6" t="s">
        <v>53</v>
      </c>
      <c r="C2" s="7" t="s">
        <v>3</v>
      </c>
      <c r="D2" s="8" t="s">
        <v>4</v>
      </c>
    </row>
    <row r="3" spans="1:4" ht="13.8" x14ac:dyDescent="0.3">
      <c r="A3" s="16" t="s">
        <v>68</v>
      </c>
      <c r="B3" s="26">
        <v>144149</v>
      </c>
      <c r="C3" s="9">
        <f>RepInCongressCongressionalDistrict6General[[#This Row],[Part of Queens County Vote Results]]</f>
        <v>144149</v>
      </c>
      <c r="D3" s="10">
        <f>SUM(RepInCongressCongressionalDistrict6General[[#This Row],[Total Votes by Party]],C6)</f>
        <v>158862</v>
      </c>
    </row>
    <row r="4" spans="1:4" ht="13.8" x14ac:dyDescent="0.3">
      <c r="A4" s="1" t="s">
        <v>69</v>
      </c>
      <c r="B4" s="26">
        <v>67735</v>
      </c>
      <c r="C4" s="9">
        <f>RepInCongressCongressionalDistrict6General[[#This Row],[Part of Queens County Vote Results]]</f>
        <v>67735</v>
      </c>
      <c r="D4" s="10">
        <f>SUM(RepInCongressCongressionalDistrict6General[[#This Row],[Total Votes by Party]],C5,C7,C8)</f>
        <v>74829</v>
      </c>
    </row>
    <row r="5" spans="1:4" ht="13.8" x14ac:dyDescent="0.3">
      <c r="A5" s="1" t="s">
        <v>70</v>
      </c>
      <c r="B5" s="26">
        <v>5231</v>
      </c>
      <c r="C5" s="9">
        <f>RepInCongressCongressionalDistrict6General[[#This Row],[Part of Queens County Vote Results]]</f>
        <v>5231</v>
      </c>
      <c r="D5" s="11"/>
    </row>
    <row r="6" spans="1:4" ht="13.8" x14ac:dyDescent="0.3">
      <c r="A6" s="1" t="s">
        <v>71</v>
      </c>
      <c r="B6" s="26">
        <v>14713</v>
      </c>
      <c r="C6" s="9">
        <f>RepInCongressCongressionalDistrict6General[[#This Row],[Part of Queens County Vote Results]]</f>
        <v>14713</v>
      </c>
      <c r="D6" s="11"/>
    </row>
    <row r="7" spans="1:4" ht="13.8" x14ac:dyDescent="0.3">
      <c r="A7" s="1" t="s">
        <v>72</v>
      </c>
      <c r="B7" s="25">
        <v>754</v>
      </c>
      <c r="C7" s="9">
        <f>RepInCongressCongressionalDistrict6General[[#This Row],[Part of Queens County Vote Results]]</f>
        <v>754</v>
      </c>
      <c r="D7" s="11"/>
    </row>
    <row r="8" spans="1:4" ht="13.8" x14ac:dyDescent="0.3">
      <c r="A8" s="1" t="s">
        <v>73</v>
      </c>
      <c r="B8" s="26">
        <v>1109</v>
      </c>
      <c r="C8" s="9">
        <f>RepInCongressCongressionalDistrict6General[[#This Row],[Part of Queens County Vote Results]]</f>
        <v>1109</v>
      </c>
      <c r="D8" s="11"/>
    </row>
    <row r="9" spans="1:4" ht="13.8" x14ac:dyDescent="0.3">
      <c r="A9" s="3" t="s">
        <v>0</v>
      </c>
      <c r="B9" s="2">
        <v>15552</v>
      </c>
      <c r="C9" s="9">
        <f>RepInCongressCongressionalDistrict6General[[#This Row],[Part of Queens County Vote Results]]</f>
        <v>15552</v>
      </c>
      <c r="D9" s="11"/>
    </row>
    <row r="10" spans="1:4" ht="13.8" x14ac:dyDescent="0.3">
      <c r="A10" s="3" t="s">
        <v>1</v>
      </c>
      <c r="B10" s="2">
        <v>27</v>
      </c>
      <c r="C10" s="9">
        <f>RepInCongressCongressionalDistrict6General[[#This Row],[Part of Queens County Vote Results]]</f>
        <v>27</v>
      </c>
      <c r="D10" s="11"/>
    </row>
    <row r="11" spans="1:4" ht="13.8" x14ac:dyDescent="0.3">
      <c r="A11" s="3" t="s">
        <v>6</v>
      </c>
      <c r="B11" s="2">
        <v>223</v>
      </c>
      <c r="C11" s="9">
        <f>RepInCongressCongressionalDistrict6General[[#This Row],[Part of Queens County Vote Results]]</f>
        <v>223</v>
      </c>
      <c r="D11" s="11"/>
    </row>
    <row r="12" spans="1:4" ht="13.8" x14ac:dyDescent="0.3">
      <c r="A12" s="13" t="s">
        <v>2</v>
      </c>
      <c r="B12" s="2">
        <f>SUM(RepInCongressCongressionalDistrict6General[Part of Queens County Vote Results])</f>
        <v>249493</v>
      </c>
      <c r="C12" s="9">
        <f>SUM(RepInCongressCongressionalDistrict6General[Total Votes by Party])</f>
        <v>249493</v>
      </c>
      <c r="D12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4203-7B91-4871-8F77-A9608FDDDE30}">
  <dimension ref="A1:F11"/>
  <sheetViews>
    <sheetView topLeftCell="A2" zoomScaleNormal="100" zoomScaleSheetLayoutView="110" workbookViewId="0">
      <selection activeCell="D16" sqref="D15:D16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24.75" customHeight="1" x14ac:dyDescent="0.25">
      <c r="A1" s="27" t="s">
        <v>74</v>
      </c>
    </row>
    <row r="2" spans="1:6" ht="27.6" x14ac:dyDescent="0.25">
      <c r="A2" s="5" t="s">
        <v>5</v>
      </c>
      <c r="B2" s="6" t="s">
        <v>75</v>
      </c>
      <c r="C2" s="6" t="s">
        <v>76</v>
      </c>
      <c r="D2" s="6" t="s">
        <v>53</v>
      </c>
      <c r="E2" s="7" t="s">
        <v>3</v>
      </c>
      <c r="F2" s="8" t="s">
        <v>4</v>
      </c>
    </row>
    <row r="3" spans="1:6" ht="13.8" x14ac:dyDescent="0.3">
      <c r="A3" s="1" t="s">
        <v>77</v>
      </c>
      <c r="B3" s="24">
        <v>113835</v>
      </c>
      <c r="C3" s="2">
        <v>21337</v>
      </c>
      <c r="D3" s="26">
        <v>21717</v>
      </c>
      <c r="E3" s="9">
        <f>SUM(RepInCongressCongressionalDistrict7General[[#This Row],[Part of Kings County Vote Results]:[Part of Queens County Vote Results]])</f>
        <v>156889</v>
      </c>
      <c r="F3" s="10">
        <f>SUM(RepInCongressCongressionalDistrict7General[[#This Row],[Total Votes by Party]],E6)</f>
        <v>191073</v>
      </c>
    </row>
    <row r="4" spans="1:6" ht="13.8" x14ac:dyDescent="0.3">
      <c r="A4" s="1" t="s">
        <v>78</v>
      </c>
      <c r="B4" s="24">
        <v>19278</v>
      </c>
      <c r="C4" s="2">
        <v>4007</v>
      </c>
      <c r="D4" s="26">
        <v>6119</v>
      </c>
      <c r="E4" s="9">
        <f>SUM(RepInCongressCongressionalDistrict7General[[#This Row],[Part of Kings County Vote Results]:[Part of Queens County Vote Results]])</f>
        <v>29404</v>
      </c>
      <c r="F4" s="10">
        <f>SUM(RepInCongressCongressionalDistrict7General[[#This Row],[Total Votes by Party]],E5)</f>
        <v>32520</v>
      </c>
    </row>
    <row r="5" spans="1:6" ht="13.8" x14ac:dyDescent="0.3">
      <c r="A5" s="1" t="s">
        <v>79</v>
      </c>
      <c r="B5" s="24">
        <v>2120</v>
      </c>
      <c r="C5" s="2">
        <v>378</v>
      </c>
      <c r="D5" s="25">
        <v>618</v>
      </c>
      <c r="E5" s="9">
        <f>SUM(RepInCongressCongressionalDistrict7General[[#This Row],[Part of Kings County Vote Results]:[Part of Queens County Vote Results]])</f>
        <v>3116</v>
      </c>
      <c r="F5" s="11"/>
    </row>
    <row r="6" spans="1:6" ht="13.8" x14ac:dyDescent="0.3">
      <c r="A6" s="1" t="s">
        <v>80</v>
      </c>
      <c r="B6" s="24">
        <v>27314</v>
      </c>
      <c r="C6" s="2">
        <v>3314</v>
      </c>
      <c r="D6" s="26">
        <v>3556</v>
      </c>
      <c r="E6" s="9">
        <f>SUM(RepInCongressCongressionalDistrict7General[[#This Row],[Part of Kings County Vote Results]:[Part of Queens County Vote Results]])</f>
        <v>34184</v>
      </c>
      <c r="F6" s="11"/>
    </row>
    <row r="7" spans="1:6" ht="13.8" x14ac:dyDescent="0.3">
      <c r="A7" s="3" t="s">
        <v>81</v>
      </c>
      <c r="B7" s="24">
        <v>1099</v>
      </c>
      <c r="C7" s="2">
        <v>235</v>
      </c>
      <c r="D7" s="25">
        <v>188</v>
      </c>
      <c r="E7" s="9">
        <f>SUM(RepInCongressCongressionalDistrict7General[[#This Row],[Part of Kings County Vote Results]:[Part of Queens County Vote Results]])</f>
        <v>1522</v>
      </c>
      <c r="F7" s="10">
        <f>SUM(RepInCongressCongressionalDistrict7General[[#This Row],[Total Votes by Party]])</f>
        <v>1522</v>
      </c>
    </row>
    <row r="8" spans="1:6" ht="13.8" x14ac:dyDescent="0.3">
      <c r="A8" s="3" t="s">
        <v>0</v>
      </c>
      <c r="B8" s="23">
        <v>5881</v>
      </c>
      <c r="C8" s="2">
        <v>2136</v>
      </c>
      <c r="D8" s="2">
        <v>1681</v>
      </c>
      <c r="E8" s="9">
        <f>SUM(RepInCongressCongressionalDistrict7General[[#This Row],[Part of Kings County Vote Results]:[Part of Queens County Vote Results]])</f>
        <v>9698</v>
      </c>
      <c r="F8" s="11"/>
    </row>
    <row r="9" spans="1:6" ht="13.8" x14ac:dyDescent="0.3">
      <c r="A9" s="3" t="s">
        <v>1</v>
      </c>
      <c r="B9" s="23">
        <v>10</v>
      </c>
      <c r="C9" s="2">
        <v>0</v>
      </c>
      <c r="D9" s="2">
        <v>8</v>
      </c>
      <c r="E9" s="9">
        <f>SUM(RepInCongressCongressionalDistrict7General[[#This Row],[Part of Kings County Vote Results]:[Part of Queens County Vote Results]])</f>
        <v>18</v>
      </c>
      <c r="F9" s="11"/>
    </row>
    <row r="10" spans="1:6" ht="13.8" x14ac:dyDescent="0.3">
      <c r="A10" s="3" t="s">
        <v>6</v>
      </c>
      <c r="B10" s="23">
        <v>255</v>
      </c>
      <c r="C10" s="2">
        <v>47</v>
      </c>
      <c r="D10" s="2">
        <v>36</v>
      </c>
      <c r="E10" s="9">
        <f>SUM(RepInCongressCongressionalDistrict7General[[#This Row],[Part of Kings County Vote Results]:[Part of Queens County Vote Results]])</f>
        <v>338</v>
      </c>
      <c r="F10" s="11"/>
    </row>
    <row r="11" spans="1:6" ht="13.8" x14ac:dyDescent="0.3">
      <c r="A11" s="13" t="s">
        <v>2</v>
      </c>
      <c r="B11" s="2">
        <f>SUM(RepInCongressCongressionalDistrict7General[Part of Kings County Vote Results])</f>
        <v>169792</v>
      </c>
      <c r="C11" s="2">
        <f>SUM(RepInCongressCongressionalDistrict7General[Part of New York County Vote Results])</f>
        <v>31454</v>
      </c>
      <c r="D11" s="2">
        <f>SUM(RepInCongressCongressionalDistrict7General[Part of Queens County Vote Results])</f>
        <v>33923</v>
      </c>
      <c r="E11" s="9">
        <f>SUM(RepInCongressCongressionalDistrict7General[Total Votes by Party])</f>
        <v>235169</v>
      </c>
      <c r="F11" s="11"/>
    </row>
  </sheetData>
  <pageMargins left="0.7" right="0.7" top="0.75" bottom="0.75" header="0.3" footer="0.3"/>
  <pageSetup scale="97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F788-3C13-47C5-A88D-A33B2FB35EA4}">
  <dimension ref="A1:E10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75" customHeight="1" x14ac:dyDescent="0.25">
      <c r="A1" s="27" t="s">
        <v>82</v>
      </c>
    </row>
    <row r="2" spans="1:5" ht="27.6" x14ac:dyDescent="0.25">
      <c r="A2" s="5" t="s">
        <v>5</v>
      </c>
      <c r="B2" s="6" t="s">
        <v>75</v>
      </c>
      <c r="C2" s="6" t="s">
        <v>53</v>
      </c>
      <c r="D2" s="7" t="s">
        <v>3</v>
      </c>
      <c r="E2" s="8" t="s">
        <v>4</v>
      </c>
    </row>
    <row r="3" spans="1:5" ht="13.8" x14ac:dyDescent="0.3">
      <c r="A3" s="1" t="s">
        <v>83</v>
      </c>
      <c r="B3" s="24">
        <v>198307</v>
      </c>
      <c r="C3" s="26">
        <v>8804</v>
      </c>
      <c r="D3" s="9">
        <f>SUM(RepInCongressCongressionalDistrict8General[[#This Row],[Part of Kings County Vote Results]:[Part of Queens County Vote Results]])</f>
        <v>207111</v>
      </c>
      <c r="E3" s="10">
        <f>SUM(RepInCongressCongressionalDistrict8General[[#This Row],[Total Votes by Party]],D6)</f>
        <v>234933</v>
      </c>
    </row>
    <row r="4" spans="1:5" ht="13.8" x14ac:dyDescent="0.3">
      <c r="A4" s="1" t="s">
        <v>84</v>
      </c>
      <c r="B4" s="24">
        <v>30934</v>
      </c>
      <c r="C4" s="26">
        <v>8190</v>
      </c>
      <c r="D4" s="9">
        <f>SUM(RepInCongressCongressionalDistrict8General[[#This Row],[Part of Kings County Vote Results]:[Part of Queens County Vote Results]])</f>
        <v>39124</v>
      </c>
      <c r="E4" s="10">
        <f>SUM(RepInCongressCongressionalDistrict8General[[#This Row],[Total Votes by Party]],D5)</f>
        <v>42007</v>
      </c>
    </row>
    <row r="5" spans="1:5" ht="13.8" x14ac:dyDescent="0.3">
      <c r="A5" s="1" t="s">
        <v>85</v>
      </c>
      <c r="B5" s="24">
        <v>2237</v>
      </c>
      <c r="C5" s="25">
        <v>646</v>
      </c>
      <c r="D5" s="9">
        <f>SUM(RepInCongressCongressionalDistrict8General[[#This Row],[Part of Kings County Vote Results]:[Part of Queens County Vote Results]])</f>
        <v>2883</v>
      </c>
      <c r="E5" s="11"/>
    </row>
    <row r="6" spans="1:5" ht="13.8" x14ac:dyDescent="0.3">
      <c r="A6" s="1" t="s">
        <v>86</v>
      </c>
      <c r="B6" s="24">
        <v>27136</v>
      </c>
      <c r="C6" s="25">
        <v>686</v>
      </c>
      <c r="D6" s="9">
        <f>SUM(RepInCongressCongressionalDistrict8General[[#This Row],[Part of Kings County Vote Results]:[Part of Queens County Vote Results]])</f>
        <v>27822</v>
      </c>
      <c r="E6" s="11"/>
    </row>
    <row r="7" spans="1:5" ht="13.8" x14ac:dyDescent="0.3">
      <c r="A7" s="3" t="s">
        <v>0</v>
      </c>
      <c r="B7" s="23">
        <v>7262</v>
      </c>
      <c r="C7" s="2">
        <v>1294</v>
      </c>
      <c r="D7" s="9">
        <f>SUM(RepInCongressCongressionalDistrict8General[[#This Row],[Part of Kings County Vote Results]:[Part of Queens County Vote Results]])</f>
        <v>8556</v>
      </c>
      <c r="E7" s="11"/>
    </row>
    <row r="8" spans="1:5" ht="13.8" x14ac:dyDescent="0.3">
      <c r="A8" s="3" t="s">
        <v>1</v>
      </c>
      <c r="B8" s="23">
        <v>7</v>
      </c>
      <c r="C8" s="2">
        <v>3</v>
      </c>
      <c r="D8" s="9">
        <f>SUM(RepInCongressCongressionalDistrict8General[[#This Row],[Part of Kings County Vote Results]:[Part of Queens County Vote Results]])</f>
        <v>10</v>
      </c>
      <c r="E8" s="11"/>
    </row>
    <row r="9" spans="1:5" ht="13.8" x14ac:dyDescent="0.3">
      <c r="A9" s="3" t="s">
        <v>6</v>
      </c>
      <c r="B9" s="23">
        <v>218</v>
      </c>
      <c r="C9" s="2">
        <v>11</v>
      </c>
      <c r="D9" s="9">
        <f>SUM(RepInCongressCongressionalDistrict8General[[#This Row],[Part of Kings County Vote Results]:[Part of Queens County Vote Results]])</f>
        <v>229</v>
      </c>
      <c r="E9" s="11"/>
    </row>
    <row r="10" spans="1:5" ht="13.8" x14ac:dyDescent="0.3">
      <c r="A10" s="13" t="s">
        <v>2</v>
      </c>
      <c r="B10" s="2">
        <f>SUM(RepInCongressCongressionalDistrict8General[Part of Kings County Vote Results])</f>
        <v>266101</v>
      </c>
      <c r="C10" s="2">
        <f>SUM(RepInCongressCongressionalDistrict8General[Part of Queens County Vote Results])</f>
        <v>19634</v>
      </c>
      <c r="D10" s="9">
        <f>SUM(RepInCongressCongressionalDistrict8General[Total Votes by Party])</f>
        <v>285735</v>
      </c>
      <c r="E10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B10B-F02B-48E6-9694-0A982CCEEB9E}">
  <dimension ref="A1:D12"/>
  <sheetViews>
    <sheetView workbookViewId="0">
      <selection activeCell="C15" sqref="C15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7" t="s">
        <v>87</v>
      </c>
    </row>
    <row r="2" spans="1:4" ht="24.9" customHeight="1" x14ac:dyDescent="0.25">
      <c r="A2" s="5" t="s">
        <v>5</v>
      </c>
      <c r="B2" s="6" t="s">
        <v>75</v>
      </c>
      <c r="C2" s="7" t="s">
        <v>3</v>
      </c>
      <c r="D2" s="8" t="s">
        <v>4</v>
      </c>
    </row>
    <row r="3" spans="1:4" ht="13.8" x14ac:dyDescent="0.3">
      <c r="A3" s="1" t="s">
        <v>88</v>
      </c>
      <c r="B3" s="24">
        <v>195758</v>
      </c>
      <c r="C3" s="9">
        <f>RepInCongressCongressionalDistrict9General[[#This Row],[Part of Kings County Vote Results]]</f>
        <v>195758</v>
      </c>
      <c r="D3" s="10">
        <f>SUM(RepInCongressCongressionalDistrict9General[[#This Row],[Total Votes by Party]],C6)</f>
        <v>230221</v>
      </c>
    </row>
    <row r="4" spans="1:4" ht="13.8" x14ac:dyDescent="0.3">
      <c r="A4" s="1" t="s">
        <v>89</v>
      </c>
      <c r="B4" s="24">
        <v>40110</v>
      </c>
      <c r="C4" s="9">
        <f>RepInCongressCongressionalDistrict9General[[#This Row],[Part of Kings County Vote Results]]</f>
        <v>40110</v>
      </c>
      <c r="D4" s="10">
        <f>SUM(RepInCongressCongressionalDistrict9General[[#This Row],[Total Votes by Party]],C5)</f>
        <v>43950</v>
      </c>
    </row>
    <row r="5" spans="1:4" ht="13.8" x14ac:dyDescent="0.3">
      <c r="A5" s="1" t="s">
        <v>90</v>
      </c>
      <c r="B5" s="24">
        <v>3840</v>
      </c>
      <c r="C5" s="9">
        <f>RepInCongressCongressionalDistrict9General[[#This Row],[Part of Kings County Vote Results]]</f>
        <v>3840</v>
      </c>
      <c r="D5" s="11"/>
    </row>
    <row r="6" spans="1:4" ht="13.8" x14ac:dyDescent="0.3">
      <c r="A6" s="1" t="s">
        <v>91</v>
      </c>
      <c r="B6" s="24">
        <v>34463</v>
      </c>
      <c r="C6" s="9">
        <f>RepInCongressCongressionalDistrict9General[[#This Row],[Part of Kings County Vote Results]]</f>
        <v>34463</v>
      </c>
      <c r="D6" s="11"/>
    </row>
    <row r="7" spans="1:4" ht="13.8" x14ac:dyDescent="0.3">
      <c r="A7" s="1" t="s">
        <v>92</v>
      </c>
      <c r="B7" s="24">
        <v>1644</v>
      </c>
      <c r="C7" s="9">
        <f>RepInCongressCongressionalDistrict9General[[#This Row],[Part of Kings County Vote Results]]</f>
        <v>1644</v>
      </c>
      <c r="D7" s="10">
        <f>RepInCongressCongressionalDistrict9General[[#This Row],[Total Votes by Party]]</f>
        <v>1644</v>
      </c>
    </row>
    <row r="8" spans="1:4" ht="13.8" x14ac:dyDescent="0.3">
      <c r="A8" s="1" t="s">
        <v>93</v>
      </c>
      <c r="B8" s="24">
        <v>1052</v>
      </c>
      <c r="C8" s="9">
        <f>RepInCongressCongressionalDistrict9General[[#This Row],[Part of Kings County Vote Results]]</f>
        <v>1052</v>
      </c>
      <c r="D8" s="10">
        <f>RepInCongressCongressionalDistrict9General[[#This Row],[Total Votes by Party]]</f>
        <v>1052</v>
      </c>
    </row>
    <row r="9" spans="1:4" ht="13.8" x14ac:dyDescent="0.3">
      <c r="A9" s="3" t="s">
        <v>0</v>
      </c>
      <c r="B9" s="23">
        <v>10157</v>
      </c>
      <c r="C9" s="9">
        <f>RepInCongressCongressionalDistrict9General[[#This Row],[Part of Kings County Vote Results]]</f>
        <v>10157</v>
      </c>
      <c r="D9" s="11"/>
    </row>
    <row r="10" spans="1:4" ht="13.8" x14ac:dyDescent="0.3">
      <c r="A10" s="3" t="s">
        <v>1</v>
      </c>
      <c r="B10" s="23">
        <v>7</v>
      </c>
      <c r="C10" s="9">
        <f>RepInCongressCongressionalDistrict9General[[#This Row],[Part of Kings County Vote Results]]</f>
        <v>7</v>
      </c>
      <c r="D10" s="11"/>
    </row>
    <row r="11" spans="1:4" ht="13.8" x14ac:dyDescent="0.3">
      <c r="A11" s="3" t="s">
        <v>6</v>
      </c>
      <c r="B11" s="23">
        <v>381</v>
      </c>
      <c r="C11" s="9">
        <f>RepInCongressCongressionalDistrict9General[[#This Row],[Part of Kings County Vote Results]]</f>
        <v>381</v>
      </c>
      <c r="D11" s="11"/>
    </row>
    <row r="12" spans="1:4" ht="13.8" x14ac:dyDescent="0.3">
      <c r="A12" s="13" t="s">
        <v>2</v>
      </c>
      <c r="B12" s="2">
        <f>SUM(RepInCongressCongressionalDistrict9General[Part of Kings County Vote Results])</f>
        <v>287412</v>
      </c>
      <c r="C12" s="9">
        <f>SUM(RepInCongressCongressionalDistrict9General[Total Votes by Party])</f>
        <v>287412</v>
      </c>
      <c r="D12" s="11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1st CD</vt:lpstr>
      <vt:lpstr>2nd CD</vt:lpstr>
      <vt:lpstr>3rd CD</vt:lpstr>
      <vt:lpstr>4th CD</vt:lpstr>
      <vt:lpstr>5th CD</vt:lpstr>
      <vt:lpstr>6th CD</vt:lpstr>
      <vt:lpstr>7th CD</vt:lpstr>
      <vt:lpstr>8th CD</vt:lpstr>
      <vt:lpstr>9th CD</vt:lpstr>
      <vt:lpstr>10th CD</vt:lpstr>
      <vt:lpstr>11th CD</vt:lpstr>
      <vt:lpstr>12th CD</vt:lpstr>
      <vt:lpstr>13th CD</vt:lpstr>
      <vt:lpstr>14th CD</vt:lpstr>
      <vt:lpstr>15th CD</vt:lpstr>
      <vt:lpstr>16th CD</vt:lpstr>
      <vt:lpstr>17th CD</vt:lpstr>
      <vt:lpstr>18th CD</vt:lpstr>
      <vt:lpstr>19th CD</vt:lpstr>
      <vt:lpstr>20th CD</vt:lpstr>
      <vt:lpstr>21st CD</vt:lpstr>
      <vt:lpstr>22nd CD</vt:lpstr>
      <vt:lpstr>23rd CD</vt:lpstr>
      <vt:lpstr>24th CD</vt:lpstr>
      <vt:lpstr>25th CD</vt:lpstr>
      <vt:lpstr>26th CD</vt:lpstr>
      <vt:lpstr>27th CD</vt:lpstr>
      <vt:lpstr>'1st CD'!Print_Area</vt:lpstr>
    </vt:vector>
  </TitlesOfParts>
  <Manager/>
  <Company>NYSBOE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pjorczak</dc:creator>
  <cp:keywords/>
  <dc:description/>
  <cp:lastModifiedBy>Joyce Cornell</cp:lastModifiedBy>
  <cp:revision/>
  <dcterms:created xsi:type="dcterms:W3CDTF">2008-10-28T18:22:21Z</dcterms:created>
  <dcterms:modified xsi:type="dcterms:W3CDTF">2020-12-03T17:57:53Z</dcterms:modified>
  <cp:category/>
  <cp:contentStatus/>
</cp:coreProperties>
</file>