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Current Code\NYSBOE\Elections\2020\General\"/>
    </mc:Choice>
  </mc:AlternateContent>
  <xr:revisionPtr revIDLastSave="0" documentId="8_{B43C6C67-BBF9-4D4A-8A8B-E0A88F53A9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1st SD" sheetId="4" r:id="rId1"/>
    <sheet name="2nd SD" sheetId="297" r:id="rId2"/>
    <sheet name="3rd SD" sheetId="298" r:id="rId3"/>
    <sheet name="4th SD" sheetId="299" r:id="rId4"/>
    <sheet name="5th SD" sheetId="300" r:id="rId5"/>
    <sheet name="6th SD" sheetId="301" r:id="rId6"/>
    <sheet name="7th SD" sheetId="302" r:id="rId7"/>
    <sheet name="8th SD" sheetId="303" r:id="rId8"/>
    <sheet name="9th SD" sheetId="304" r:id="rId9"/>
    <sheet name="10th SD" sheetId="305" r:id="rId10"/>
    <sheet name="11th SD" sheetId="306" r:id="rId11"/>
    <sheet name="12th SD" sheetId="307" r:id="rId12"/>
    <sheet name="13th SD" sheetId="308" r:id="rId13"/>
    <sheet name="14th SD" sheetId="309" r:id="rId14"/>
    <sheet name="15th SD" sheetId="310" r:id="rId15"/>
    <sheet name="16th SD" sheetId="311" r:id="rId16"/>
    <sheet name="17th SD" sheetId="312" r:id="rId17"/>
    <sheet name="18th SD" sheetId="313" r:id="rId18"/>
    <sheet name="19th SD" sheetId="314" r:id="rId19"/>
    <sheet name="20th SD" sheetId="315" r:id="rId20"/>
    <sheet name="21st SD" sheetId="316" r:id="rId21"/>
    <sheet name="22nd SD" sheetId="317" r:id="rId22"/>
    <sheet name="23rd SD" sheetId="318" r:id="rId23"/>
    <sheet name="24th SD" sheetId="319" r:id="rId24"/>
    <sheet name="25th SD" sheetId="320" r:id="rId25"/>
    <sheet name="26th SD" sheetId="321" r:id="rId26"/>
    <sheet name="27th SD" sheetId="322" r:id="rId27"/>
    <sheet name="28th SD" sheetId="323" r:id="rId28"/>
    <sheet name="29th SD" sheetId="324" r:id="rId29"/>
    <sheet name="30th SD" sheetId="325" r:id="rId30"/>
    <sheet name="31st SD" sheetId="326" r:id="rId31"/>
    <sheet name="32nd SD" sheetId="327" r:id="rId32"/>
    <sheet name="33rd SD" sheetId="328" r:id="rId33"/>
    <sheet name="34th SD" sheetId="329" r:id="rId34"/>
    <sheet name="35th SD" sheetId="330" r:id="rId35"/>
    <sheet name="36th SD" sheetId="331" r:id="rId36"/>
    <sheet name="37th SD" sheetId="332" r:id="rId37"/>
    <sheet name="38th SD" sheetId="333" r:id="rId38"/>
    <sheet name="39th SD" sheetId="334" r:id="rId39"/>
    <sheet name="40th SD" sheetId="335" r:id="rId40"/>
    <sheet name="41st SD" sheetId="336" r:id="rId41"/>
    <sheet name="42nd SD" sheetId="337" r:id="rId42"/>
    <sheet name="43rd SD" sheetId="338" r:id="rId43"/>
    <sheet name="44th SD" sheetId="339" r:id="rId44"/>
    <sheet name="45th SD" sheetId="340" r:id="rId45"/>
    <sheet name="46th SD" sheetId="341" r:id="rId46"/>
    <sheet name="47th SD" sheetId="342" r:id="rId47"/>
    <sheet name="48th SD" sheetId="343" r:id="rId48"/>
    <sheet name="49th SD" sheetId="344" r:id="rId49"/>
    <sheet name="50th SD" sheetId="345" r:id="rId50"/>
    <sheet name="51st SD" sheetId="346" r:id="rId51"/>
    <sheet name="52nd SD" sheetId="347" r:id="rId52"/>
    <sheet name="53rd SD" sheetId="348" r:id="rId53"/>
    <sheet name="54th SD" sheetId="349" r:id="rId54"/>
    <sheet name="55th SD" sheetId="350" r:id="rId55"/>
    <sheet name="56th SD" sheetId="351" r:id="rId56"/>
    <sheet name="57th SD" sheetId="352" r:id="rId57"/>
    <sheet name="58th SD" sheetId="353" r:id="rId58"/>
    <sheet name="59th SD" sheetId="354" r:id="rId59"/>
    <sheet name="60th SD" sheetId="355" r:id="rId60"/>
    <sheet name="61st SD" sheetId="356" r:id="rId61"/>
    <sheet name="62nd SD" sheetId="357" r:id="rId62"/>
    <sheet name="63rd SD" sheetId="358" r:id="rId63"/>
  </sheets>
  <definedNames>
    <definedName name="_xlnm.Print_Area" localSheetId="0">'1st SD'!$A$1:$D$10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36" l="1"/>
  <c r="B10" i="335"/>
  <c r="C9" i="347"/>
  <c r="F7" i="352" l="1"/>
  <c r="F6" i="352"/>
  <c r="D8" i="350"/>
  <c r="E8" i="348" l="1"/>
  <c r="C7" i="332"/>
  <c r="C6" i="319" l="1"/>
  <c r="C5" i="319"/>
  <c r="C4" i="319"/>
  <c r="C5" i="313"/>
  <c r="D5" i="313" s="1"/>
  <c r="C4" i="313"/>
  <c r="C3" i="297"/>
  <c r="D3" i="297" s="1"/>
  <c r="C4" i="297"/>
  <c r="C5" i="297"/>
  <c r="C6" i="297"/>
  <c r="C7" i="297"/>
  <c r="C8" i="297"/>
  <c r="C9" i="297"/>
  <c r="D4" i="297" l="1"/>
  <c r="B9" i="358" l="1"/>
  <c r="D9" i="357"/>
  <c r="C9" i="357"/>
  <c r="B9" i="357"/>
  <c r="D11" i="356"/>
  <c r="C11" i="356"/>
  <c r="B11" i="356"/>
  <c r="B11" i="355"/>
  <c r="E10" i="354"/>
  <c r="D10" i="354"/>
  <c r="C10" i="354"/>
  <c r="B10" i="354"/>
  <c r="F12" i="353"/>
  <c r="E12" i="353"/>
  <c r="D12" i="353"/>
  <c r="C12" i="353"/>
  <c r="B12" i="353"/>
  <c r="E12" i="352"/>
  <c r="D12" i="352"/>
  <c r="C12" i="352"/>
  <c r="B12" i="352"/>
  <c r="B11" i="351"/>
  <c r="C12" i="350"/>
  <c r="B12" i="350"/>
  <c r="G11" i="349"/>
  <c r="F11" i="349"/>
  <c r="E11" i="349"/>
  <c r="D11" i="349"/>
  <c r="C11" i="349"/>
  <c r="B11" i="349"/>
  <c r="D13" i="348"/>
  <c r="C13" i="348"/>
  <c r="B13" i="348"/>
  <c r="E10" i="347"/>
  <c r="D10" i="347"/>
  <c r="C10" i="347"/>
  <c r="B10" i="347"/>
  <c r="J10" i="346"/>
  <c r="I10" i="346"/>
  <c r="H10" i="346"/>
  <c r="G10" i="346"/>
  <c r="F10" i="346"/>
  <c r="E10" i="346"/>
  <c r="D10" i="346"/>
  <c r="C10" i="346"/>
  <c r="B10" i="346"/>
  <c r="C11" i="345"/>
  <c r="B11" i="345"/>
  <c r="F10" i="344"/>
  <c r="E10" i="344"/>
  <c r="D10" i="344"/>
  <c r="C10" i="344"/>
  <c r="B10" i="344"/>
  <c r="D9" i="343"/>
  <c r="C9" i="343"/>
  <c r="B9" i="343"/>
  <c r="D9" i="342"/>
  <c r="C9" i="342"/>
  <c r="B9" i="342"/>
  <c r="F12" i="341"/>
  <c r="E12" i="341"/>
  <c r="D12" i="341"/>
  <c r="C12" i="341"/>
  <c r="B12" i="341"/>
  <c r="G11" i="340"/>
  <c r="F11" i="340"/>
  <c r="E11" i="340"/>
  <c r="D11" i="340"/>
  <c r="C11" i="340"/>
  <c r="B11" i="340"/>
  <c r="C10" i="339"/>
  <c r="B10" i="339"/>
  <c r="E11" i="338"/>
  <c r="D11" i="338"/>
  <c r="C11" i="338"/>
  <c r="B11" i="338"/>
  <c r="E12" i="337"/>
  <c r="D12" i="337"/>
  <c r="C12" i="337"/>
  <c r="B12" i="337"/>
  <c r="C13" i="336"/>
  <c r="B13" i="336"/>
  <c r="D12" i="335"/>
  <c r="C12" i="335"/>
  <c r="B12" i="335"/>
  <c r="D11" i="334"/>
  <c r="C11" i="334"/>
  <c r="B11" i="334"/>
  <c r="C10" i="333" l="1"/>
  <c r="B10" i="333"/>
  <c r="B11" i="332"/>
  <c r="C8" i="331"/>
  <c r="B8" i="331"/>
  <c r="B8" i="330"/>
  <c r="C10" i="329"/>
  <c r="B10" i="329"/>
  <c r="B10" i="328"/>
  <c r="B8" i="327"/>
  <c r="B9" i="326"/>
  <c r="B8" i="325"/>
  <c r="C8" i="324"/>
  <c r="B8" i="324"/>
  <c r="B10" i="323"/>
  <c r="B8" i="322"/>
  <c r="C9" i="321"/>
  <c r="B9" i="321"/>
  <c r="B8" i="320"/>
  <c r="B9" i="319"/>
  <c r="C10" i="318"/>
  <c r="B10" i="318"/>
  <c r="B12" i="317"/>
  <c r="B7" i="316"/>
  <c r="B9" i="315"/>
  <c r="B7" i="314"/>
  <c r="B9" i="313"/>
  <c r="B9" i="312"/>
  <c r="B7" i="311"/>
  <c r="B10" i="310"/>
  <c r="B7" i="309"/>
  <c r="B11" i="308"/>
  <c r="B8" i="307"/>
  <c r="B11" i="306"/>
  <c r="B8" i="305"/>
  <c r="B10" i="304"/>
  <c r="C9" i="303"/>
  <c r="B9" i="303"/>
  <c r="B12" i="302"/>
  <c r="B12" i="301"/>
  <c r="C13" i="300"/>
  <c r="B13" i="300"/>
  <c r="B11" i="299"/>
  <c r="B10" i="298"/>
  <c r="B10" i="4"/>
  <c r="C10" i="332" l="1"/>
  <c r="C9" i="332"/>
  <c r="C8" i="332"/>
  <c r="C6" i="332"/>
  <c r="C5" i="332"/>
  <c r="C4" i="332"/>
  <c r="C3" i="332"/>
  <c r="D3" i="332" l="1"/>
  <c r="D4" i="332"/>
  <c r="C11" i="332"/>
  <c r="K8" i="346" l="1"/>
  <c r="K6" i="346"/>
  <c r="K4" i="346"/>
  <c r="K3" i="346"/>
  <c r="L3" i="346" s="1"/>
  <c r="E11" i="348"/>
  <c r="E9" i="348"/>
  <c r="E5" i="348"/>
  <c r="E3" i="348"/>
  <c r="C3" i="358" l="1"/>
  <c r="C4" i="358"/>
  <c r="C5" i="358"/>
  <c r="C6" i="358"/>
  <c r="C7" i="358"/>
  <c r="C8" i="358"/>
  <c r="E3" i="357"/>
  <c r="E4" i="357"/>
  <c r="E5" i="357"/>
  <c r="E6" i="357"/>
  <c r="E7" i="357"/>
  <c r="E8" i="357"/>
  <c r="E3" i="356"/>
  <c r="F3" i="356" s="1"/>
  <c r="E4" i="356"/>
  <c r="E5" i="356"/>
  <c r="E6" i="356"/>
  <c r="E7" i="356"/>
  <c r="E8" i="356"/>
  <c r="E9" i="356"/>
  <c r="E10" i="356"/>
  <c r="C3" i="355"/>
  <c r="C4" i="355"/>
  <c r="C5" i="355"/>
  <c r="C6" i="355"/>
  <c r="C7" i="355"/>
  <c r="C8" i="355"/>
  <c r="C9" i="355"/>
  <c r="C10" i="355"/>
  <c r="F3" i="354"/>
  <c r="G3" i="354" s="1"/>
  <c r="F4" i="354"/>
  <c r="F5" i="354"/>
  <c r="F6" i="354"/>
  <c r="F7" i="354"/>
  <c r="F8" i="354"/>
  <c r="F9" i="354"/>
  <c r="G3" i="353"/>
  <c r="G4" i="353"/>
  <c r="G5" i="353"/>
  <c r="G6" i="353"/>
  <c r="G7" i="353"/>
  <c r="G8" i="353"/>
  <c r="G9" i="353"/>
  <c r="G10" i="353"/>
  <c r="G11" i="353"/>
  <c r="F3" i="352"/>
  <c r="G3" i="352" s="1"/>
  <c r="F4" i="352"/>
  <c r="F5" i="352"/>
  <c r="F8" i="352"/>
  <c r="F9" i="352"/>
  <c r="F10" i="352"/>
  <c r="F11" i="352"/>
  <c r="C3" i="351"/>
  <c r="C4" i="351"/>
  <c r="C5" i="351"/>
  <c r="C6" i="351"/>
  <c r="C7" i="351"/>
  <c r="C8" i="351"/>
  <c r="C9" i="351"/>
  <c r="C10" i="351"/>
  <c r="D3" i="350"/>
  <c r="D4" i="350"/>
  <c r="D5" i="350"/>
  <c r="D6" i="350"/>
  <c r="D7" i="350"/>
  <c r="D9" i="350"/>
  <c r="D10" i="350"/>
  <c r="D11" i="350"/>
  <c r="H3" i="349"/>
  <c r="I3" i="349" s="1"/>
  <c r="H4" i="349"/>
  <c r="H5" i="349"/>
  <c r="H6" i="349"/>
  <c r="H7" i="349"/>
  <c r="H8" i="349"/>
  <c r="H9" i="349"/>
  <c r="H10" i="349"/>
  <c r="E4" i="348"/>
  <c r="F4" i="348" s="1"/>
  <c r="E6" i="348"/>
  <c r="F3" i="348" s="1"/>
  <c r="E7" i="348"/>
  <c r="F7" i="348" s="1"/>
  <c r="E10" i="348"/>
  <c r="E12" i="348"/>
  <c r="F3" i="347"/>
  <c r="F4" i="347"/>
  <c r="F5" i="347"/>
  <c r="G5" i="347" s="1"/>
  <c r="F6" i="347"/>
  <c r="F7" i="347"/>
  <c r="F8" i="347"/>
  <c r="F9" i="347"/>
  <c r="K5" i="346"/>
  <c r="L4" i="346" s="1"/>
  <c r="K7" i="346"/>
  <c r="K9" i="346"/>
  <c r="D3" i="345"/>
  <c r="D4" i="345"/>
  <c r="D5" i="345"/>
  <c r="D6" i="345"/>
  <c r="D7" i="345"/>
  <c r="D8" i="345"/>
  <c r="D9" i="345"/>
  <c r="D10" i="345"/>
  <c r="G3" i="344"/>
  <c r="H3" i="344" s="1"/>
  <c r="G4" i="344"/>
  <c r="G5" i="344"/>
  <c r="G6" i="344"/>
  <c r="G7" i="344"/>
  <c r="G8" i="344"/>
  <c r="G9" i="344"/>
  <c r="E3" i="343"/>
  <c r="E4" i="343"/>
  <c r="E5" i="343"/>
  <c r="E6" i="343"/>
  <c r="E7" i="343"/>
  <c r="E8" i="343"/>
  <c r="E3" i="342"/>
  <c r="E4" i="342"/>
  <c r="E5" i="342"/>
  <c r="E6" i="342"/>
  <c r="E7" i="342"/>
  <c r="E8" i="342"/>
  <c r="G3" i="341"/>
  <c r="G4" i="341"/>
  <c r="G5" i="341"/>
  <c r="G6" i="341"/>
  <c r="G7" i="341"/>
  <c r="H7" i="341" s="1"/>
  <c r="G8" i="341"/>
  <c r="G9" i="341"/>
  <c r="G10" i="341"/>
  <c r="G11" i="341"/>
  <c r="H3" i="340"/>
  <c r="H4" i="340"/>
  <c r="H5" i="340"/>
  <c r="H6" i="340"/>
  <c r="H7" i="340"/>
  <c r="H8" i="340"/>
  <c r="H9" i="340"/>
  <c r="H10" i="340"/>
  <c r="D3" i="339"/>
  <c r="D4" i="339"/>
  <c r="E4" i="339" s="1"/>
  <c r="D5" i="339"/>
  <c r="D6" i="339"/>
  <c r="D7" i="339"/>
  <c r="D8" i="339"/>
  <c r="D9" i="339"/>
  <c r="F3" i="338"/>
  <c r="F4" i="338"/>
  <c r="F5" i="338"/>
  <c r="F6" i="338"/>
  <c r="F7" i="338"/>
  <c r="F8" i="338"/>
  <c r="F9" i="338"/>
  <c r="F10" i="338"/>
  <c r="F3" i="337"/>
  <c r="F4" i="337"/>
  <c r="F5" i="337"/>
  <c r="F6" i="337"/>
  <c r="F7" i="337"/>
  <c r="F8" i="337"/>
  <c r="F9" i="337"/>
  <c r="F10" i="337"/>
  <c r="F11" i="337"/>
  <c r="D3" i="336"/>
  <c r="D4" i="336"/>
  <c r="D5" i="336"/>
  <c r="D6" i="336"/>
  <c r="D7" i="336"/>
  <c r="D8" i="336"/>
  <c r="D9" i="336"/>
  <c r="D10" i="336"/>
  <c r="D11" i="336"/>
  <c r="D12" i="336"/>
  <c r="E3" i="335"/>
  <c r="E4" i="335"/>
  <c r="E5" i="335"/>
  <c r="E6" i="335"/>
  <c r="E7" i="335"/>
  <c r="E8" i="335"/>
  <c r="E9" i="335"/>
  <c r="E10" i="335"/>
  <c r="E11" i="335"/>
  <c r="E3" i="334"/>
  <c r="E4" i="334"/>
  <c r="E5" i="334"/>
  <c r="E6" i="334"/>
  <c r="E7" i="334"/>
  <c r="E8" i="334"/>
  <c r="E9" i="334"/>
  <c r="E10" i="334"/>
  <c r="D3" i="333"/>
  <c r="D4" i="333"/>
  <c r="D5" i="333"/>
  <c r="D6" i="333"/>
  <c r="D7" i="333"/>
  <c r="D8" i="333"/>
  <c r="D9" i="333"/>
  <c r="D3" i="331"/>
  <c r="E3" i="331" s="1"/>
  <c r="D4" i="331"/>
  <c r="E4" i="331" s="1"/>
  <c r="D5" i="331"/>
  <c r="D6" i="331"/>
  <c r="D7" i="331"/>
  <c r="C3" i="330"/>
  <c r="C4" i="330"/>
  <c r="C5" i="330"/>
  <c r="C6" i="330"/>
  <c r="C7" i="330"/>
  <c r="D3" i="329"/>
  <c r="D4" i="329"/>
  <c r="E4" i="329" s="1"/>
  <c r="D5" i="329"/>
  <c r="D6" i="329"/>
  <c r="D7" i="329"/>
  <c r="D8" i="329"/>
  <c r="D9" i="329"/>
  <c r="C3" i="328"/>
  <c r="C4" i="328"/>
  <c r="D4" i="328" s="1"/>
  <c r="C5" i="328"/>
  <c r="D5" i="328" s="1"/>
  <c r="C6" i="328"/>
  <c r="C8" i="328"/>
  <c r="C9" i="328"/>
  <c r="C3" i="327"/>
  <c r="D3" i="327" s="1"/>
  <c r="C4" i="327"/>
  <c r="D4" i="327" s="1"/>
  <c r="C5" i="327"/>
  <c r="C6" i="327"/>
  <c r="C7" i="327"/>
  <c r="C3" i="326"/>
  <c r="C4" i="326"/>
  <c r="D4" i="326" s="1"/>
  <c r="C5" i="326"/>
  <c r="C6" i="326"/>
  <c r="C7" i="326"/>
  <c r="C8" i="326"/>
  <c r="C3" i="325"/>
  <c r="C4" i="325"/>
  <c r="D4" i="325" s="1"/>
  <c r="C5" i="325"/>
  <c r="C6" i="325"/>
  <c r="C7" i="325"/>
  <c r="D3" i="324"/>
  <c r="D4" i="324"/>
  <c r="E4" i="324" s="1"/>
  <c r="D5" i="324"/>
  <c r="D6" i="324"/>
  <c r="D7" i="324"/>
  <c r="C3" i="323"/>
  <c r="C4" i="323"/>
  <c r="C5" i="323"/>
  <c r="C6" i="323"/>
  <c r="C7" i="323"/>
  <c r="C8" i="323"/>
  <c r="C9" i="323"/>
  <c r="C3" i="322"/>
  <c r="C4" i="322"/>
  <c r="C5" i="322"/>
  <c r="C6" i="322"/>
  <c r="C7" i="322"/>
  <c r="D3" i="321"/>
  <c r="E3" i="321" s="1"/>
  <c r="D4" i="321"/>
  <c r="D5" i="321"/>
  <c r="D6" i="321"/>
  <c r="D7" i="321"/>
  <c r="D8" i="321"/>
  <c r="C3" i="320"/>
  <c r="C4" i="320"/>
  <c r="C5" i="320"/>
  <c r="C6" i="320"/>
  <c r="C7" i="320"/>
  <c r="C3" i="319"/>
  <c r="D3" i="319" s="1"/>
  <c r="C7" i="319"/>
  <c r="C8" i="319"/>
  <c r="D3" i="318"/>
  <c r="D4" i="318"/>
  <c r="E4" i="318" s="1"/>
  <c r="D5" i="318"/>
  <c r="D6" i="318"/>
  <c r="E6" i="318" s="1"/>
  <c r="D7" i="318"/>
  <c r="D8" i="318"/>
  <c r="D9" i="318"/>
  <c r="C3" i="317"/>
  <c r="C4" i="317"/>
  <c r="C5" i="317"/>
  <c r="C6" i="317"/>
  <c r="C7" i="317"/>
  <c r="C8" i="317"/>
  <c r="C9" i="317"/>
  <c r="C10" i="317"/>
  <c r="C11" i="317"/>
  <c r="C3" i="316"/>
  <c r="D3" i="316" s="1"/>
  <c r="C4" i="316"/>
  <c r="C5" i="316"/>
  <c r="C6" i="316"/>
  <c r="C3" i="315"/>
  <c r="C4" i="315"/>
  <c r="C5" i="315"/>
  <c r="D5" i="315" s="1"/>
  <c r="C6" i="315"/>
  <c r="C7" i="315"/>
  <c r="C8" i="315"/>
  <c r="C3" i="314"/>
  <c r="C4" i="314"/>
  <c r="C5" i="314"/>
  <c r="C6" i="314"/>
  <c r="C3" i="313"/>
  <c r="C6" i="313"/>
  <c r="C7" i="313"/>
  <c r="C8" i="313"/>
  <c r="C3" i="312"/>
  <c r="C4" i="312"/>
  <c r="C5" i="312"/>
  <c r="C6" i="312"/>
  <c r="C7" i="312"/>
  <c r="C8" i="312"/>
  <c r="C3" i="311"/>
  <c r="C4" i="311"/>
  <c r="C5" i="311"/>
  <c r="C6" i="311"/>
  <c r="C3" i="310"/>
  <c r="D3" i="310" s="1"/>
  <c r="C4" i="310"/>
  <c r="C5" i="310"/>
  <c r="C6" i="310"/>
  <c r="C7" i="310"/>
  <c r="C8" i="310"/>
  <c r="C9" i="310"/>
  <c r="C3" i="309"/>
  <c r="D3" i="309" s="1"/>
  <c r="C4" i="309"/>
  <c r="C5" i="309"/>
  <c r="C6" i="309"/>
  <c r="C3" i="308"/>
  <c r="C4" i="308"/>
  <c r="C5" i="308"/>
  <c r="C6" i="308"/>
  <c r="C7" i="308"/>
  <c r="C8" i="308"/>
  <c r="C9" i="308"/>
  <c r="C10" i="308"/>
  <c r="C3" i="307"/>
  <c r="C4" i="307"/>
  <c r="C5" i="307"/>
  <c r="C6" i="307"/>
  <c r="C7" i="307"/>
  <c r="C10" i="306"/>
  <c r="C9" i="306"/>
  <c r="C8" i="306"/>
  <c r="C7" i="306"/>
  <c r="C6" i="306"/>
  <c r="C5" i="306"/>
  <c r="C4" i="306"/>
  <c r="C3" i="306"/>
  <c r="C3" i="305"/>
  <c r="C4" i="305"/>
  <c r="C5" i="305"/>
  <c r="C6" i="305"/>
  <c r="C7" i="305"/>
  <c r="C3" i="304"/>
  <c r="C4" i="304"/>
  <c r="C5" i="304"/>
  <c r="C6" i="304"/>
  <c r="C7" i="304"/>
  <c r="C8" i="304"/>
  <c r="C9" i="304"/>
  <c r="D3" i="303"/>
  <c r="D4" i="303"/>
  <c r="D5" i="303"/>
  <c r="D6" i="303"/>
  <c r="D7" i="303"/>
  <c r="D8" i="303"/>
  <c r="C3" i="302"/>
  <c r="C4" i="302"/>
  <c r="C5" i="302"/>
  <c r="C6" i="302"/>
  <c r="C7" i="302"/>
  <c r="C8" i="302"/>
  <c r="C9" i="302"/>
  <c r="C10" i="302"/>
  <c r="C11" i="302"/>
  <c r="C3" i="301"/>
  <c r="C4" i="301"/>
  <c r="C5" i="301"/>
  <c r="C6" i="301"/>
  <c r="C7" i="301"/>
  <c r="D7" i="301" s="1"/>
  <c r="C8" i="301"/>
  <c r="C9" i="301"/>
  <c r="C10" i="301"/>
  <c r="C11" i="301"/>
  <c r="D9" i="300"/>
  <c r="D3" i="300"/>
  <c r="D4" i="300"/>
  <c r="D5" i="300"/>
  <c r="D6" i="300"/>
  <c r="E6" i="300" s="1"/>
  <c r="D7" i="300"/>
  <c r="D8" i="300"/>
  <c r="D10" i="300"/>
  <c r="D11" i="300"/>
  <c r="D12" i="300"/>
  <c r="C3" i="299"/>
  <c r="C4" i="299"/>
  <c r="C5" i="299"/>
  <c r="C6" i="299"/>
  <c r="C7" i="299"/>
  <c r="C8" i="299"/>
  <c r="C9" i="299"/>
  <c r="C10" i="299"/>
  <c r="C9" i="298"/>
  <c r="C8" i="298"/>
  <c r="C7" i="298"/>
  <c r="C6" i="298"/>
  <c r="C5" i="298"/>
  <c r="C4" i="298"/>
  <c r="C3" i="298"/>
  <c r="C3" i="4"/>
  <c r="C4" i="4"/>
  <c r="C5" i="4"/>
  <c r="C6" i="4"/>
  <c r="C7" i="4"/>
  <c r="C8" i="4"/>
  <c r="C9" i="4"/>
  <c r="D4" i="304" l="1"/>
  <c r="G4" i="352"/>
  <c r="G4" i="354"/>
  <c r="D4" i="355"/>
  <c r="D3" i="323"/>
  <c r="E3" i="333"/>
  <c r="E3" i="300"/>
  <c r="D4" i="302"/>
  <c r="E4" i="321"/>
  <c r="F4" i="334"/>
  <c r="E3" i="350"/>
  <c r="D4" i="298"/>
  <c r="D3" i="301"/>
  <c r="D3" i="317"/>
  <c r="C12" i="317"/>
  <c r="E3" i="329"/>
  <c r="E3" i="336"/>
  <c r="G4" i="337"/>
  <c r="G4" i="338"/>
  <c r="I3" i="340"/>
  <c r="C12" i="302"/>
  <c r="D3" i="304"/>
  <c r="C10" i="304"/>
  <c r="D4" i="310"/>
  <c r="F3" i="335"/>
  <c r="I4" i="349"/>
  <c r="E4" i="350"/>
  <c r="D4" i="351"/>
  <c r="H4" i="353"/>
  <c r="D3" i="358"/>
  <c r="D3" i="4"/>
  <c r="C10" i="4"/>
  <c r="D3" i="355"/>
  <c r="C11" i="355"/>
  <c r="C10" i="298"/>
  <c r="D3" i="298"/>
  <c r="D4" i="301"/>
  <c r="C8" i="305"/>
  <c r="D3" i="305"/>
  <c r="D4" i="308"/>
  <c r="D3" i="311"/>
  <c r="C7" i="311"/>
  <c r="C9" i="315"/>
  <c r="D3" i="315"/>
  <c r="D4" i="317"/>
  <c r="E3" i="318"/>
  <c r="D3" i="320"/>
  <c r="C8" i="320"/>
  <c r="C8" i="325"/>
  <c r="D3" i="325"/>
  <c r="E4" i="336"/>
  <c r="I4" i="340"/>
  <c r="H4" i="344"/>
  <c r="E4" i="345"/>
  <c r="C11" i="351"/>
  <c r="D3" i="351"/>
  <c r="H3" i="353"/>
  <c r="D4" i="299"/>
  <c r="D3" i="306"/>
  <c r="C11" i="306"/>
  <c r="D3" i="307"/>
  <c r="C8" i="307"/>
  <c r="C11" i="308"/>
  <c r="D3" i="308"/>
  <c r="D4" i="323"/>
  <c r="E4" i="333"/>
  <c r="E3" i="339"/>
  <c r="H4" i="341"/>
  <c r="E3" i="345"/>
  <c r="D3" i="322"/>
  <c r="C8" i="322"/>
  <c r="D4" i="4"/>
  <c r="D3" i="299"/>
  <c r="E4" i="300"/>
  <c r="D3" i="302"/>
  <c r="D4" i="306"/>
  <c r="C9" i="313"/>
  <c r="D3" i="313"/>
  <c r="C7" i="314"/>
  <c r="D3" i="314"/>
  <c r="C9" i="326"/>
  <c r="D3" i="326"/>
  <c r="D3" i="328"/>
  <c r="C10" i="328"/>
  <c r="C8" i="330"/>
  <c r="D3" i="330"/>
  <c r="F3" i="334"/>
  <c r="F4" i="335"/>
  <c r="G3" i="337"/>
  <c r="G3" i="338"/>
  <c r="H3" i="341"/>
  <c r="F3" i="343"/>
  <c r="F4" i="356"/>
  <c r="C9" i="358"/>
  <c r="F3" i="357"/>
  <c r="G3" i="347"/>
  <c r="F3" i="342"/>
  <c r="C8" i="327"/>
  <c r="C10" i="323"/>
  <c r="C9" i="319"/>
  <c r="C7" i="316"/>
  <c r="D3" i="312"/>
  <c r="C9" i="312"/>
  <c r="C10" i="310"/>
  <c r="C7" i="309"/>
  <c r="E3" i="303"/>
  <c r="C11" i="299"/>
  <c r="D10" i="333"/>
  <c r="E12" i="335"/>
  <c r="E3" i="324"/>
  <c r="D8" i="324"/>
  <c r="D10" i="329"/>
  <c r="E9" i="342"/>
  <c r="G10" i="344"/>
  <c r="H11" i="349"/>
  <c r="D12" i="350"/>
  <c r="H11" i="340"/>
  <c r="C12" i="301"/>
  <c r="D9" i="303"/>
  <c r="D10" i="318"/>
  <c r="D9" i="321"/>
  <c r="E11" i="334"/>
  <c r="D13" i="336"/>
  <c r="F11" i="338"/>
  <c r="G12" i="341"/>
  <c r="F10" i="347"/>
  <c r="F12" i="352"/>
  <c r="F10" i="354"/>
  <c r="E11" i="356"/>
  <c r="E9" i="357"/>
  <c r="F12" i="337"/>
  <c r="D13" i="300"/>
  <c r="D8" i="331"/>
  <c r="D10" i="339"/>
  <c r="E9" i="343"/>
  <c r="D11" i="345"/>
  <c r="K10" i="346"/>
  <c r="E13" i="348"/>
  <c r="G12" i="353"/>
  <c r="E5" i="329"/>
  <c r="C10" i="297" l="1"/>
  <c r="C11" i="297" s="1"/>
  <c r="B11" i="297"/>
</calcChain>
</file>

<file path=xl/sharedStrings.xml><?xml version="1.0" encoding="utf-8"?>
<sst xmlns="http://schemas.openxmlformats.org/spreadsheetml/2006/main" count="889" uniqueCount="383">
  <si>
    <t>Blank</t>
  </si>
  <si>
    <t>Void</t>
  </si>
  <si>
    <t>Total Votes by County</t>
  </si>
  <si>
    <t>Total Votes by Party</t>
  </si>
  <si>
    <t>Total Votes by Candidate</t>
  </si>
  <si>
    <t>Candidate Name (Party)</t>
  </si>
  <si>
    <t>Scattering</t>
  </si>
  <si>
    <t>Jefferson County Vote Results</t>
  </si>
  <si>
    <t>Lewis County Vote Results</t>
  </si>
  <si>
    <t>Oswego County Vote Results</t>
  </si>
  <si>
    <t>Broome County Vote Results</t>
  </si>
  <si>
    <t>Chemung County Vote Results</t>
  </si>
  <si>
    <t>Cortland County Vote Results</t>
  </si>
  <si>
    <t>Madison County Vote Results</t>
  </si>
  <si>
    <t>Otsego County Vote Results</t>
  </si>
  <si>
    <t>Schuyler County Vote Results</t>
  </si>
  <si>
    <t>Tioga County Vote Results</t>
  </si>
  <si>
    <t>Seneca County Vote Results</t>
  </si>
  <si>
    <t>Steuben County Vote Results</t>
  </si>
  <si>
    <t>Wayne County Vote Results</t>
  </si>
  <si>
    <t>Yates County Vote Results</t>
  </si>
  <si>
    <t>Allegany County Vote Results</t>
  </si>
  <si>
    <t>Cattaraugus County Vote Results</t>
  </si>
  <si>
    <t>Chautauqua County Vote Results</t>
  </si>
  <si>
    <t>Genesee County Vote Results</t>
  </si>
  <si>
    <t>Niagara County Vote Results</t>
  </si>
  <si>
    <t>Orleans County Vote Results</t>
  </si>
  <si>
    <t>Wyoming County Vote Results</t>
  </si>
  <si>
    <t>Part of Suffolk County Vote Results</t>
  </si>
  <si>
    <t>Part of Nassau County Vote Results</t>
  </si>
  <si>
    <t>Part of Queens County Vote Results</t>
  </si>
  <si>
    <t>Part of Kings County Vote Results</t>
  </si>
  <si>
    <t>Part of New York County Vote Results</t>
  </si>
  <si>
    <t>Part of Bronx County Vote Results</t>
  </si>
  <si>
    <t>Part of Westchester County Vote Results</t>
  </si>
  <si>
    <t>Part of Dutchess County Vote Results</t>
  </si>
  <si>
    <t>Columbia County Vote Results</t>
  </si>
  <si>
    <t>Greene County Vote Results</t>
  </si>
  <si>
    <t>Schoharie County Vote Results</t>
  </si>
  <si>
    <t>Sullivan County Vote Results</t>
  </si>
  <si>
    <t>Part of Rensselaer County Vote Results</t>
  </si>
  <si>
    <t>Part of Saratoga County Vote Results</t>
  </si>
  <si>
    <t>Clinton County Vote Results</t>
  </si>
  <si>
    <t>Essex County Vote Results</t>
  </si>
  <si>
    <t>Franklin County Vote Results</t>
  </si>
  <si>
    <t>Fulton County Vote Results</t>
  </si>
  <si>
    <t>Hamilton County Vote Results</t>
  </si>
  <si>
    <t>Warren County Vote Results</t>
  </si>
  <si>
    <t>Part of Herkimer County Vote Results</t>
  </si>
  <si>
    <t>Part of Ontario County Vote Results</t>
  </si>
  <si>
    <t>Part of Monroe County Vote Results</t>
  </si>
  <si>
    <t>Part of Erie County Vote Results</t>
  </si>
  <si>
    <t>State Senator 1st Senate District - General Election - November 3, 2020</t>
  </si>
  <si>
    <t>Laura A. Ahearn (DEM)</t>
  </si>
  <si>
    <t>Anthony H. Palumbo (REP)</t>
  </si>
  <si>
    <t>Anthony H. Palumbo (CON)</t>
  </si>
  <si>
    <t>Laura A. Ahearn (Protect the Taxpayer)</t>
  </si>
  <si>
    <t>State Senator 2nd Senate District - General Election - November 3, 2020</t>
  </si>
  <si>
    <t>Michael G. Siderakis (DEM)</t>
  </si>
  <si>
    <t>Mario R. Mattera (REP)</t>
  </si>
  <si>
    <t>Mario R. Mattera (CON)</t>
  </si>
  <si>
    <t>Mario R. Mattera (IND)</t>
  </si>
  <si>
    <t>Mario R. Mattera (Safe Neighborhoods)</t>
  </si>
  <si>
    <t>State Senator 3rd Senate District - General Election - November 3, 2020</t>
  </si>
  <si>
    <t>Monica R. Martinez (DEM)</t>
  </si>
  <si>
    <t>Alexis  Weik (REP)</t>
  </si>
  <si>
    <t>Alexis  Weik (CON)</t>
  </si>
  <si>
    <t>Monica R. Martinez (IND)</t>
  </si>
  <si>
    <t>State Senator 4th Senate District - General Election - November 3, 2020</t>
  </si>
  <si>
    <t>Christine Pellegrino (DEM)</t>
  </si>
  <si>
    <t>Philip M. Boyle (REP)</t>
  </si>
  <si>
    <t>Philip M. Boyle (CON)</t>
  </si>
  <si>
    <t>Christine Pellegrino (WOR)</t>
  </si>
  <si>
    <t>Philip M. Boyle (IND)</t>
  </si>
  <si>
    <t>State Senator 5th Senate District - General Election - November 3, 2020</t>
  </si>
  <si>
    <t>James F. Gaughran (DEM)</t>
  </si>
  <si>
    <t>Edmund J. Smyth (REP)</t>
  </si>
  <si>
    <t>Edmund J. Smyth (CON)</t>
  </si>
  <si>
    <t>Barbara S. Wagner (GRE)</t>
  </si>
  <si>
    <t>Edmund J. Smyth (LBT)</t>
  </si>
  <si>
    <t>Edmund J. Smyth (IND)</t>
  </si>
  <si>
    <t>James F. Gaughran (SAM)</t>
  </si>
  <si>
    <t>State Senator 6th Senate District - General Election - November 3, 2020</t>
  </si>
  <si>
    <t>Kevin M.  Thomas (DEM)</t>
  </si>
  <si>
    <t>Dennis Dunne, Sr. (REP)</t>
  </si>
  <si>
    <t>Dennis Dunne, Sr. (CON)</t>
  </si>
  <si>
    <t>Kevin M. Thomas (WOR)</t>
  </si>
  <si>
    <t>Jonathan Gunther (LBT)</t>
  </si>
  <si>
    <t>Dennis Dunne, Sr. (IND)</t>
  </si>
  <si>
    <t>State Senator 7th Senate District - General Election - November 3, 2020</t>
  </si>
  <si>
    <t>Anna M. Kaplan (DEM)</t>
  </si>
  <si>
    <t>David C. Franklin (REP)</t>
  </si>
  <si>
    <t>David C. Franklin (CON)</t>
  </si>
  <si>
    <t>Anna M. Kaplan (WOR)</t>
  </si>
  <si>
    <t>Anna M. Kaplan (IND)</t>
  </si>
  <si>
    <t>Anna M. Kaplan (SAM)</t>
  </si>
  <si>
    <t>State Senator 8th Senate District - General Election - November 3, 2020</t>
  </si>
  <si>
    <t>John E. Brooks (DEM)</t>
  </si>
  <si>
    <t>John E. Brooks (WOR)</t>
  </si>
  <si>
    <t>John E. Brooks (IND)</t>
  </si>
  <si>
    <t>State Senator 9th Senate District - General Election - November 3, 2020</t>
  </si>
  <si>
    <t>Todd D. Kaminsky (DEM)</t>
  </si>
  <si>
    <t>Victoria M. Johnson (REP)</t>
  </si>
  <si>
    <t>Victoria M. Johnson (CON)</t>
  </si>
  <si>
    <t>Todd D. Kaminsky (IND)</t>
  </si>
  <si>
    <t>State Senator 10th Senate District - General Election - November 3, 2020</t>
  </si>
  <si>
    <t>James Sanders, Jr. (DEM)</t>
  </si>
  <si>
    <t>James Sanders, Jr. (WOR)</t>
  </si>
  <si>
    <t>State Senator 11th Senate District - General Election - November 3, 2020</t>
  </si>
  <si>
    <t>John C. Liu (DEM)</t>
  </si>
  <si>
    <t>Elisa Nahoum (REP)</t>
  </si>
  <si>
    <t>Elisa Nahoum (CON)</t>
  </si>
  <si>
    <t>John C. Liu (WOR)</t>
  </si>
  <si>
    <t>Elisa Nahoum (Save Our City)</t>
  </si>
  <si>
    <t>State Senator 12th Senate District - General Election - November 3, 2020</t>
  </si>
  <si>
    <t>Michael N. Gianaris (DEM)</t>
  </si>
  <si>
    <t>Michael N. Gianaris (WOR)</t>
  </si>
  <si>
    <t>State Senator 13th Senate District - General Election - November 3, 2020</t>
  </si>
  <si>
    <t>Jessica Ramos (DEM)</t>
  </si>
  <si>
    <t>Jesus Gonzalez (REP)</t>
  </si>
  <si>
    <t>Jesus Gonzalez (CON)</t>
  </si>
  <si>
    <t>Jessica Ramos (WOR)</t>
  </si>
  <si>
    <t>Jesus Gonzalez (Save Our City)</t>
  </si>
  <si>
    <t>State Senator 14th Senate District - General Election - November 3, 2020</t>
  </si>
  <si>
    <t>Leroy G. Comrie, Jr. (DEM)</t>
  </si>
  <si>
    <t>State Senator 15th Senate District - General Election - November 3, 2020</t>
  </si>
  <si>
    <t>Joseph P. Addabbo, Jr. (DEM)</t>
  </si>
  <si>
    <t>Thomas P. Sullivan (REP)</t>
  </si>
  <si>
    <t>Thomas P. Sullivan (CON)</t>
  </si>
  <si>
    <t>Thomas P. Sullivan (Save Our City)</t>
  </si>
  <si>
    <t>State Senator 16th Senate District - General Election - November 3, 2020</t>
  </si>
  <si>
    <t>Toby Ann Stavisky (DEM)</t>
  </si>
  <si>
    <t>State Senator 17th Senate District - General Election - November 3, 2020</t>
  </si>
  <si>
    <t>Simcha Felder (DEM)</t>
  </si>
  <si>
    <t>Simcha Felder (REP)</t>
  </si>
  <si>
    <t>Simcha Felder (CON)</t>
  </si>
  <si>
    <t>State Senator 18th Senate District - General Election - November 3, 2020</t>
  </si>
  <si>
    <t>Julia Salazar (DEM)</t>
  </si>
  <si>
    <t>Julia Salazar (WOR)</t>
  </si>
  <si>
    <t>Daniel Christmann (New Moderate)</t>
  </si>
  <si>
    <t>State Senator 19th Senate District - General Election - November 3, 2020</t>
  </si>
  <si>
    <t>Roxanne J. Persaud (DEM)</t>
  </si>
  <si>
    <t>State Senator 20th Senate District - General Election - November 3, 2020</t>
  </si>
  <si>
    <t>Zellnor Y. Myrie (DEM)</t>
  </si>
  <si>
    <t>Zellnor Y. Myrie (WOR)</t>
  </si>
  <si>
    <t>Tucker Coburn (LBT)</t>
  </si>
  <si>
    <t>State Senator 21st Senate District - General Election - November 3, 2020</t>
  </si>
  <si>
    <t>Kevin S. Parker (DEM)</t>
  </si>
  <si>
    <t>State Senator 22nd Senate District - General Election - November 3, 2020</t>
  </si>
  <si>
    <t>Andrew S. Gounardes (DEM)</t>
  </si>
  <si>
    <t>Vito J. Bruno (REP)</t>
  </si>
  <si>
    <t>Vito J. Bruno (CON)</t>
  </si>
  <si>
    <t>Andrew S. Gounardes (WOR)</t>
  </si>
  <si>
    <t>Vito J. Bruno (IND)</t>
  </si>
  <si>
    <t>Andrew S. Gounardes (SAM)</t>
  </si>
  <si>
    <t>State Senator 23rd Senate District - General Election - November 3, 2020</t>
  </si>
  <si>
    <t>Part of Richmond County Vote Results</t>
  </si>
  <si>
    <t>Diane J. Savino (DEM)</t>
  </si>
  <si>
    <t>Justin DeFillippo (CON)</t>
  </si>
  <si>
    <t>Diane J. Savino (IND)</t>
  </si>
  <si>
    <t>John Jairo Rodriguez (SAM)</t>
  </si>
  <si>
    <t>State Senator 24th Senate District - General Election - November 3, 2020</t>
  </si>
  <si>
    <t>Andrew J. Lanza (REP)</t>
  </si>
  <si>
    <t>Andrew J. Lanza (CON)</t>
  </si>
  <si>
    <t>Andrew J. Lanza (IND)</t>
  </si>
  <si>
    <t>State Senator 25th Senate District - General Election - November 3, 2020</t>
  </si>
  <si>
    <t>Jabari Brisport (DEM)</t>
  </si>
  <si>
    <t>Jabari Brisport (WOR)</t>
  </si>
  <si>
    <t>State Senator 26th Senate District - General Election - November 3, 2020</t>
  </si>
  <si>
    <t>Brian Kavanagh (DEM)</t>
  </si>
  <si>
    <t>Lester Chang (REP)</t>
  </si>
  <si>
    <t>Lester Chang (CON)</t>
  </si>
  <si>
    <t>State Senator 27th Senate District - General Election - November 3, 2020</t>
  </si>
  <si>
    <t>Brad M. Hoylman (DEM)</t>
  </si>
  <si>
    <t>Brad M. Hoylman (WOR)</t>
  </si>
  <si>
    <t>State Senator 28th Senate District - General Election - November 3, 2020</t>
  </si>
  <si>
    <t>Liz Krueger (DEM)</t>
  </si>
  <si>
    <t>Michael Zumbluskas (REP)</t>
  </si>
  <si>
    <t>Liz Krueger (WOR)</t>
  </si>
  <si>
    <t>Michael Zumbluskas (IND)</t>
  </si>
  <si>
    <t>State Senator 29th Senate District - General Election - November 3, 2020</t>
  </si>
  <si>
    <t>Jose M. Serrano (DEM)</t>
  </si>
  <si>
    <t>Jose A. Colon (REP)</t>
  </si>
  <si>
    <t>State Senator 30th Senate District - General Election - November 3, 2020</t>
  </si>
  <si>
    <t>Brian A. Benjamin (DEM)</t>
  </si>
  <si>
    <t>Oz Sultan (REP)</t>
  </si>
  <si>
    <t>State Senator 31st Senate District - General Election - November 3, 2020</t>
  </si>
  <si>
    <t>Robert Jackson (DEM)</t>
  </si>
  <si>
    <t>Melinda Crump (REP)</t>
  </si>
  <si>
    <t>Robert Jackson (WOR)</t>
  </si>
  <si>
    <t>State Senator 32nd Senate District - General Election - November 3, 2020</t>
  </si>
  <si>
    <t>Luis R. Sepulveda (DEM)</t>
  </si>
  <si>
    <t>Jonathon Weiner (CON)</t>
  </si>
  <si>
    <t>State Senator 33rd Senate District - General Election - November 3, 2020</t>
  </si>
  <si>
    <t>J. Gustavo Rivera (DEM)</t>
  </si>
  <si>
    <t>Dustin Martinez (REP)</t>
  </si>
  <si>
    <t>Steven M. Stern (CON)</t>
  </si>
  <si>
    <t>J. Gustavo Rivera (WOR)</t>
  </si>
  <si>
    <t>State Senator 34th Senate District - General Election - November 3, 2020</t>
  </si>
  <si>
    <t>Alessandra Biaggi (DEM)</t>
  </si>
  <si>
    <t>James B. Gisondi (REP)</t>
  </si>
  <si>
    <t>Antonio Vitiello (CON)</t>
  </si>
  <si>
    <t>Alessandra Biaggi (WOR)</t>
  </si>
  <si>
    <t>State Senator 35th Senate District - General Election - November 3, 2020</t>
  </si>
  <si>
    <t>Andrea Stewart-Cousins (DEM)</t>
  </si>
  <si>
    <t>Andrea Stewart-Cousins (WOR)</t>
  </si>
  <si>
    <t>State Senator 36th Senate District - General Election - November 3, 2020</t>
  </si>
  <si>
    <t>Jamaal T. Bailey (DEM)</t>
  </si>
  <si>
    <t>Robert Diamond (CON)</t>
  </si>
  <si>
    <t>State Senator 37th Senate District - General Election - November 3, 2020</t>
  </si>
  <si>
    <t>Shelley B. Mayer (DEM)</t>
  </si>
  <si>
    <t>Liviu Saimovici (REP)</t>
  </si>
  <si>
    <t>Liviu Saimovici (CON)</t>
  </si>
  <si>
    <t>Shelley B. Mayer (WOR)</t>
  </si>
  <si>
    <t>Shelley B. Mayer (SAM)</t>
  </si>
  <si>
    <t>State Senator 38th Senate District - General Election - November 3, 2020</t>
  </si>
  <si>
    <t>Part of Rockland County Vote Results</t>
  </si>
  <si>
    <t>Elijah Reichlin-Melnick (DEM)</t>
  </si>
  <si>
    <t>William J. Weber, Jr. (REP)</t>
  </si>
  <si>
    <t>Elijah Reichlin-Melnick (WOR)</t>
  </si>
  <si>
    <t>William J. Weber, Jr. (SAM)</t>
  </si>
  <si>
    <t>State Senator 39th Senate District - General Election - November 3, 2020</t>
  </si>
  <si>
    <t>Part of Orange County Vote Results</t>
  </si>
  <si>
    <t>Part of Ulster County Vote Results</t>
  </si>
  <si>
    <t>James G. Skoufis (DEM)</t>
  </si>
  <si>
    <t>Steve Brescia (REP)</t>
  </si>
  <si>
    <t>Steve Brescia (CON)</t>
  </si>
  <si>
    <t>James G. Skoufis (WOR)</t>
  </si>
  <si>
    <t>James G. Skoufis (SAM)</t>
  </si>
  <si>
    <t>State Senator 40th Senate District - General Election - November 3, 2020</t>
  </si>
  <si>
    <t>Part of Putnam County Vote Results</t>
  </si>
  <si>
    <t>Peter B. Harckham (DEM)</t>
  </si>
  <si>
    <t>Rob Astorino (REP)</t>
  </si>
  <si>
    <t>Rob Astorino (CON)</t>
  </si>
  <si>
    <t>Peter B. Harckham (WOR)</t>
  </si>
  <si>
    <t>Peter B. Harckham (IND)</t>
  </si>
  <si>
    <t>Rob Astorino (Rebuild Our State)</t>
  </si>
  <si>
    <t>State Senator 41st Senate District - General Election - November 3, 2020</t>
  </si>
  <si>
    <t>Karen S. Smythe (DEM)</t>
  </si>
  <si>
    <t>Susan J. Serino (REP)</t>
  </si>
  <si>
    <t>Susan J. Serino (CON)</t>
  </si>
  <si>
    <t>Karen S. Smythe (WOR)</t>
  </si>
  <si>
    <t>Susan J. Serino (IND)</t>
  </si>
  <si>
    <t>Karen S. Smythe (SAM)</t>
  </si>
  <si>
    <t>Susan J. Serino (Rebuild Our State)</t>
  </si>
  <si>
    <t>State Senator 42nd Senate District - General Election - November 3, 2020</t>
  </si>
  <si>
    <t>Part of Delaware County Vote Results</t>
  </si>
  <si>
    <t>Jen Metzger (DEM)</t>
  </si>
  <si>
    <t>Mike Martucci (REP)</t>
  </si>
  <si>
    <t>Mike Martucci (CON)</t>
  </si>
  <si>
    <t>Jen Metzger (WOR)</t>
  </si>
  <si>
    <t>Mike Martucci (IND)</t>
  </si>
  <si>
    <t>Jen Metzger (SAM)</t>
  </si>
  <si>
    <t>State Senator 43rd Senate District - General Election - November 3, 2020</t>
  </si>
  <si>
    <t>Part of Washington County Vote Results</t>
  </si>
  <si>
    <t>Patrick F. Nelson (DEM)</t>
  </si>
  <si>
    <t>Daphne V. Jordan (REP)</t>
  </si>
  <si>
    <t>Daphne V. Jordan (CON)</t>
  </si>
  <si>
    <t>Patrick F. Nelson (WOR)</t>
  </si>
  <si>
    <t>Daphne V. Jordan (IND)</t>
  </si>
  <si>
    <t>State Senator 44th Senate District - General Election - November 3, 2020</t>
  </si>
  <si>
    <t>Part of Albany County Vote Results</t>
  </si>
  <si>
    <t>Neil D. Breslin (DEM)</t>
  </si>
  <si>
    <t>David R. Yule (REP)</t>
  </si>
  <si>
    <t>Neil D. Breslin (WOR)</t>
  </si>
  <si>
    <t>Neil D. Breslin (IND)</t>
  </si>
  <si>
    <t>State Senator 45th Senate District - General Election - November 3, 2020</t>
  </si>
  <si>
    <t>Part of St. Lawrence County Vote Results</t>
  </si>
  <si>
    <t>Kimberly A. Davis (DEM)</t>
  </si>
  <si>
    <t>Daniel G. Stec (REP)</t>
  </si>
  <si>
    <t>Daniel G. Stec (CON)</t>
  </si>
  <si>
    <t>Kimberly A. Davis (WOR)</t>
  </si>
  <si>
    <t>Daniel G. Stec (IND)</t>
  </si>
  <si>
    <t>State Senator 46th Senate District - General Election - November 3, 2020</t>
  </si>
  <si>
    <t>Montgomery County Vote Results</t>
  </si>
  <si>
    <t>Part of Schenectady County Vote Results</t>
  </si>
  <si>
    <t>Michelle Hinchey (DEM)</t>
  </si>
  <si>
    <t>Richard M. Amedure, Jr. (REP)</t>
  </si>
  <si>
    <t>Richard M. Amedure, Jr. (CON)</t>
  </si>
  <si>
    <t>Michelle Hinchey (WOR)</t>
  </si>
  <si>
    <t>Robert D. Alft, Jr. (GRE)</t>
  </si>
  <si>
    <t>Richard M. Amedure, Jr. (IND)</t>
  </si>
  <si>
    <t>State Senator 47th Senate District - General Election - November 3, 2020</t>
  </si>
  <si>
    <t>Part of Oneida County Vote Results</t>
  </si>
  <si>
    <t>Joseph A. Griffo (REP)</t>
  </si>
  <si>
    <t>Joseph A. Griffo (CON)</t>
  </si>
  <si>
    <t>Joseph A. Griffo (IND)</t>
  </si>
  <si>
    <t>State Senator 48th Senate District - General Election - November 3, 2020</t>
  </si>
  <si>
    <t>Patricia A. Ritchie (REP)</t>
  </si>
  <si>
    <t>Patricia A. Ritchie (CON)</t>
  </si>
  <si>
    <t>Patricia A. Ritchie (IND)</t>
  </si>
  <si>
    <t>State Senator 49th Senate District - General Election - November 3, 2020</t>
  </si>
  <si>
    <t>Thearse McCalmon (DEM)</t>
  </si>
  <si>
    <t>James N. Tedisco (REP)</t>
  </si>
  <si>
    <t>James N. Tedisco (CON)</t>
  </si>
  <si>
    <t>James N. Tedisco (IND)</t>
  </si>
  <si>
    <t>State Senator 50th Senate District - General Election - November 3, 2020</t>
  </si>
  <si>
    <t>Part of Cayuga County Vote Results</t>
  </si>
  <si>
    <t>Part of Onondaga County Vote Results</t>
  </si>
  <si>
    <t>John W. Mannion (DEM)</t>
  </si>
  <si>
    <t>Angi Renna (REP)</t>
  </si>
  <si>
    <t>Angi Renna (CON)</t>
  </si>
  <si>
    <t>John W. Mannion (WOR)</t>
  </si>
  <si>
    <t>Angi Renna (IND)</t>
  </si>
  <si>
    <t>State Senator 51st Senate District - General Election - November 3, 2020</t>
  </si>
  <si>
    <t>Part of Chenango County Vote Results</t>
  </si>
  <si>
    <t>Part of Tompkins County Vote Results</t>
  </si>
  <si>
    <t>Jim Barber (DEM)</t>
  </si>
  <si>
    <t>Peter Oberacker (REP)</t>
  </si>
  <si>
    <t>Peter Oberacker (CON)</t>
  </si>
  <si>
    <t>Peter Oberacker (IND)</t>
  </si>
  <si>
    <t>State Senator 52nd Senate District - General Election - November 3, 2020</t>
  </si>
  <si>
    <t>Frederick J. Akshar, II (REP)</t>
  </si>
  <si>
    <t>Frederick J. Akshar, II (CON)</t>
  </si>
  <si>
    <t>Thomas Daniel Quiter (LBT)</t>
  </si>
  <si>
    <t>Frederick J. Akshar, II (IND)</t>
  </si>
  <si>
    <t>State Senator 53rd Senate District - General Election - November 3, 2020</t>
  </si>
  <si>
    <t>Rachel May (DEM)</t>
  </si>
  <si>
    <t>Sam Rodgers (REP)</t>
  </si>
  <si>
    <t>Sam Rodgers (CON)</t>
  </si>
  <si>
    <t>Rachel May (WOR)</t>
  </si>
  <si>
    <t>Russell Penner (LBT)</t>
  </si>
  <si>
    <t>Sam Rodgers (IND)</t>
  </si>
  <si>
    <t>Sam Rodgers (SAM)</t>
  </si>
  <si>
    <t>State Senator 54th Senate District - General Election - November 3, 2020</t>
  </si>
  <si>
    <t>Shauna O’Toole (DEM)</t>
  </si>
  <si>
    <t>Pamela A. Helming (REP)</t>
  </si>
  <si>
    <t>Pamela A. Helming (CON)</t>
  </si>
  <si>
    <t>Pamela A. Helming (IND)</t>
  </si>
  <si>
    <t>Pamela A. Helming (SAM)</t>
  </si>
  <si>
    <t>State Senator 55th Senate District - General Election - November 3, 2020</t>
  </si>
  <si>
    <t>Samra G. Brouk (DEM)</t>
  </si>
  <si>
    <t>Christopher M. Missick (REP)</t>
  </si>
  <si>
    <t>Christopher M. Missick (CON)</t>
  </si>
  <si>
    <t>Samra G. Brouk (WOR)</t>
  </si>
  <si>
    <t>Christopher M. Missick (IND)</t>
  </si>
  <si>
    <t>Christopher M. Missick (SAM)</t>
  </si>
  <si>
    <t>State Senator 56th Senate District - General Election - November 3, 2020</t>
  </si>
  <si>
    <t>Jeremy A. Cooney (DEM)</t>
  </si>
  <si>
    <t>Mike Barry (REP)</t>
  </si>
  <si>
    <t>Mike Barry (CON)</t>
  </si>
  <si>
    <t>Jeremy A. Cooney (WOR)</t>
  </si>
  <si>
    <t>Mike Barry (IND)</t>
  </si>
  <si>
    <t>State Senator 57th Senate District - General Election - November 3, 2020</t>
  </si>
  <si>
    <t>Part of Livingston County Vote Results</t>
  </si>
  <si>
    <t>Frank V. Puglisi (DEM)</t>
  </si>
  <si>
    <t>George M. Borrello (REP)</t>
  </si>
  <si>
    <t>George M. Borrello (CON)</t>
  </si>
  <si>
    <t>Frank V. Puglisi (WOR)</t>
  </si>
  <si>
    <t>George M. Borrello (LBT)</t>
  </si>
  <si>
    <t>George M. Borrello (IND)</t>
  </si>
  <si>
    <t>State Senator 58th Senate District - General Election - November 3, 2020</t>
  </si>
  <si>
    <t>Leslie Danks Burke (DEM)</t>
  </si>
  <si>
    <t>Thomas F. O’Mara (REP)</t>
  </si>
  <si>
    <t>Thomas F. O’Mara (CON)</t>
  </si>
  <si>
    <t>Leslie Danks Burke (WOR)</t>
  </si>
  <si>
    <t>Thomas F. O’Mara (IND)</t>
  </si>
  <si>
    <t>Leslie Danks Burke (SAM)</t>
  </si>
  <si>
    <t>State Senator 59th Senate District - General Election - November 3, 2020</t>
  </si>
  <si>
    <t>Jason W. Klimek (DEM)</t>
  </si>
  <si>
    <t>Patrick M. Gallivan (REP)</t>
  </si>
  <si>
    <t>Patrick M. Gallivan (CON)</t>
  </si>
  <si>
    <t>Patrick M. Gallivan (IND)</t>
  </si>
  <si>
    <t>State Senator 60th Senate District - General Election - November 3, 2020</t>
  </si>
  <si>
    <t>Sean M. Ryan (DEM)</t>
  </si>
  <si>
    <t>Joshua Mertzlufft (REP)</t>
  </si>
  <si>
    <t>Joshua Mertzlufft (CON)</t>
  </si>
  <si>
    <t>Sean M. Ryan (WOR)</t>
  </si>
  <si>
    <t>Sean M. Ryan (IND)</t>
  </si>
  <si>
    <t>State Senator 61st Senate District - General Election - November 3, 2020</t>
  </si>
  <si>
    <t>Jacqualine G. Berger (DEM)</t>
  </si>
  <si>
    <t>Edward A. Rath, III (REP)</t>
  </si>
  <si>
    <t>Edward A. Rath, III (CON)</t>
  </si>
  <si>
    <t>Edward A. Rath, III (IND)</t>
  </si>
  <si>
    <t>Edward A. Rath, III (SAM)</t>
  </si>
  <si>
    <t>State Senator 62nd Senate District - General Election - November 3, 2020</t>
  </si>
  <si>
    <t>Robert G. Ortt (REP)</t>
  </si>
  <si>
    <t>Robert G. Ortt (CON)</t>
  </si>
  <si>
    <t>Robert G. Ortt (IND)</t>
  </si>
  <si>
    <t>State Senator 63rd Senate District - General Election - November 3, 2020</t>
  </si>
  <si>
    <t>Timothy M. Kennedy (DEM)</t>
  </si>
  <si>
    <t>Timothy M. Kennedy (WOR)</t>
  </si>
  <si>
    <t>Timothy M. Kennedy 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</si>
</sst>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5B3D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95B3D7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3" borderId="3" xfId="0" applyFont="1" applyFill="1" applyBorder="1"/>
    <xf numFmtId="3" fontId="3" fillId="0" borderId="1" xfId="0" applyNumberFormat="1" applyFont="1" applyBorder="1"/>
    <xf numFmtId="0" fontId="4" fillId="3" borderId="4" xfId="0" applyFont="1" applyFill="1" applyBorder="1"/>
    <xf numFmtId="0" fontId="4" fillId="2" borderId="5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3" fontId="3" fillId="4" borderId="1" xfId="0" applyNumberFormat="1" applyFont="1" applyFill="1" applyBorder="1"/>
    <xf numFmtId="3" fontId="3" fillId="7" borderId="1" xfId="0" applyNumberFormat="1" applyFont="1" applyFill="1" applyBorder="1"/>
    <xf numFmtId="3" fontId="3" fillId="5" borderId="1" xfId="0" applyNumberFormat="1" applyFont="1" applyFill="1" applyBorder="1"/>
    <xf numFmtId="0" fontId="4" fillId="3" borderId="1" xfId="0" applyFont="1" applyFill="1" applyBorder="1"/>
    <xf numFmtId="3" fontId="4" fillId="5" borderId="1" xfId="0" applyNumberFormat="1" applyFont="1" applyFill="1" applyBorder="1"/>
    <xf numFmtId="0" fontId="4" fillId="3" borderId="3" xfId="0" applyFont="1" applyFill="1" applyBorder="1" applyAlignment="1">
      <alignment wrapText="1"/>
    </xf>
    <xf numFmtId="3" fontId="3" fillId="8" borderId="1" xfId="0" applyNumberFormat="1" applyFont="1" applyFill="1" applyBorder="1"/>
    <xf numFmtId="3" fontId="3" fillId="0" borderId="1" xfId="0" applyNumberFormat="1" applyFont="1" applyFill="1" applyBorder="1"/>
    <xf numFmtId="0" fontId="5" fillId="0" borderId="1" xfId="0" applyFont="1" applyFill="1" applyBorder="1" applyAlignment="1"/>
    <xf numFmtId="3" fontId="5" fillId="0" borderId="1" xfId="0" applyNumberFormat="1" applyFont="1" applyFill="1" applyBorder="1" applyAlignment="1"/>
    <xf numFmtId="0" fontId="5" fillId="0" borderId="1" xfId="0" applyFont="1" applyBorder="1"/>
    <xf numFmtId="3" fontId="5" fillId="0" borderId="1" xfId="0" applyNumberFormat="1" applyFont="1" applyBorder="1"/>
    <xf numFmtId="3" fontId="6" fillId="0" borderId="6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0" fontId="6" fillId="0" borderId="7" xfId="0" applyFont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10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E2EFDA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1" tint="0.2499465926084170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rgb="FFFFF2CC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157DCB20-D47E-4178-86CE-47FF6E9B7287}" name="StateSenatorSenateDistrict1General" displayName="StateSenatorSenateDistrict1General" ref="A2:D10" totalsRowCount="1" headerRowDxfId="1014" dataDxfId="1012" totalsRowDxfId="1010" headerRowBorderDxfId="1013" tableBorderDxfId="1011" totalsRowBorderDxfId="1009">
  <autoFilter ref="A2:D9" xr:uid="{46E63F8E-8A2F-421C-B164-9C94A0596A45}">
    <filterColumn colId="0" hiddenButton="1"/>
    <filterColumn colId="1" hiddenButton="1"/>
    <filterColumn colId="2" hiddenButton="1"/>
    <filterColumn colId="3" hiddenButton="1"/>
  </autoFilter>
  <tableColumns count="4">
    <tableColumn id="1" xr3:uid="{0DC13088-07B1-4484-9837-16A749E7ADCD}" name="Candidate Name (Party)" totalsRowLabel="Total Votes by County" dataDxfId="1008" totalsRowDxfId="1007"/>
    <tableColumn id="4" xr3:uid="{28D1396B-6422-478E-B714-2E6021CA56AB}" name="Part of Suffolk County Vote Results" totalsRowFunction="custom" dataDxfId="1006" totalsRowDxfId="1005">
      <totalsRowFormula>SUM(StateSenatorSenateDistrict1General[Part of Suffolk County Vote Results])</totalsRowFormula>
    </tableColumn>
    <tableColumn id="3" xr3:uid="{DAC1F272-2DBE-4477-8EDF-312147E6ABDD}" name="Total Votes by Party" totalsRowFunction="custom" dataDxfId="1004" totalsRowDxfId="1003">
      <calculatedColumnFormula>StateSenatorSenateDistrict1General[[#This Row],[Part of Suffolk County Vote Results]]</calculatedColumnFormula>
      <totalsRowFormula>SUM(StateSenatorSenateDistrict1General[Total Votes by Party])</totalsRowFormula>
    </tableColumn>
    <tableColumn id="2" xr3:uid="{5BE9899B-A094-45B7-A70A-384ECC8109FC}" name="Total Votes by Candidate" dataDxfId="1002" totalsRowDxfId="100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6F3C8DE7-AB91-48E3-A42F-2C3D2EC447D5}" name="StateSenatorSenateDistrict10General" displayName="StateSenatorSenateDistrict10General" ref="A2:D8" totalsRowCount="1" headerRowDxfId="884" dataDxfId="882" totalsRowDxfId="880" headerRowBorderDxfId="883" tableBorderDxfId="881" totalsRowBorderDxfId="879">
  <autoFilter ref="A2:D7" xr:uid="{8D07F028-8319-42B9-960D-9E5BBF698127}">
    <filterColumn colId="0" hiddenButton="1"/>
    <filterColumn colId="1" hiddenButton="1"/>
    <filterColumn colId="2" hiddenButton="1"/>
    <filterColumn colId="3" hiddenButton="1"/>
  </autoFilter>
  <tableColumns count="4">
    <tableColumn id="1" xr3:uid="{4B639279-092A-407A-9346-5C7D44CEC4B8}" name="Candidate Name (Party)" totalsRowLabel="Total Votes by County" dataDxfId="878" totalsRowDxfId="877"/>
    <tableColumn id="4" xr3:uid="{9EDE2330-85B6-4962-93BA-998CEF978449}" name="Part of Queens County Vote Results" totalsRowFunction="custom" dataDxfId="876" totalsRowDxfId="875">
      <totalsRowFormula>SUM(StateSenatorSenateDistrict10General[Part of Queens County Vote Results])</totalsRowFormula>
    </tableColumn>
    <tableColumn id="3" xr3:uid="{F7B54FDD-9A7F-4136-91C0-4B5A830E74D8}" name="Total Votes by Party" totalsRowFunction="custom" dataDxfId="874" totalsRowDxfId="873">
      <calculatedColumnFormula>StateSenatorSenateDistrict10General[[#This Row],[Part of Queens County Vote Results]]</calculatedColumnFormula>
      <totalsRowFormula>SUM(StateSenatorSenateDistrict10General[Total Votes by Party])</totalsRowFormula>
    </tableColumn>
    <tableColumn id="2" xr3:uid="{39DD0023-7FED-4BFA-82C1-7D2EACDBB398}" name="Total Votes by Candidate" dataDxfId="872" totalsRowDxfId="871">
      <calculatedColumnFormula>SUM(StateSenatorSenateDistrict10General[[#This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B8880703-E815-4B88-AFB1-E8DD8D93635D}" name="StateSenatorSenateDistrict11General" displayName="StateSenatorSenateDistrict11General" ref="A2:D11" totalsRowCount="1" headerRowDxfId="870" dataDxfId="868" totalsRowDxfId="866" headerRowBorderDxfId="869" tableBorderDxfId="867" totalsRowBorderDxfId="865">
  <autoFilter ref="A2:D10" xr:uid="{86DC72B7-AC4C-460E-9130-5838C9BCBACD}">
    <filterColumn colId="0" hiddenButton="1"/>
    <filterColumn colId="1" hiddenButton="1"/>
    <filterColumn colId="2" hiddenButton="1"/>
    <filterColumn colId="3" hiddenButton="1"/>
  </autoFilter>
  <tableColumns count="4">
    <tableColumn id="1" xr3:uid="{4F7E072B-FC63-4E98-8980-51788CA9E0D8}" name="Candidate Name (Party)" totalsRowLabel="Total Votes by County" dataDxfId="864" totalsRowDxfId="863"/>
    <tableColumn id="4" xr3:uid="{D0087190-3F76-4C00-97C1-DE6F572D98DC}" name="Part of Queens County Vote Results" totalsRowFunction="custom" dataDxfId="862" totalsRowDxfId="861">
      <totalsRowFormula>SUM(StateSenatorSenateDistrict11General[Part of Queens County Vote Results])</totalsRowFormula>
    </tableColumn>
    <tableColumn id="3" xr3:uid="{F49A81F3-D376-4E5A-B5A9-FA325676F1AE}" name="Total Votes by Party" totalsRowFunction="custom" dataDxfId="860" totalsRowDxfId="859">
      <totalsRowFormula>SUM(StateSenatorSenateDistrict11General[Total Votes by Party])</totalsRowFormula>
    </tableColumn>
    <tableColumn id="2" xr3:uid="{DB3FC48D-675E-4FCB-A714-1DAA2FD4ADFD}" name="Total Votes by Candidate" dataDxfId="858" totalsRowDxfId="85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C9A07C7-6CE0-4EA6-AE1F-15B324A697E3}" name="StateSenatorSenateDistrict12General" displayName="StateSenatorSenateDistrict12General" ref="A2:D8" totalsRowCount="1" headerRowDxfId="856" dataDxfId="854" totalsRowDxfId="852" headerRowBorderDxfId="855" tableBorderDxfId="853" totalsRowBorderDxfId="851">
  <autoFilter ref="A2:D7" xr:uid="{2CE300DD-8912-442E-850C-3B4D930DBB13}">
    <filterColumn colId="0" hiddenButton="1"/>
    <filterColumn colId="1" hiddenButton="1"/>
    <filterColumn colId="2" hiddenButton="1"/>
    <filterColumn colId="3" hiddenButton="1"/>
  </autoFilter>
  <tableColumns count="4">
    <tableColumn id="1" xr3:uid="{79F83BBF-4040-482F-9B86-F883FD487E64}" name="Candidate Name (Party)" totalsRowLabel="Total Votes by County" dataDxfId="850" totalsRowDxfId="849"/>
    <tableColumn id="4" xr3:uid="{86CCB9F8-CD23-4E82-AD9C-CAAC73CA18BD}" name="Part of Queens County Vote Results" totalsRowFunction="custom" dataDxfId="848" totalsRowDxfId="847">
      <totalsRowFormula>SUM(StateSenatorSenateDistrict12General[Part of Queens County Vote Results])</totalsRowFormula>
    </tableColumn>
    <tableColumn id="3" xr3:uid="{70312B20-3F77-4FED-B212-C4405D88EF47}" name="Total Votes by Party" totalsRowFunction="custom" dataDxfId="846" totalsRowDxfId="845">
      <calculatedColumnFormula>StateSenatorSenateDistrict12General[[#This Row],[Part of Queens County Vote Results]]</calculatedColumnFormula>
      <totalsRowFormula>SUM(StateSenatorSenateDistrict12General[Total Votes by Party])</totalsRowFormula>
    </tableColumn>
    <tableColumn id="2" xr3:uid="{3DA2748C-7A6C-4AA3-BE57-C90D10B78F16}" name="Total Votes by Candidate" dataDxfId="844" totalsRowDxfId="843">
      <calculatedColumnFormula>SUM(StateSenatorSenateDistrict12General[[#This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D0BA1610-0572-4534-A083-CBBFFFCC22FB}" name="StateSenatorSenateDistrict13General" displayName="StateSenatorSenateDistrict13General" ref="A2:D11" totalsRowCount="1" headerRowDxfId="842" dataDxfId="840" totalsRowDxfId="838" headerRowBorderDxfId="841" tableBorderDxfId="839" totalsRowBorderDxfId="837">
  <autoFilter ref="A2:D10" xr:uid="{7D329055-02FA-4249-9564-3F326CBE70EC}">
    <filterColumn colId="0" hiddenButton="1"/>
    <filterColumn colId="1" hiddenButton="1"/>
    <filterColumn colId="2" hiddenButton="1"/>
    <filterColumn colId="3" hiddenButton="1"/>
  </autoFilter>
  <tableColumns count="4">
    <tableColumn id="1" xr3:uid="{D6373A46-7753-4B08-AEBF-45947038E492}" name="Candidate Name (Party)" totalsRowLabel="Total Votes by County" dataDxfId="836" totalsRowDxfId="835"/>
    <tableColumn id="4" xr3:uid="{CCC52DE1-635B-434C-82B0-1EE2C8F90CAC}" name="Part of Queens County Vote Results" totalsRowFunction="custom" dataDxfId="834" totalsRowDxfId="833">
      <totalsRowFormula>SUM(StateSenatorSenateDistrict13General[Part of Queens County Vote Results])</totalsRowFormula>
    </tableColumn>
    <tableColumn id="3" xr3:uid="{1E47D8C5-531A-4FB6-BD55-B2A81D4748C3}" name="Total Votes by Party" totalsRowFunction="custom" dataDxfId="832" totalsRowDxfId="831">
      <calculatedColumnFormula>StateSenatorSenateDistrict13General[[#This Row],[Part of Queens County Vote Results]]</calculatedColumnFormula>
      <totalsRowFormula>SUM(StateSenatorSenateDistrict13General[Total Votes by Party])</totalsRowFormula>
    </tableColumn>
    <tableColumn id="2" xr3:uid="{F06C64D5-F7AB-46A7-9C43-08AF593BAC0A}" name="Total Votes by Candidate" dataDxfId="830" totalsRowDxfId="82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2A6541E2-AF60-4DC9-8DA3-155C988991CB}" name="StateSenatorSenateDistrict14General" displayName="StateSenatorSenateDistrict14General" ref="A2:D7" totalsRowCount="1" headerRowDxfId="828" dataDxfId="826" totalsRowDxfId="824" headerRowBorderDxfId="827" tableBorderDxfId="825" totalsRowBorderDxfId="823">
  <autoFilter ref="A2:D6" xr:uid="{C9AD50FF-F416-4E1D-9F65-21BDCFC384B4}">
    <filterColumn colId="0" hiddenButton="1"/>
    <filterColumn colId="1" hiddenButton="1"/>
    <filterColumn colId="2" hiddenButton="1"/>
    <filterColumn colId="3" hiddenButton="1"/>
  </autoFilter>
  <tableColumns count="4">
    <tableColumn id="1" xr3:uid="{C13ACF98-AA85-402B-940F-DA9B57937D39}" name="Candidate Name (Party)" totalsRowLabel="Total Votes by County" dataDxfId="822" totalsRowDxfId="821"/>
    <tableColumn id="4" xr3:uid="{5FCB8EEF-877E-412A-8C6F-506D415CB591}" name="Part of Queens County Vote Results" totalsRowFunction="custom" dataDxfId="820" totalsRowDxfId="819">
      <totalsRowFormula>SUM(StateSenatorSenateDistrict14General[Part of Queens County Vote Results])</totalsRowFormula>
    </tableColumn>
    <tableColumn id="3" xr3:uid="{BA07879A-6B54-48DA-8E34-93BE83F909B1}" name="Total Votes by Party" totalsRowFunction="custom" dataDxfId="818" totalsRowDxfId="817">
      <calculatedColumnFormula>StateSenatorSenateDistrict14General[[#This Row],[Part of Queens County Vote Results]]</calculatedColumnFormula>
      <totalsRowFormula>SUM(StateSenatorSenateDistrict14General[Total Votes by Party])</totalsRowFormula>
    </tableColumn>
    <tableColumn id="2" xr3:uid="{899656E7-60F2-4801-AF8E-A8E0FD1DB934}" name="Total Votes by Candidate" dataDxfId="816" totalsRowDxfId="815">
      <calculatedColumnFormula>SUM(StateSenatorSenateDistrict14General[[#This Row],[Total Votes by Party]])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DC635766-EED1-4E5B-B23D-4472FACDC865}" name="StateSenatorSenateDistrict15General" displayName="StateSenatorSenateDistrict15General" ref="A2:D10" totalsRowCount="1" headerRowDxfId="814" dataDxfId="812" totalsRowDxfId="810" headerRowBorderDxfId="813" tableBorderDxfId="811" totalsRowBorderDxfId="809">
  <autoFilter ref="A2:D9" xr:uid="{631AFF6B-E30D-4A6D-A286-BC64D492E01E}">
    <filterColumn colId="0" hiddenButton="1"/>
    <filterColumn colId="1" hiddenButton="1"/>
    <filterColumn colId="2" hiddenButton="1"/>
    <filterColumn colId="3" hiddenButton="1"/>
  </autoFilter>
  <tableColumns count="4">
    <tableColumn id="1" xr3:uid="{5EE53CA9-EE49-44A0-A0A0-5D3FED53B13D}" name="Candidate Name (Party)" totalsRowLabel="Total Votes by County" dataDxfId="808" totalsRowDxfId="807"/>
    <tableColumn id="4" xr3:uid="{E10CB04F-DD26-472B-AD44-253A30685A61}" name="Part of Queens County Vote Results" totalsRowFunction="custom" dataDxfId="806" totalsRowDxfId="805">
      <totalsRowFormula>SUM(StateSenatorSenateDistrict15General[Part of Queens County Vote Results])</totalsRowFormula>
    </tableColumn>
    <tableColumn id="3" xr3:uid="{87A509E7-C158-4152-AD57-94E746C804DF}" name="Total Votes by Party" totalsRowFunction="custom" dataDxfId="804" totalsRowDxfId="803">
      <calculatedColumnFormula>StateSenatorSenateDistrict15General[[#This Row],[Part of Queens County Vote Results]]</calculatedColumnFormula>
      <totalsRowFormula>SUM(StateSenatorSenateDistrict15General[Total Votes by Party])</totalsRowFormula>
    </tableColumn>
    <tableColumn id="2" xr3:uid="{51AC2374-C352-493B-889E-0F994A5482EB}" name="Total Votes by Candidate" dataDxfId="802" totalsRowDxfId="80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7925607C-87E7-4F8B-B54D-20FAB6709DCF}" name="StateSenatorSenateDistrict16General" displayName="StateSenatorSenateDistrict16General" ref="A2:D7" totalsRowCount="1" headerRowDxfId="800" dataDxfId="798" totalsRowDxfId="796" headerRowBorderDxfId="799" tableBorderDxfId="797" totalsRowBorderDxfId="795">
  <autoFilter ref="A2:D6" xr:uid="{0488B77E-D79A-4C06-8B6B-DBBE145F442E}">
    <filterColumn colId="0" hiddenButton="1"/>
    <filterColumn colId="1" hiddenButton="1"/>
    <filterColumn colId="2" hiddenButton="1"/>
    <filterColumn colId="3" hiddenButton="1"/>
  </autoFilter>
  <tableColumns count="4">
    <tableColumn id="1" xr3:uid="{916D966B-587F-422E-9021-0935EA8938DC}" name="Candidate Name (Party)" totalsRowLabel="Total Votes by County" dataDxfId="794" totalsRowDxfId="793"/>
    <tableColumn id="4" xr3:uid="{4313B6F6-DD17-4048-A34C-B3C3DB75D5BD}" name="Part of Queens County Vote Results" totalsRowFunction="custom" dataDxfId="792" totalsRowDxfId="791">
      <totalsRowFormula>SUM(StateSenatorSenateDistrict16General[Part of Queens County Vote Results])</totalsRowFormula>
    </tableColumn>
    <tableColumn id="3" xr3:uid="{28954DF4-5A24-4403-A435-8C3F0CF51A67}" name="Total Votes by Party" totalsRowFunction="custom" dataDxfId="790" totalsRowDxfId="789">
      <calculatedColumnFormula>StateSenatorSenateDistrict16General[[#This Row],[Part of Queens County Vote Results]]</calculatedColumnFormula>
      <totalsRowFormula>SUM(StateSenatorSenateDistrict16General[Total Votes by Party])</totalsRowFormula>
    </tableColumn>
    <tableColumn id="2" xr3:uid="{5AC42F22-228A-4582-A223-107964DCD2FE}" name="Total Votes by Candidate" dataDxfId="788" totalsRowDxfId="787">
      <calculatedColumnFormula>SUM(StateSenatorSenateDistrict16General[[#This Row],[Total Votes by Party]])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281C7EF8-7A9D-4551-B69E-5A349928E03F}" name="StateSenatorSenateDistrict17General" displayName="StateSenatorSenateDistrict17General" ref="A2:D9" totalsRowCount="1" headerRowDxfId="786" dataDxfId="784" totalsRowDxfId="782" headerRowBorderDxfId="785" tableBorderDxfId="783" totalsRowBorderDxfId="781">
  <autoFilter ref="A2:D8" xr:uid="{45F123F9-3139-434A-A980-672DFB1A6DC4}">
    <filterColumn colId="0" hiddenButton="1"/>
    <filterColumn colId="1" hiddenButton="1"/>
    <filterColumn colId="2" hiddenButton="1"/>
    <filterColumn colId="3" hiddenButton="1"/>
  </autoFilter>
  <tableColumns count="4">
    <tableColumn id="1" xr3:uid="{E7A3270F-C430-4ADC-9357-A75CD7D6B2DE}" name="Candidate Name (Party)" totalsRowLabel="Total Votes by County" dataDxfId="780" totalsRowDxfId="779"/>
    <tableColumn id="4" xr3:uid="{34A7D066-FF42-4726-A350-4154F41FC052}" name="Part of Kings County Vote Results" totalsRowFunction="custom" totalsRowDxfId="778">
      <totalsRowFormula>SUM(StateSenatorSenateDistrict17General[Part of Kings County Vote Results])</totalsRowFormula>
    </tableColumn>
    <tableColumn id="3" xr3:uid="{A2B2EE79-E0C6-4218-98B3-17C4569052D7}" name="Total Votes by Party" totalsRowFunction="custom" dataDxfId="777" totalsRowDxfId="776">
      <calculatedColumnFormula>StateSenatorSenateDistrict17General[[#This Row],[Part of Kings County Vote Results]]</calculatedColumnFormula>
      <totalsRowFormula>SUM(StateSenatorSenateDistrict17General[Total Votes by Party])</totalsRowFormula>
    </tableColumn>
    <tableColumn id="2" xr3:uid="{AD770CAB-82FA-49A5-9849-003A96D235A4}" name="Total Votes by Candidate" dataDxfId="775" totalsRowDxfId="774">
      <calculatedColumnFormula>SUM(StateSenatorSenateDistrict17General[[#This Row],[Total Votes by Party]],C4,C5)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82763EFC-5A3F-4059-BDD6-298C128CC7CD}" name="StateSenatorSenateDistrict18General" displayName="StateSenatorSenateDistrict18General" ref="A2:D9" totalsRowCount="1" headerRowDxfId="773" dataDxfId="771" totalsRowDxfId="769" headerRowBorderDxfId="772" tableBorderDxfId="770" totalsRowBorderDxfId="768">
  <autoFilter ref="A2:D8" xr:uid="{692F44BD-1A6E-4A38-91AF-DFC990DFB886}">
    <filterColumn colId="0" hiddenButton="1"/>
    <filterColumn colId="1" hiddenButton="1"/>
    <filterColumn colId="2" hiddenButton="1"/>
    <filterColumn colId="3" hiddenButton="1"/>
  </autoFilter>
  <tableColumns count="4">
    <tableColumn id="1" xr3:uid="{F807E9EC-A216-415B-9F08-FBCC282BF10F}" name="Candidate Name (Party)" totalsRowLabel="Total Votes by County" dataDxfId="767" totalsRowDxfId="766"/>
    <tableColumn id="4" xr3:uid="{74707177-E778-47FA-B7FD-CB86DF6626F1}" name="Part of Kings County Vote Results" totalsRowFunction="custom" totalsRowDxfId="765">
      <totalsRowFormula>SUM(StateSenatorSenateDistrict18General[Part of Kings County Vote Results])</totalsRowFormula>
    </tableColumn>
    <tableColumn id="3" xr3:uid="{85C951E8-08CF-4691-B845-C00EC58CF289}" name="Total Votes by Party" totalsRowFunction="custom" dataDxfId="764" totalsRowDxfId="763">
      <calculatedColumnFormula>StateSenatorSenateDistrict18General[[#This Row],[Part of Kings County Vote Results]]</calculatedColumnFormula>
      <totalsRowFormula>SUM(StateSenatorSenateDistrict18General[Total Votes by Party])</totalsRowFormula>
    </tableColumn>
    <tableColumn id="2" xr3:uid="{08FBDB7D-46B4-4302-AFF5-20738B9C7283}" name="Total Votes by Candidate" dataDxfId="762" totalsRowDxfId="761">
      <calculatedColumnFormula>SUM(StateSenatorSenateDistrict18General[[#This Row],[Total Votes by Party]])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B8120273-68B9-4A3E-8140-0B46684F8037}" name="StateSenatorSenateDistrict19General" displayName="StateSenatorSenateDistrict19General" ref="A2:D7" totalsRowCount="1" headerRowDxfId="760" dataDxfId="758" totalsRowDxfId="756" headerRowBorderDxfId="759" tableBorderDxfId="757" totalsRowBorderDxfId="755">
  <autoFilter ref="A2:D6" xr:uid="{EAE3EA0E-DD60-4EDC-8BF9-94D731AF783C}">
    <filterColumn colId="0" hiddenButton="1"/>
    <filterColumn colId="1" hiddenButton="1"/>
    <filterColumn colId="2" hiddenButton="1"/>
    <filterColumn colId="3" hiddenButton="1"/>
  </autoFilter>
  <tableColumns count="4">
    <tableColumn id="1" xr3:uid="{AF6983F1-7AD0-4132-B368-34D5DA226627}" name="Candidate Name (Party)" totalsRowLabel="Total Votes by County" dataDxfId="754" totalsRowDxfId="753"/>
    <tableColumn id="4" xr3:uid="{9BBBF8B3-8312-4A90-8DBD-E43FDB68A3A8}" name="Part of Kings County Vote Results" totalsRowFunction="custom" totalsRowDxfId="752">
      <totalsRowFormula>SUM(StateSenatorSenateDistrict19General[Part of Kings County Vote Results])</totalsRowFormula>
    </tableColumn>
    <tableColumn id="3" xr3:uid="{66AB3EE7-92FE-4820-9E33-45BB0AA37FAD}" name="Total Votes by Party" totalsRowFunction="custom" dataDxfId="751" totalsRowDxfId="750">
      <calculatedColumnFormula>StateSenatorSenateDistrict19General[[#This Row],[Part of Kings County Vote Results]]</calculatedColumnFormula>
      <totalsRowFormula>SUM(StateSenatorSenateDistrict19General[Total Votes by Party])</totalsRowFormula>
    </tableColumn>
    <tableColumn id="2" xr3:uid="{B3FC3B9F-6443-414C-B248-9BBC79DFE5F2}" name="Total Votes by Candidate" dataDxfId="749" totalsRowDxfId="748">
      <calculatedColumnFormula>SUM(StateSenatorSenateDistrict19General[[#This Row],[Total Votes by Party]])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AB9E7FF2-8BFA-4C26-928B-4C2A22CA1188}" name="StateSenatorSenateDistrict2General" displayName="StateSenatorSenateDistrict2General" ref="A2:D11" totalsRowCount="1" headerRowDxfId="1000" dataDxfId="998" totalsRowDxfId="996" headerRowBorderDxfId="999" tableBorderDxfId="997" totalsRowBorderDxfId="995">
  <autoFilter ref="A2:D10" xr:uid="{08EE2516-64DC-4852-8812-2027C5D0EC6D}">
    <filterColumn colId="0" hiddenButton="1"/>
    <filterColumn colId="1" hiddenButton="1"/>
    <filterColumn colId="2" hiddenButton="1"/>
    <filterColumn colId="3" hiddenButton="1"/>
  </autoFilter>
  <tableColumns count="4">
    <tableColumn id="1" xr3:uid="{B419B2F2-642B-4785-8C7C-58C70147674B}" name="Candidate Name (Party)" totalsRowLabel="Total Votes by County" dataDxfId="994" totalsRowDxfId="993"/>
    <tableColumn id="4" xr3:uid="{E8E7A0BD-A13B-4C62-870E-24C42A83C155}" name="Part of Suffolk County Vote Results" totalsRowFunction="custom" dataDxfId="992" totalsRowDxfId="991">
      <totalsRowFormula>SUM(StateSenatorSenateDistrict2General[Part of Suffolk County Vote Results])</totalsRowFormula>
    </tableColumn>
    <tableColumn id="3" xr3:uid="{1F0A925F-66A0-46B6-B871-EC81EE22306B}" name="Total Votes by Party" totalsRowFunction="custom" dataDxfId="990" totalsRowDxfId="989">
      <totalsRowFormula>SUM(StateSenatorSenateDistrict2General[Total Votes by Party])</totalsRowFormula>
    </tableColumn>
    <tableColumn id="2" xr3:uid="{28EA66D1-8D77-4463-96F8-382C8B4D6386}" name="Total Votes by Candidate" dataDxfId="988" totalsRowDxfId="987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BD029C04-F661-4E8D-A948-9C9F66108801}" name="StateSenatorSenateDistrict20General" displayName="StateSenatorSenateDistrict20General" ref="A2:D9" totalsRowCount="1" headerRowDxfId="747" dataDxfId="745" totalsRowDxfId="743" headerRowBorderDxfId="746" tableBorderDxfId="744" totalsRowBorderDxfId="742">
  <autoFilter ref="A2:D8" xr:uid="{AFA44E0C-7A77-4DA9-BCC6-62ECEEFCFD7E}">
    <filterColumn colId="0" hiddenButton="1"/>
    <filterColumn colId="1" hiddenButton="1"/>
    <filterColumn colId="2" hiddenButton="1"/>
    <filterColumn colId="3" hiddenButton="1"/>
  </autoFilter>
  <tableColumns count="4">
    <tableColumn id="1" xr3:uid="{9E2AB23F-E4CA-443B-8684-D3F53B51CCE2}" name="Candidate Name (Party)" totalsRowLabel="Total Votes by County" dataDxfId="741" totalsRowDxfId="740"/>
    <tableColumn id="4" xr3:uid="{0296B53D-5B97-466A-8158-50AE2B42F8AB}" name="Part of Kings County Vote Results" totalsRowFunction="custom" totalsRowDxfId="739">
      <totalsRowFormula>SUM(StateSenatorSenateDistrict20General[Part of Kings County Vote Results])</totalsRowFormula>
    </tableColumn>
    <tableColumn id="3" xr3:uid="{E3202887-99A5-4847-A0AC-5BAEA93D45A2}" name="Total Votes by Party" totalsRowFunction="custom" dataDxfId="738" totalsRowDxfId="737">
      <calculatedColumnFormula>StateSenatorSenateDistrict20General[[#This Row],[Part of Kings County Vote Results]]</calculatedColumnFormula>
      <totalsRowFormula>SUM(StateSenatorSenateDistrict20General[Total Votes by Party])</totalsRowFormula>
    </tableColumn>
    <tableColumn id="2" xr3:uid="{412C8628-B699-4AFD-8F1B-E86BC3143FFE}" name="Total Votes by Candidate" dataDxfId="736" totalsRowDxfId="735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F3AA1D7B-B85A-4BD0-9244-46C37DD92012}" name="StateSenatorSenateDistrict21General" displayName="StateSenatorSenateDistrict21General" ref="A2:D7" totalsRowCount="1" headerRowDxfId="734" dataDxfId="732" totalsRowDxfId="730" headerRowBorderDxfId="733" tableBorderDxfId="731" totalsRowBorderDxfId="729">
  <autoFilter ref="A2:D6" xr:uid="{8BDB381A-505B-4556-9F70-C3008AC9457E}">
    <filterColumn colId="0" hiddenButton="1"/>
    <filterColumn colId="1" hiddenButton="1"/>
    <filterColumn colId="2" hiddenButton="1"/>
    <filterColumn colId="3" hiddenButton="1"/>
  </autoFilter>
  <tableColumns count="4">
    <tableColumn id="1" xr3:uid="{FCFC048E-3DA2-4459-A30C-2FC790F5EE7A}" name="Candidate Name (Party)" totalsRowLabel="Total Votes by County" dataDxfId="728" totalsRowDxfId="727"/>
    <tableColumn id="4" xr3:uid="{80E3BBF1-E97C-4F41-9382-D30A3C590F60}" name="Part of Kings County Vote Results" totalsRowFunction="custom" totalsRowDxfId="726">
      <totalsRowFormula>SUM(StateSenatorSenateDistrict21General[Part of Kings County Vote Results])</totalsRowFormula>
    </tableColumn>
    <tableColumn id="3" xr3:uid="{627D2382-ED99-4BA5-BE21-0FB35613A437}" name="Total Votes by Party" totalsRowFunction="custom" dataDxfId="725" totalsRowDxfId="724">
      <calculatedColumnFormula>StateSenatorSenateDistrict21General[[#This Row],[Part of Kings County Vote Results]]</calculatedColumnFormula>
      <totalsRowFormula>SUM(StateSenatorSenateDistrict21General[Total Votes by Party])</totalsRowFormula>
    </tableColumn>
    <tableColumn id="2" xr3:uid="{21BE7E47-63EB-42AA-A7F5-2468674A4B0E}" name="Total Votes by Candidate" dataDxfId="723" totalsRowDxfId="722">
      <calculatedColumnFormula>SUM(StateSenatorSenateDistrict21General[[#This Row],[Total Votes by Party]])</calculatedColumnFormula>
    </tableColumn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2221CAD1-5364-40F9-BEEC-29C34DF4E628}" name="StateSenatorSenateDistrict22General" displayName="StateSenatorSenateDistrict22General" ref="A2:D12" totalsRowCount="1" headerRowDxfId="721" dataDxfId="719" totalsRowDxfId="717" headerRowBorderDxfId="720" tableBorderDxfId="718" totalsRowBorderDxfId="716">
  <autoFilter ref="A2:D11" xr:uid="{44108E97-03E6-4A5D-A27C-003B5E8A5A04}">
    <filterColumn colId="0" hiddenButton="1"/>
    <filterColumn colId="1" hiddenButton="1"/>
    <filterColumn colId="2" hiddenButton="1"/>
    <filterColumn colId="3" hiddenButton="1"/>
  </autoFilter>
  <tableColumns count="4">
    <tableColumn id="1" xr3:uid="{4A276932-0401-4FD1-A803-6ACE8FC74144}" name="Candidate Name (Party)" totalsRowLabel="Total Votes by County" dataDxfId="715" totalsRowDxfId="714"/>
    <tableColumn id="4" xr3:uid="{5EF4017B-A5C9-4B47-A22A-8A3894A0103F}" name="Part of Kings County Vote Results" totalsRowFunction="custom" totalsRowDxfId="713">
      <totalsRowFormula>SUM(StateSenatorSenateDistrict22General[Part of Kings County Vote Results])</totalsRowFormula>
    </tableColumn>
    <tableColumn id="3" xr3:uid="{73035AD1-C6B7-429A-9783-6FC878B35087}" name="Total Votes by Party" totalsRowFunction="custom" dataDxfId="712" totalsRowDxfId="711">
      <calculatedColumnFormula>StateSenatorSenateDistrict22General[[#This Row],[Part of Kings County Vote Results]]</calculatedColumnFormula>
      <totalsRowFormula>SUM(StateSenatorSenateDistrict22General[Total Votes by Party])</totalsRowFormula>
    </tableColumn>
    <tableColumn id="2" xr3:uid="{2194FF64-080E-4E02-AD41-2FAAF4881B82}" name="Total Votes by Candidate" dataDxfId="710" totalsRowDxfId="70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90E41A20-D421-4904-A634-0A025F200E6B}" name="StateSenatorSenateDistrict23General" displayName="StateSenatorSenateDistrict23General" ref="A2:E10" totalsRowCount="1" headerRowDxfId="708" dataDxfId="706" totalsRowDxfId="704" headerRowBorderDxfId="707" tableBorderDxfId="705" totalsRowBorderDxfId="703">
  <autoFilter ref="A2:E9" xr:uid="{54126B05-CA63-458B-A224-2EA9D7AFEEA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8967728-54BE-4F8B-BF07-775A2FF4CD27}" name="Candidate Name (Party)" totalsRowLabel="Total Votes by County" dataDxfId="702" totalsRowDxfId="701"/>
    <tableColumn id="2" xr3:uid="{E3D95C31-11C0-47C7-AE22-626994B71021}" name="Part of Kings County Vote Results" totalsRowFunction="custom" totalsRowDxfId="700">
      <totalsRowFormula>SUM(StateSenatorSenateDistrict23General[Part of Kings County Vote Results])</totalsRowFormula>
    </tableColumn>
    <tableColumn id="4" xr3:uid="{B237B4F8-2565-4E73-8157-72EC53C4E5A7}" name="Part of Richmond County Vote Results" totalsRowFunction="custom" dataDxfId="699" totalsRowDxfId="698">
      <totalsRowFormula>SUM(StateSenatorSenateDistrict23General[Part of Richmond County Vote Results])</totalsRowFormula>
    </tableColumn>
    <tableColumn id="3" xr3:uid="{B1ED71AA-BCCD-4AD7-80C2-CE04A8DBED6F}" name="Total Votes by Party" totalsRowFunction="custom" dataDxfId="697" totalsRowDxfId="696">
      <calculatedColumnFormula>SUM(StateSenatorSenateDistrict23General[[#This Row],[Part of Kings County Vote Results]:[Part of Richmond County Vote Results]])</calculatedColumnFormula>
      <totalsRowFormula>SUM(StateSenatorSenateDistrict23General[Total Votes by Party])</totalsRowFormula>
    </tableColumn>
    <tableColumn id="5" xr3:uid="{257233A4-DB46-40D6-B3AD-018690F36DCD}" name="Total Votes by Candidate" dataDxfId="695" totalsRowDxfId="694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8C292CFE-490C-4A25-B68A-601CC269B048}" name="StateSenatorSenateDistrict24General" displayName="StateSenatorSenateDistrict24General" ref="A2:D9" totalsRowCount="1" headerRowDxfId="693" dataDxfId="691" totalsRowDxfId="689" headerRowBorderDxfId="692" tableBorderDxfId="690" totalsRowBorderDxfId="688">
  <autoFilter ref="A2:D8" xr:uid="{E197A7CC-BC9F-46C0-9F14-E8C9E98C1D89}">
    <filterColumn colId="0" hiddenButton="1"/>
    <filterColumn colId="1" hiddenButton="1"/>
    <filterColumn colId="2" hiddenButton="1"/>
    <filterColumn colId="3" hiddenButton="1"/>
  </autoFilter>
  <tableColumns count="4">
    <tableColumn id="1" xr3:uid="{C6B16D30-F24E-483F-9003-47147775065A}" name="Candidate Name (Party)" totalsRowLabel="Total Votes by County" dataDxfId="687" totalsRowDxfId="686"/>
    <tableColumn id="4" xr3:uid="{A7B4C9D8-B42A-48A3-9FB9-C53DABEC6BA5}" name="Part of Richmond County Vote Results" totalsRowFunction="custom" dataDxfId="685" totalsRowDxfId="684">
      <totalsRowFormula>SUM(StateSenatorSenateDistrict24General[Part of Richmond County Vote Results])</totalsRowFormula>
    </tableColumn>
    <tableColumn id="3" xr3:uid="{1651C4A3-49E3-47CB-88EA-1624F4EC41DF}" name="Total Votes by Party" totalsRowFunction="custom" dataDxfId="683" totalsRowDxfId="682">
      <calculatedColumnFormula>StateSenatorSenateDistrict24General[[#This Row],[Part of Richmond County Vote Results]]</calculatedColumnFormula>
      <totalsRowFormula>SUM(StateSenatorSenateDistrict24General[Total Votes by Party])</totalsRowFormula>
    </tableColumn>
    <tableColumn id="2" xr3:uid="{4224B959-75CD-4943-96C9-822E9D9A0A20}" name="Total Votes by Candidate" dataDxfId="681" totalsRowDxfId="680">
      <calculatedColumnFormula>SUM(StateSenatorSenateDistrict24General[[#This Row],[Total Votes by Party]],C4,C5)</calculatedColumnFormula>
    </tableColumn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8D1C574E-BD2B-41B4-9CB4-537C2DBC1A2B}" name="StateSenatorSenateDistrict25General" displayName="StateSenatorSenateDistrict25General" ref="A2:D8" totalsRowCount="1" headerRowDxfId="679" dataDxfId="677" totalsRowDxfId="675" headerRowBorderDxfId="678" tableBorderDxfId="676" totalsRowBorderDxfId="674">
  <autoFilter ref="A2:D7" xr:uid="{06ECA87C-D4FC-4637-A821-A249C3AF945C}">
    <filterColumn colId="0" hiddenButton="1"/>
    <filterColumn colId="1" hiddenButton="1"/>
    <filterColumn colId="2" hiddenButton="1"/>
    <filterColumn colId="3" hiddenButton="1"/>
  </autoFilter>
  <tableColumns count="4">
    <tableColumn id="1" xr3:uid="{2A179DFD-D1C6-4209-A57D-B1CCC272133E}" name="Candidate Name (Party)" totalsRowLabel="Total Votes by County" dataDxfId="673" totalsRowDxfId="672"/>
    <tableColumn id="4" xr3:uid="{00D725EA-B740-4593-8FBC-DEE1AD19025F}" name="Part of Kings County Vote Results" totalsRowFunction="custom" totalsRowDxfId="671">
      <totalsRowFormula>SUM(StateSenatorSenateDistrict25General[Part of Kings County Vote Results])</totalsRowFormula>
    </tableColumn>
    <tableColumn id="3" xr3:uid="{A5CED6C1-F723-4771-AC3A-904D8B4B43B8}" name="Total Votes by Party" totalsRowFunction="custom" dataDxfId="670" totalsRowDxfId="669">
      <calculatedColumnFormula>StateSenatorSenateDistrict25General[[#This Row],[Part of Kings County Vote Results]]</calculatedColumnFormula>
      <totalsRowFormula>SUM(StateSenatorSenateDistrict25General[Total Votes by Party])</totalsRowFormula>
    </tableColumn>
    <tableColumn id="2" xr3:uid="{953C56E6-3151-4656-9CF8-154E952BC644}" name="Total Votes by Candidate" dataDxfId="668" totalsRowDxfId="667">
      <calculatedColumnFormula>SUM(StateSenatorSenateDistrict25General[[#This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1FC66BC9-C710-4CDE-8EA0-27D1F02B79CF}" name="StateSenatorSenateDistrict26General" displayName="StateSenatorSenateDistrict26General" ref="A2:E9" totalsRowCount="1" headerRowDxfId="666" dataDxfId="664" totalsRowDxfId="662" headerRowBorderDxfId="665" tableBorderDxfId="663" totalsRowBorderDxfId="661">
  <autoFilter ref="A2:E8" xr:uid="{8B8E72CF-749E-40B9-9100-BF3DC73FCED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4698E86-8093-4B24-8534-51C12A50475E}" name="Candidate Name (Party)" totalsRowLabel="Total Votes by County" dataDxfId="660" totalsRowDxfId="659"/>
    <tableColumn id="2" xr3:uid="{E9DEED1B-4F96-4E35-96CA-C3C90A1680D5}" name="Part of Kings County Vote Results" totalsRowFunction="custom" totalsRowDxfId="658">
      <totalsRowFormula>SUM(StateSenatorSenateDistrict26General[Part of Kings County Vote Results])</totalsRowFormula>
    </tableColumn>
    <tableColumn id="4" xr3:uid="{97F5A015-A203-4681-AD73-2DD0083CFC24}" name="Part of New York County Vote Results" totalsRowFunction="custom" dataDxfId="657" totalsRowDxfId="656">
      <totalsRowFormula>SUM(StateSenatorSenateDistrict26General[Part of New York County Vote Results])</totalsRowFormula>
    </tableColumn>
    <tableColumn id="3" xr3:uid="{09D3060B-17E7-465A-A565-EBA78657DE86}" name="Total Votes by Party" totalsRowFunction="custom" dataDxfId="655" totalsRowDxfId="654">
      <calculatedColumnFormula>SUM(StateSenatorSenateDistrict26General[[#This Row],[Part of Kings County Vote Results]:[Part of New York County Vote Results]])</calculatedColumnFormula>
      <totalsRowFormula>SUM(StateSenatorSenateDistrict26General[Total Votes by Party])</totalsRowFormula>
    </tableColumn>
    <tableColumn id="5" xr3:uid="{BF649100-9930-46CF-B7E6-F047CEDD0492}" name="Total Votes by Candidate" dataDxfId="653" totalsRowDxfId="652"/>
  </tableColumns>
  <tableStyleInfo name="TableStyleMedium2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20DE826B-2EC9-4572-85B7-9C8B1CAA6269}" name="StateSenatorSenateDistrict27General" displayName="StateSenatorSenateDistrict27General" ref="A2:D8" totalsRowCount="1" headerRowDxfId="651" dataDxfId="649" totalsRowDxfId="647" headerRowBorderDxfId="650" tableBorderDxfId="648" totalsRowBorderDxfId="646">
  <autoFilter ref="A2:D7" xr:uid="{62C311E0-B033-4133-8CC3-8FB9FA631EE3}">
    <filterColumn colId="0" hiddenButton="1"/>
    <filterColumn colId="1" hiddenButton="1"/>
    <filterColumn colId="2" hiddenButton="1"/>
    <filterColumn colId="3" hiddenButton="1"/>
  </autoFilter>
  <tableColumns count="4">
    <tableColumn id="1" xr3:uid="{C8C60E63-2994-4D26-AADD-778B5C1BD07B}" name="Candidate Name (Party)" totalsRowLabel="Total Votes by County" dataDxfId="645" totalsRowDxfId="644"/>
    <tableColumn id="4" xr3:uid="{9BD34521-68DB-480E-A2DC-208FD82C9B70}" name="Part of New York County Vote Results" totalsRowFunction="custom" dataDxfId="643" totalsRowDxfId="642">
      <totalsRowFormula>SUM(StateSenatorSenateDistrict27General[Part of New York County Vote Results])</totalsRowFormula>
    </tableColumn>
    <tableColumn id="3" xr3:uid="{681341D9-29D0-4A26-B16F-781A1E7DAB0A}" name="Total Votes by Party" totalsRowFunction="custom" dataDxfId="641" totalsRowDxfId="640">
      <calculatedColumnFormula>StateSenatorSenateDistrict27General[[#This Row],[Part of New York County Vote Results]]</calculatedColumnFormula>
      <totalsRowFormula>SUM(StateSenatorSenateDistrict27General[Total Votes by Party])</totalsRowFormula>
    </tableColumn>
    <tableColumn id="2" xr3:uid="{9305F792-F1AD-46DF-AE88-0F2676F342C4}" name="Total Votes by Candidate" dataDxfId="639" totalsRowDxfId="638">
      <calculatedColumnFormula>SUM(StateSenatorSenateDistrict27General[[#This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7ED97B32-94B7-4E4E-B856-6A5546C4E68E}" name="StateSenatorSenateDistrict28General" displayName="StateSenatorSenateDistrict28General" ref="A2:D10" totalsRowCount="1" headerRowDxfId="637" dataDxfId="635" totalsRowDxfId="633" headerRowBorderDxfId="636" tableBorderDxfId="634" totalsRowBorderDxfId="632">
  <autoFilter ref="A2:D9" xr:uid="{4369AD02-EED6-41FF-98B0-674AF9E33135}">
    <filterColumn colId="0" hiddenButton="1"/>
    <filterColumn colId="1" hiddenButton="1"/>
    <filterColumn colId="2" hiddenButton="1"/>
    <filterColumn colId="3" hiddenButton="1"/>
  </autoFilter>
  <tableColumns count="4">
    <tableColumn id="1" xr3:uid="{E8C054F2-AF01-4A0D-9A63-81CBDF6795D3}" name="Candidate Name (Party)" totalsRowLabel="Total Votes by County" dataDxfId="631" totalsRowDxfId="630"/>
    <tableColumn id="4" xr3:uid="{7979D094-596C-42AB-8EC7-3A29760E5F1D}" name="Part of New York County Vote Results" totalsRowFunction="custom" dataDxfId="629" totalsRowDxfId="628">
      <totalsRowFormula>SUM(StateSenatorSenateDistrict28General[Part of New York County Vote Results])</totalsRowFormula>
    </tableColumn>
    <tableColumn id="3" xr3:uid="{9C01749F-51EC-439C-9DEF-9ADE98E5E079}" name="Total Votes by Party" totalsRowFunction="custom" dataDxfId="627" totalsRowDxfId="626">
      <calculatedColumnFormula>StateSenatorSenateDistrict28General[[#This Row],[Part of New York County Vote Results]]</calculatedColumnFormula>
      <totalsRowFormula>SUM(StateSenatorSenateDistrict28General[Total Votes by Party])</totalsRowFormula>
    </tableColumn>
    <tableColumn id="2" xr3:uid="{9A353C9B-F60E-48C4-9790-FD39B64B2D4C}" name="Total Votes by Candidate" dataDxfId="625" totalsRowDxfId="624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54A57BF8-9384-48EC-AADC-57FBC8E5D051}" name="StateSenatorSenateDistrict29General" displayName="StateSenatorSenateDistrict29General" ref="A2:E8" totalsRowCount="1" headerRowDxfId="623" dataDxfId="621" totalsRowDxfId="619" headerRowBorderDxfId="622" tableBorderDxfId="620" totalsRowBorderDxfId="618">
  <autoFilter ref="A2:E7" xr:uid="{391D07F9-7643-47D4-8D64-70A4F00BAFE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8FD055B-1C46-4A63-ACBE-B84041AB7E66}" name="Candidate Name (Party)" totalsRowLabel="Total Votes by County" dataDxfId="617" totalsRowDxfId="616"/>
    <tableColumn id="2" xr3:uid="{DFC8B4A3-16A7-4D85-8FD8-409349C8C652}" name="Part of Bronx County Vote Results" totalsRowFunction="custom" dataDxfId="615" totalsRowDxfId="614">
      <totalsRowFormula>SUM(StateSenatorSenateDistrict29General[Part of Bronx County Vote Results])</totalsRowFormula>
    </tableColumn>
    <tableColumn id="4" xr3:uid="{C61B4064-53EE-477F-8E6D-4F0D55695925}" name="Part of New York County Vote Results" totalsRowFunction="custom" dataDxfId="613" totalsRowDxfId="612">
      <totalsRowFormula>SUM(StateSenatorSenateDistrict29General[Part of New York County Vote Results])</totalsRowFormula>
    </tableColumn>
    <tableColumn id="3" xr3:uid="{18951F8C-1F2C-42EA-869B-1E1FB4739ED7}" name="Total Votes by Party" totalsRowFunction="custom" dataDxfId="611" totalsRowDxfId="610">
      <calculatedColumnFormula>SUM(StateSenatorSenateDistrict29General[[#This Row],[Part of Bronx County Vote Results]:[Part of New York County Vote Results]])</calculatedColumnFormula>
      <totalsRowFormula>SUM(StateSenatorSenateDistrict29General[Total Votes by Party])</totalsRowFormula>
    </tableColumn>
    <tableColumn id="5" xr3:uid="{5F6D2622-264F-46FC-95B5-49F2542C88B7}" name="Total Votes by Candidate" dataDxfId="609" totalsRowDxfId="60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C3B9EB99-66E7-4184-B189-228567C9B1DF}" name="StateSenatorSenateDistrict3General" displayName="StateSenatorSenateDistrict3General" ref="A2:D10" totalsRowCount="1" headerRowDxfId="986" dataDxfId="984" totalsRowDxfId="982" headerRowBorderDxfId="985" tableBorderDxfId="983" totalsRowBorderDxfId="981">
  <autoFilter ref="A2:D9" xr:uid="{E849A2E2-D466-4FEE-AC0E-07449222D724}">
    <filterColumn colId="0" hiddenButton="1"/>
    <filterColumn colId="1" hiddenButton="1"/>
    <filterColumn colId="2" hiddenButton="1"/>
    <filterColumn colId="3" hiddenButton="1"/>
  </autoFilter>
  <tableColumns count="4">
    <tableColumn id="1" xr3:uid="{47C31D8F-8820-429B-AFDC-6A1A12EC577F}" name="Candidate Name (Party)" totalsRowLabel="Total Votes by County" dataDxfId="980" totalsRowDxfId="979"/>
    <tableColumn id="4" xr3:uid="{C671D879-E29C-46B0-BBDC-CF0791FF18FC}" name="Part of Suffolk County Vote Results" totalsRowFunction="custom" dataDxfId="978" totalsRowDxfId="977">
      <totalsRowFormula>SUM(StateSenatorSenateDistrict3General[Part of Suffolk County Vote Results])</totalsRowFormula>
    </tableColumn>
    <tableColumn id="3" xr3:uid="{6CC0C525-F3EA-4BDC-9BDF-0564602583EA}" name="Total Votes by Party" totalsRowFunction="custom" dataDxfId="976" totalsRowDxfId="975">
      <totalsRowFormula>SUM(StateSenatorSenateDistrict3General[Total Votes by Party])</totalsRowFormula>
    </tableColumn>
    <tableColumn id="2" xr3:uid="{6682A752-3D95-4654-927E-B58D06DFCA00}" name="Total Votes by Candidate" dataDxfId="974" totalsRowDxfId="973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2F0DE63B-C058-4A01-8E04-58562899E872}" name="StateSenatorSenateDistrict30General" displayName="StateSenatorSenateDistrict30General" ref="A2:D8" totalsRowCount="1" headerRowDxfId="607" dataDxfId="605" totalsRowDxfId="603" headerRowBorderDxfId="606" tableBorderDxfId="604" totalsRowBorderDxfId="602">
  <autoFilter ref="A2:D7" xr:uid="{CCCA2082-346E-4E28-81FE-E416EE035169}">
    <filterColumn colId="0" hiddenButton="1"/>
    <filterColumn colId="1" hiddenButton="1"/>
    <filterColumn colId="2" hiddenButton="1"/>
    <filterColumn colId="3" hiddenButton="1"/>
  </autoFilter>
  <tableColumns count="4">
    <tableColumn id="1" xr3:uid="{F528DD78-8E0B-4CC0-98EE-9E78A51D5B91}" name="Candidate Name (Party)" totalsRowLabel="Total Votes by County" dataDxfId="601" totalsRowDxfId="600"/>
    <tableColumn id="4" xr3:uid="{A04A1007-DF83-44DC-9FC8-35A77D90F729}" name="Part of New York County Vote Results" totalsRowFunction="custom" dataDxfId="599" totalsRowDxfId="598">
      <totalsRowFormula>SUM(StateSenatorSenateDistrict30General[Part of New York County Vote Results])</totalsRowFormula>
    </tableColumn>
    <tableColumn id="3" xr3:uid="{4CC4CCBB-17B9-4558-9148-E6BC2B90ED4E}" name="Total Votes by Party" totalsRowFunction="custom" dataDxfId="597" totalsRowDxfId="596">
      <calculatedColumnFormula>StateSenatorSenateDistrict30General[[#This Row],[Part of New York County Vote Results]]</calculatedColumnFormula>
      <totalsRowFormula>SUM(StateSenatorSenateDistrict30General[Total Votes by Party])</totalsRowFormula>
    </tableColumn>
    <tableColumn id="2" xr3:uid="{81E6DED4-2202-4EF8-9835-00A30234F6A0}" name="Total Votes by Candidate" dataDxfId="595" totalsRowDxfId="594"/>
  </tableColumns>
  <tableStyleInfo name="TableStyleMedium2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CFFBF97E-721C-4DB8-81E1-1E73F3305097}" name="StateSenatorSenateDistrict31General" displayName="StateSenatorSenateDistrict31General" ref="A2:D9" totalsRowCount="1" headerRowDxfId="593" dataDxfId="591" totalsRowDxfId="589" headerRowBorderDxfId="592" tableBorderDxfId="590" totalsRowBorderDxfId="588">
  <autoFilter ref="A2:D8" xr:uid="{AC89B2AA-2F33-4C00-947B-3AC1042912D3}">
    <filterColumn colId="0" hiddenButton="1"/>
    <filterColumn colId="1" hiddenButton="1"/>
    <filterColumn colId="2" hiddenButton="1"/>
    <filterColumn colId="3" hiddenButton="1"/>
  </autoFilter>
  <tableColumns count="4">
    <tableColumn id="1" xr3:uid="{C2840809-0B09-474E-ABE6-7BDB5407BEEC}" name="Candidate Name (Party)" totalsRowLabel="Total Votes by County" dataDxfId="587" totalsRowDxfId="586"/>
    <tableColumn id="4" xr3:uid="{B1EF1435-B2E1-4837-8232-0536EEA8BBF1}" name="Part of New York County Vote Results" totalsRowFunction="custom" dataDxfId="585" totalsRowDxfId="584">
      <totalsRowFormula>SUM(StateSenatorSenateDistrict31General[Part of New York County Vote Results])</totalsRowFormula>
    </tableColumn>
    <tableColumn id="3" xr3:uid="{2C0DD2FB-F8C5-4CAF-8CF9-89D5FB7F0B19}" name="Total Votes by Party" totalsRowFunction="custom" dataDxfId="583" totalsRowDxfId="582">
      <calculatedColumnFormula>StateSenatorSenateDistrict31General[[#This Row],[Part of New York County Vote Results]]</calculatedColumnFormula>
      <totalsRowFormula>SUM(StateSenatorSenateDistrict31General[Total Votes by Party])</totalsRowFormula>
    </tableColumn>
    <tableColumn id="2" xr3:uid="{CA1C42EF-F2BB-4198-A6FB-75B4F8D77CA7}" name="Total Votes by Candidate" dataDxfId="581" totalsRowDxfId="580"/>
  </tableColumns>
  <tableStyleInfo name="TableStyleMedium2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0A0FDC0F-1ECD-48B0-AEC2-78EA6E3B5AC2}" name="StateSenatorSenateDistrict32General" displayName="StateSenatorSenateDistrict32General" ref="A2:D8" totalsRowCount="1" headerRowDxfId="579" dataDxfId="577" totalsRowDxfId="575" headerRowBorderDxfId="578" tableBorderDxfId="576" totalsRowBorderDxfId="574">
  <autoFilter ref="A2:D7" xr:uid="{66B45EA2-D6CB-4A17-AEE7-0AED9F515D9C}">
    <filterColumn colId="0" hiddenButton="1"/>
    <filterColumn colId="1" hiddenButton="1"/>
    <filterColumn colId="2" hiddenButton="1"/>
    <filterColumn colId="3" hiddenButton="1"/>
  </autoFilter>
  <tableColumns count="4">
    <tableColumn id="1" xr3:uid="{F19B2ED5-08B2-468B-8AD4-716BE9D7DC76}" name="Candidate Name (Party)" totalsRowLabel="Total Votes by County" dataDxfId="573" totalsRowDxfId="572"/>
    <tableColumn id="4" xr3:uid="{784DF38C-CBA5-44F2-937C-F914B324DE33}" name="Part of Bronx County Vote Results" totalsRowFunction="custom" dataDxfId="571" totalsRowDxfId="570">
      <totalsRowFormula>SUM(StateSenatorSenateDistrict32General[Part of Bronx County Vote Results])</totalsRowFormula>
    </tableColumn>
    <tableColumn id="3" xr3:uid="{2A3C0656-C662-49AD-B47F-C96D80A4C0DD}" name="Total Votes by Party" totalsRowFunction="custom" dataDxfId="569" totalsRowDxfId="568">
      <calculatedColumnFormula>StateSenatorSenateDistrict32General[[#This Row],[Part of Bronx County Vote Results]]</calculatedColumnFormula>
      <totalsRowFormula>SUM(StateSenatorSenateDistrict32General[Total Votes by Party])</totalsRowFormula>
    </tableColumn>
    <tableColumn id="2" xr3:uid="{92A94245-74F7-4646-B71C-9EB8D4014AD6}" name="Total Votes by Candidate" dataDxfId="567" totalsRowDxfId="566"/>
  </tableColumns>
  <tableStyleInfo name="TableStyleMedium2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86D04B67-DD1F-4B13-A711-EDE68035DF9C}" name="StateSenatorSenateDistrict33General" displayName="StateSenatorSenateDistrict33General" ref="A2:D10" totalsRowCount="1" headerRowDxfId="565" dataDxfId="563" totalsRowDxfId="561" headerRowBorderDxfId="564" tableBorderDxfId="562" totalsRowBorderDxfId="560">
  <autoFilter ref="A2:D9" xr:uid="{E03987BE-97E4-4885-9FB9-6ACFB481227A}">
    <filterColumn colId="0" hiddenButton="1"/>
    <filterColumn colId="1" hiddenButton="1"/>
    <filterColumn colId="2" hiddenButton="1"/>
    <filterColumn colId="3" hiddenButton="1"/>
  </autoFilter>
  <tableColumns count="4">
    <tableColumn id="1" xr3:uid="{9FEEAB08-7837-43C6-AEB4-0CAF6938AEA7}" name="Candidate Name (Party)" totalsRowLabel="Total Votes by County" dataDxfId="559" totalsRowDxfId="558"/>
    <tableColumn id="4" xr3:uid="{6FEC6351-D4FF-4EBB-9DF5-9BA722BB3D53}" name="Part of Bronx County Vote Results" totalsRowFunction="custom" dataDxfId="557" totalsRowDxfId="556">
      <totalsRowFormula>SUM(StateSenatorSenateDistrict33General[Part of Bronx County Vote Results])</totalsRowFormula>
    </tableColumn>
    <tableColumn id="3" xr3:uid="{A9588ADC-3539-472C-8BEC-E97A87067BB0}" name="Total Votes by Party" totalsRowFunction="custom" dataDxfId="555" totalsRowDxfId="554">
      <calculatedColumnFormula>StateSenatorSenateDistrict33General[[#This Row],[Part of Bronx County Vote Results]]</calculatedColumnFormula>
      <totalsRowFormula>SUM(StateSenatorSenateDistrict33General[Total Votes by Party])</totalsRowFormula>
    </tableColumn>
    <tableColumn id="2" xr3:uid="{C44F68A2-C66E-4D65-BDD1-B091735254EB}" name="Total Votes by Candidate" dataDxfId="553" totalsRowDxfId="552"/>
  </tableColumns>
  <tableStyleInfo name="TableStyleMedium2"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46FE54D6-8E5A-4F2D-AE73-29E28DEAF028}" name="StateSenatorSenateDistrict34General" displayName="StateSenatorSenateDistrict34General" ref="A2:E10" totalsRowCount="1" headerRowDxfId="551" dataDxfId="549" totalsRowDxfId="547" headerRowBorderDxfId="550" tableBorderDxfId="548" totalsRowBorderDxfId="546">
  <autoFilter ref="A2:E9" xr:uid="{7160B362-E91B-4B57-9F7C-466B52FC771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CB86591-FD6B-42F3-BC31-47B3DE235366}" name="Candidate Name (Party)" totalsRowLabel="Total Votes by County" dataDxfId="545" totalsRowDxfId="544"/>
    <tableColumn id="2" xr3:uid="{3B141CEF-CB9E-439D-A648-634F66A8F477}" name="Part of Bronx County Vote Results" totalsRowFunction="custom" dataDxfId="543" totalsRowDxfId="542">
      <totalsRowFormula>SUM(StateSenatorSenateDistrict34General[Part of Bronx County Vote Results])</totalsRowFormula>
    </tableColumn>
    <tableColumn id="4" xr3:uid="{D8716D40-EB10-4835-A88B-9F662961DDE5}" name="Part of Westchester County Vote Results" totalsRowFunction="custom" dataDxfId="541" totalsRowDxfId="540">
      <totalsRowFormula>SUM(StateSenatorSenateDistrict34General[Part of Westchester County Vote Results])</totalsRowFormula>
    </tableColumn>
    <tableColumn id="3" xr3:uid="{0639448B-8360-460F-9153-663D099EA138}" name="Total Votes by Party" totalsRowFunction="custom" dataDxfId="539" totalsRowDxfId="538">
      <calculatedColumnFormula>SUM(StateSenatorSenateDistrict34General[[#This Row],[Part of Bronx County Vote Results]:[Part of Westchester County Vote Results]])</calculatedColumnFormula>
      <totalsRowFormula>SUM(StateSenatorSenateDistrict34General[Total Votes by Party])</totalsRowFormula>
    </tableColumn>
    <tableColumn id="5" xr3:uid="{5B43CF9D-0744-45DA-AD30-BC1517C63806}" name="Total Votes by Candidate" dataDxfId="537" totalsRowDxfId="536"/>
  </tableColumns>
  <tableStyleInfo name="TableStyleMedium2" showFirstColumn="0" showLastColumn="0" showRowStripes="0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D3BDC20D-1387-47FC-B99E-08D7A4E04ECD}" name="StateSenatorSenateDistrict35General" displayName="StateSenatorSenateDistrict35General" ref="A2:D8" totalsRowCount="1" headerRowDxfId="535" dataDxfId="533" totalsRowDxfId="531" headerRowBorderDxfId="534" tableBorderDxfId="532" totalsRowBorderDxfId="530">
  <autoFilter ref="A2:D7" xr:uid="{2FE2021E-B3FC-4090-BFCF-0E5764AB8AE4}">
    <filterColumn colId="0" hiddenButton="1"/>
    <filterColumn colId="1" hiddenButton="1"/>
    <filterColumn colId="2" hiddenButton="1"/>
    <filterColumn colId="3" hiddenButton="1"/>
  </autoFilter>
  <tableColumns count="4">
    <tableColumn id="1" xr3:uid="{CC5F317C-4F11-4374-96F5-B336D7D00E73}" name="Candidate Name (Party)" totalsRowLabel="Total Votes by County" dataDxfId="529" totalsRowDxfId="528"/>
    <tableColumn id="4" xr3:uid="{67FF2FF3-DBF5-488C-971B-EB8E61C5790F}" name="Part of Westchester County Vote Results" totalsRowFunction="custom" dataDxfId="527" totalsRowDxfId="526">
      <totalsRowFormula>SUM(StateSenatorSenateDistrict35General[Part of Westchester County Vote Results])</totalsRowFormula>
    </tableColumn>
    <tableColumn id="3" xr3:uid="{E348A3EB-472C-4A68-9738-460147E09ABA}" name="Total Votes by Party" totalsRowFunction="custom" dataDxfId="525" totalsRowDxfId="524">
      <calculatedColumnFormula>StateSenatorSenateDistrict35General[[#This Row],[Part of Westchester County Vote Results]]</calculatedColumnFormula>
      <totalsRowFormula>SUM(StateSenatorSenateDistrict35General[Total Votes by Party])</totalsRowFormula>
    </tableColumn>
    <tableColumn id="2" xr3:uid="{80331C9E-887F-447C-B816-007D189283D2}" name="Total Votes by Candidate" dataDxfId="523" totalsRowDxfId="522">
      <calculatedColumnFormula>SUM(StateSenatorSenateDistrict35General[[#This Row],[Total Votes by Party]],C4)</calculatedColumnFormula>
    </tableColumn>
  </tableColumns>
  <tableStyleInfo name="TableStyleMedium2" showFirstColumn="0" showLastColumn="0" showRowStripes="0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32FF5B61-D906-468D-97E7-F51545487C37}" name="StateSenatorSenateDistrict36General" displayName="StateSenatorSenateDistrict36General" ref="A2:E8" totalsRowCount="1" headerRowDxfId="521" dataDxfId="519" totalsRowDxfId="517" headerRowBorderDxfId="520" tableBorderDxfId="518" totalsRowBorderDxfId="516">
  <autoFilter ref="A2:E7" xr:uid="{2120EBA0-D9CB-4517-B699-FBA464EB0F1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22466CA-F9FF-4C9D-BF2D-1FCABBB53A9E}" name="Candidate Name (Party)" totalsRowLabel="Total Votes by County" dataDxfId="515" totalsRowDxfId="514"/>
    <tableColumn id="2" xr3:uid="{95483D6D-E7DE-45CC-863A-3559F6634A7F}" name="Part of Bronx County Vote Results" totalsRowFunction="custom" dataDxfId="513" totalsRowDxfId="512">
      <totalsRowFormula>SUM(StateSenatorSenateDistrict36General[Part of Bronx County Vote Results])</totalsRowFormula>
    </tableColumn>
    <tableColumn id="4" xr3:uid="{FF9D1F0F-7731-4F5C-A1FB-0B198C37B835}" name="Part of Westchester County Vote Results" totalsRowFunction="custom" dataDxfId="511" totalsRowDxfId="510">
      <totalsRowFormula>SUM(StateSenatorSenateDistrict36General[Part of Westchester County Vote Results])</totalsRowFormula>
    </tableColumn>
    <tableColumn id="3" xr3:uid="{AFAE93E6-49C7-4796-8885-DC04356C0A0F}" name="Total Votes by Party" totalsRowFunction="custom" dataDxfId="509" totalsRowDxfId="508">
      <calculatedColumnFormula>SUM(StateSenatorSenateDistrict36General[[#This Row],[Part of Bronx County Vote Results]:[Part of Westchester County Vote Results]])</calculatedColumnFormula>
      <totalsRowFormula>SUM(StateSenatorSenateDistrict36General[Total Votes by Party])</totalsRowFormula>
    </tableColumn>
    <tableColumn id="5" xr3:uid="{3A06EA30-72AE-4F51-976A-3989AC5F5EBF}" name="Total Votes by Candidate" dataDxfId="507" totalsRowDxfId="506"/>
  </tableColumns>
  <tableStyleInfo name="TableStyleMedium2" showFirstColumn="0" showLastColumn="0" showRowStripes="0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A906211E-97C1-4CD9-A059-4B4825432605}" name="StateSenatorSenateDistrict37General" displayName="StateSenatorSenateDistrict37General" ref="A2:D11" totalsRowCount="1" headerRowDxfId="505" dataDxfId="503" totalsRowDxfId="501" headerRowBorderDxfId="504" tableBorderDxfId="502" totalsRowBorderDxfId="500">
  <autoFilter ref="A2:D10" xr:uid="{62B5EA22-6D1D-4FB8-A0B1-C8F214797620}">
    <filterColumn colId="0" hiddenButton="1"/>
    <filterColumn colId="1" hiddenButton="1"/>
    <filterColumn colId="2" hiddenButton="1"/>
    <filterColumn colId="3" hiddenButton="1"/>
  </autoFilter>
  <tableColumns count="4">
    <tableColumn id="1" xr3:uid="{F5842F7C-BC93-4D70-94E1-816558EEE702}" name="Candidate Name (Party)" totalsRowLabel="Total Votes by County" dataDxfId="499" totalsRowDxfId="498"/>
    <tableColumn id="4" xr3:uid="{3D79DBC5-A30F-4770-ACC2-1B68E1A2F457}" name="Part of Westchester County Vote Results" totalsRowFunction="custom" dataDxfId="497" totalsRowDxfId="496">
      <totalsRowFormula>SUM(StateSenatorSenateDistrict37General[Part of Westchester County Vote Results])</totalsRowFormula>
    </tableColumn>
    <tableColumn id="3" xr3:uid="{4E31EE23-C41B-49E3-8A91-809182843CCD}" name="Total Votes by Party" totalsRowFunction="custom" dataDxfId="495" totalsRowDxfId="494">
      <totalsRowFormula>SUM(StateSenatorSenateDistrict37General[Total Votes by Party])</totalsRowFormula>
    </tableColumn>
    <tableColumn id="2" xr3:uid="{C7186CF3-99B0-4321-909C-2DA7745CD681}" name="Total Votes by Candidate" dataDxfId="493" totalsRowDxfId="492">
      <calculatedColumnFormula>SUM(C3:C6)</calculatedColumnFormula>
    </tableColumn>
  </tableColumns>
  <tableStyleInfo name="TableStyleMedium2" showFirstColumn="0" showLastColumn="0" showRowStripes="0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531F4AE2-27D5-4A71-A935-68A7A0A352EB}" name="StateSenatorSenateDistrict38General" displayName="StateSenatorSenateDistrict38General" ref="A2:E10" totalsRowCount="1" headerRowDxfId="491" dataDxfId="489" totalsRowDxfId="487" headerRowBorderDxfId="490" tableBorderDxfId="488" totalsRowBorderDxfId="486">
  <autoFilter ref="A2:E9" xr:uid="{76D11FBE-A745-483E-9F05-DF6DDFB622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6FCDD1-88A7-4DB0-BFF4-9EEDEA78F66D}" name="Candidate Name (Party)" totalsRowLabel="Total Votes by County" dataDxfId="485" totalsRowDxfId="484"/>
    <tableColumn id="2" xr3:uid="{80B51E60-5B57-452C-AE64-EC64D6C14CDA}" name="Part of Rockland County Vote Results" totalsRowFunction="custom" dataDxfId="483" totalsRowDxfId="482">
      <totalsRowFormula>SUM(StateSenatorSenateDistrict38General[Part of Rockland County Vote Results])</totalsRowFormula>
    </tableColumn>
    <tableColumn id="4" xr3:uid="{4D4FD794-7D5D-4F06-A3B0-7ED1EF42CC4B}" name="Part of Westchester County Vote Results" totalsRowFunction="custom" dataDxfId="481" totalsRowDxfId="480">
      <totalsRowFormula>SUM(StateSenatorSenateDistrict38General[Part of Westchester County Vote Results])</totalsRowFormula>
    </tableColumn>
    <tableColumn id="3" xr3:uid="{C5DC5BD3-601F-4BE4-AFF3-242DF2E16A7E}" name="Total Votes by Party" totalsRowFunction="custom" dataDxfId="479" totalsRowDxfId="478">
      <calculatedColumnFormula>SUM(StateSenatorSenateDistrict38General[[#This Row],[Part of Rockland County Vote Results]:[Part of Westchester County Vote Results]])</calculatedColumnFormula>
      <totalsRowFormula>SUM(StateSenatorSenateDistrict38General[Total Votes by Party])</totalsRowFormula>
    </tableColumn>
    <tableColumn id="5" xr3:uid="{05585993-33A2-473E-A0A2-9C85BB0470AF}" name="Total Votes by Candidate" dataDxfId="477" totalsRowDxfId="476"/>
  </tableColumns>
  <tableStyleInfo name="TableStyleMedium2" showFirstColumn="0" showLastColumn="0" showRowStripes="0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BE0D731A-F632-4F4E-B862-E43E06E689B8}" name="StateSenatorSenateDistrict39General" displayName="StateSenatorSenateDistrict39General" ref="A2:F11" totalsRowCount="1" headerRowDxfId="475" dataDxfId="473" totalsRowDxfId="471" headerRowBorderDxfId="474" tableBorderDxfId="472" totalsRowBorderDxfId="470">
  <autoFilter ref="A2:F10" xr:uid="{DDBF1CEC-9D14-4D99-A05E-23225379C3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CE260B6-9F0D-48C9-9CF3-741A14FEE980}" name="Candidate Name (Party)" totalsRowLabel="Total Votes by County" dataDxfId="469" totalsRowDxfId="468"/>
    <tableColumn id="2" xr3:uid="{614A8E6B-9833-470D-8587-E840D19877E5}" name="Part of Orange County Vote Results" totalsRowFunction="custom" dataDxfId="467" totalsRowDxfId="466">
      <totalsRowFormula>SUM(StateSenatorSenateDistrict39General[Part of Orange County Vote Results])</totalsRowFormula>
    </tableColumn>
    <tableColumn id="3" xr3:uid="{617A27A9-D2B0-4EAE-ABA5-255D90B92570}" name="Part of Rockland County Vote Results" totalsRowFunction="custom" dataDxfId="465" totalsRowDxfId="464">
      <totalsRowFormula>SUM(StateSenatorSenateDistrict39General[Part of Rockland County Vote Results])</totalsRowFormula>
    </tableColumn>
    <tableColumn id="4" xr3:uid="{BF5875B6-715D-47B5-815E-BE2F4DA9294F}" name="Part of Ulster County Vote Results" totalsRowFunction="custom" dataDxfId="463" totalsRowDxfId="462">
      <totalsRowFormula>SUM(StateSenatorSenateDistrict39General[Part of Ulster County Vote Results])</totalsRowFormula>
    </tableColumn>
    <tableColumn id="6" xr3:uid="{55BE6566-8EFE-487E-A48D-EF8B58CABBF9}" name="Total Votes by Party" totalsRowFunction="custom" dataDxfId="461" totalsRowDxfId="460">
      <calculatedColumnFormula>SUM(StateSenatorSenateDistrict39General[[#This Row],[Part of Orange County Vote Results]:[Part of Ulster County Vote Results]])</calculatedColumnFormula>
      <totalsRowFormula>SUM(StateSenatorSenateDistrict39General[Total Votes by Party])</totalsRowFormula>
    </tableColumn>
    <tableColumn id="5" xr3:uid="{C3B08987-1A47-4978-B7E0-C7D29601C1A2}" name="Total Votes by Candidate" dataDxfId="459" totalsRowDxfId="45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5DA6239E-8BB3-4C22-897B-8598D74344FB}" name="StateSenatorSenateDistrict4General" displayName="StateSenatorSenateDistrict4General" ref="A2:D11" totalsRowCount="1" headerRowDxfId="972" dataDxfId="970" totalsRowDxfId="968" headerRowBorderDxfId="971" tableBorderDxfId="969" totalsRowBorderDxfId="967">
  <autoFilter ref="A2:D10" xr:uid="{C6AC5771-4768-43A8-97A4-F9B8EBA4FCE7}">
    <filterColumn colId="0" hiddenButton="1"/>
    <filterColumn colId="1" hiddenButton="1"/>
    <filterColumn colId="2" hiddenButton="1"/>
    <filterColumn colId="3" hiddenButton="1"/>
  </autoFilter>
  <tableColumns count="4">
    <tableColumn id="1" xr3:uid="{77AE50E4-79AF-406E-9C4A-865355E22289}" name="Candidate Name (Party)" totalsRowLabel="Total Votes by County" dataDxfId="966" totalsRowDxfId="965"/>
    <tableColumn id="4" xr3:uid="{CD55AAC6-39D7-45DC-BF23-299481EBD0E7}" name="Part of Suffolk County Vote Results" totalsRowFunction="custom" dataDxfId="964" totalsRowDxfId="963">
      <totalsRowFormula>SUM(StateSenatorSenateDistrict4General[Part of Suffolk County Vote Results])</totalsRowFormula>
    </tableColumn>
    <tableColumn id="3" xr3:uid="{408B8A68-9B25-4451-B95C-5CA6FBB1652A}" name="Total Votes by Party" totalsRowFunction="custom" dataDxfId="962" totalsRowDxfId="961">
      <calculatedColumnFormula>StateSenatorSenateDistrict4General[[#This Row],[Part of Suffolk County Vote Results]]</calculatedColumnFormula>
      <totalsRowFormula>SUM(StateSenatorSenateDistrict4General[Total Votes by Party])</totalsRowFormula>
    </tableColumn>
    <tableColumn id="2" xr3:uid="{E183562C-0F8B-4BCF-AF09-2D10ABF25683}" name="Total Votes by Candidate" dataDxfId="960" totalsRowDxfId="959"/>
  </tableColumns>
  <tableStyleInfo name="TableStyleMedium2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00BDC1CA-8EEE-4682-84F3-DB769FCBA443}" name="StateSenatorSenateDistrict40General" displayName="StateSenatorSenateDistrict40General" ref="A2:F12" totalsRowCount="1" headerRowDxfId="457" dataDxfId="455" totalsRowDxfId="453" headerRowBorderDxfId="456" tableBorderDxfId="454" totalsRowBorderDxfId="452">
  <autoFilter ref="A2:F11" xr:uid="{FAF896EA-0001-44EC-81FD-517FAFA42B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95A3C49-C851-4CD0-B86D-41E6070285AF}" name="Candidate Name (Party)" totalsRowLabel="Total Votes by County" dataDxfId="451" totalsRowDxfId="450"/>
    <tableColumn id="2" xr3:uid="{BAC99E8A-836B-427F-BDF7-FB18D6B7D751}" name="Part of Dutchess County Vote Results" totalsRowFunction="custom" dataDxfId="449" totalsRowDxfId="448">
      <totalsRowFormula>SUM(StateSenatorSenateDistrict40General[Part of Dutchess County Vote Results])</totalsRowFormula>
    </tableColumn>
    <tableColumn id="3" xr3:uid="{41E3D645-FC3C-49EF-85B4-119616E4100A}" name="Part of Putnam County Vote Results" totalsRowFunction="custom" dataDxfId="447" totalsRowDxfId="446">
      <totalsRowFormula>SUM(StateSenatorSenateDistrict40General[Part of Putnam County Vote Results])</totalsRowFormula>
    </tableColumn>
    <tableColumn id="4" xr3:uid="{1137FBF5-7A24-4723-B1C8-0064D9AC6B1A}" name="Part of Westchester County Vote Results" totalsRowFunction="custom" dataDxfId="445" totalsRowDxfId="444">
      <totalsRowFormula>SUM(StateSenatorSenateDistrict40General[Part of Westchester County Vote Results])</totalsRowFormula>
    </tableColumn>
    <tableColumn id="6" xr3:uid="{7A18CDE3-1E6E-4512-968C-98705851F6DA}" name="Total Votes by Party" totalsRowFunction="custom" dataDxfId="443" totalsRowDxfId="442">
      <calculatedColumnFormula>SUM(StateSenatorSenateDistrict40General[[#This Row],[Part of Dutchess County Vote Results]:[Part of Westchester County Vote Results]])</calculatedColumnFormula>
      <totalsRowFormula>SUM(StateSenatorSenateDistrict40General[Total Votes by Party])</totalsRowFormula>
    </tableColumn>
    <tableColumn id="5" xr3:uid="{334C5F9C-5177-4602-B3EC-451144AF0CC9}" name="Total Votes by Candidate" dataDxfId="441" totalsRowDxfId="440"/>
  </tableColumns>
  <tableStyleInfo name="TableStyleMedium2" showFirstColumn="0" showLastColumn="0" showRowStripes="0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AC676C99-63D6-4348-A76F-37E7B24735CE}" name="StateSenatorSenateDistrict41General" displayName="StateSenatorSenateDistrict41General" ref="A2:E13" totalsRowCount="1" headerRowDxfId="439" dataDxfId="437" totalsRowDxfId="435" headerRowBorderDxfId="438" tableBorderDxfId="436" totalsRowBorderDxfId="434">
  <autoFilter ref="A2:E12" xr:uid="{30CCF245-9464-4C6A-A078-214F6F299B0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6DE5707-3E0C-4186-B473-98844A20DD80}" name="Candidate Name (Party)" totalsRowLabel="Total Votes by County" dataDxfId="433" totalsRowDxfId="432"/>
    <tableColumn id="2" xr3:uid="{B2A114CA-14D4-4626-B523-65AE4EFF829A}" name="Part of Dutchess County Vote Results" totalsRowFunction="custom" dataDxfId="431" totalsRowDxfId="430">
      <totalsRowFormula>SUM(StateSenatorSenateDistrict41General[Part of Dutchess County Vote Results])</totalsRowFormula>
    </tableColumn>
    <tableColumn id="4" xr3:uid="{BD095CE1-5F58-4DF8-A2D6-CDF917136C3B}" name="Part of Putnam County Vote Results" totalsRowFunction="custom" dataDxfId="429" totalsRowDxfId="428">
      <totalsRowFormula>SUM(StateSenatorSenateDistrict41General[Part of Putnam County Vote Results])</totalsRowFormula>
    </tableColumn>
    <tableColumn id="3" xr3:uid="{BA630DAB-6F33-4072-9E66-99D72CBDD99D}" name="Total Votes by Party" totalsRowFunction="custom" dataDxfId="427" totalsRowDxfId="426">
      <calculatedColumnFormula>SUM(StateSenatorSenateDistrict41General[[#This Row],[Part of Dutchess County Vote Results]:[Part of Putnam County Vote Results]])</calculatedColumnFormula>
      <totalsRowFormula>SUM(StateSenatorSenateDistrict41General[Total Votes by Party])</totalsRowFormula>
    </tableColumn>
    <tableColumn id="5" xr3:uid="{052FC13B-28D6-472B-B0F7-465D546031E0}" name="Total Votes by Candidate" dataDxfId="425" totalsRowDxfId="424"/>
  </tableColumns>
  <tableStyleInfo name="TableStyleMedium2" showFirstColumn="0" showLastColumn="0" showRowStripes="0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7A4AE1D2-B5B1-498A-9569-EE4F8D01FCA5}" name="StateSenatorSenateDistrict42General" displayName="StateSenatorSenateDistrict42General" ref="A2:G12" totalsRowCount="1" headerRowDxfId="423" dataDxfId="421" totalsRowDxfId="419" headerRowBorderDxfId="422" tableBorderDxfId="420" totalsRowBorderDxfId="418">
  <autoFilter ref="A2:G11" xr:uid="{9CADA4D5-AD93-43D2-97C2-C1AEED7CF8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020B09B-908A-4264-8F66-5E5688D9ED6C}" name="Candidate Name (Party)" totalsRowLabel="Total Votes by County" dataDxfId="417" totalsRowDxfId="416"/>
    <tableColumn id="2" xr3:uid="{6E43AB97-BEC8-4844-8F2B-B3C4A0D8CC03}" name="Sullivan County Vote Results" totalsRowFunction="custom" dataDxfId="415" totalsRowDxfId="414">
      <totalsRowFormula>SUM(StateSenatorSenateDistrict42General[Sullivan County Vote Results])</totalsRowFormula>
    </tableColumn>
    <tableColumn id="6" xr3:uid="{F9D59E5D-8533-4C60-B524-4A4C08222C93}" name="Part of Delaware County Vote Results" totalsRowFunction="custom" dataDxfId="413" totalsRowDxfId="412">
      <totalsRowFormula>SUM(StateSenatorSenateDistrict42General[Part of Delaware County Vote Results])</totalsRowFormula>
    </tableColumn>
    <tableColumn id="3" xr3:uid="{41D4EAC7-F112-4EF0-B9E2-653206108C66}" name="Part of Orange County Vote Results" totalsRowFunction="custom" dataDxfId="411" totalsRowDxfId="410">
      <totalsRowFormula>SUM(StateSenatorSenateDistrict42General[Part of Orange County Vote Results])</totalsRowFormula>
    </tableColumn>
    <tableColumn id="4" xr3:uid="{A1E69A06-4038-428C-944E-D89E110AE3AC}" name="Part of Ulster County Vote Results" totalsRowFunction="custom" dataDxfId="409" totalsRowDxfId="408">
      <totalsRowFormula>SUM(StateSenatorSenateDistrict42General[Part of Ulster County Vote Results])</totalsRowFormula>
    </tableColumn>
    <tableColumn id="7" xr3:uid="{60535B4A-1641-46C3-9CE3-CC2585730069}" name="Total Votes by Party" totalsRowFunction="custom" dataDxfId="407" totalsRowDxfId="406">
      <calculatedColumnFormula>SUM(StateSenatorSenateDistrict42General[[#This Row],[Sullivan County Vote Results]:[Part of Ulster County Vote Results]])</calculatedColumnFormula>
      <totalsRowFormula>SUM(StateSenatorSenateDistrict42General[Total Votes by Party])</totalsRowFormula>
    </tableColumn>
    <tableColumn id="5" xr3:uid="{C7DE1502-8ED8-45D6-92B1-941566B89F64}" name="Total Votes by Candidate" dataDxfId="405" totalsRowDxfId="404"/>
  </tableColumns>
  <tableStyleInfo name="TableStyleMedium2" showFirstColumn="0" showLastColumn="0" showRowStripes="0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5E53340D-BB54-469F-8267-5D743204725B}" name="StateSenatorSenateDistrict43General" displayName="StateSenatorSenateDistrict43General" ref="A2:G11" totalsRowCount="1" headerRowDxfId="403" dataDxfId="401" totalsRowDxfId="399" headerRowBorderDxfId="402" tableBorderDxfId="400" totalsRowBorderDxfId="398">
  <autoFilter ref="A2:G10" xr:uid="{8A98DF03-B6E6-4856-9390-45B54A5DCA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E07F7C8-554E-4B05-A4CB-C408A849D3FD}" name="Candidate Name (Party)" totalsRowLabel="Total Votes by County" dataDxfId="397" totalsRowDxfId="396"/>
    <tableColumn id="2" xr3:uid="{914948EF-2344-4771-B15D-B4C1B64153B6}" name="Columbia County Vote Results" totalsRowFunction="custom" dataDxfId="395" totalsRowDxfId="394">
      <totalsRowFormula>SUM(StateSenatorSenateDistrict43General[Columbia County Vote Results])</totalsRowFormula>
    </tableColumn>
    <tableColumn id="6" xr3:uid="{150151B4-84AD-4F5C-BDC0-93864F898D6A}" name="Part of Rensselaer County Vote Results" totalsRowFunction="custom" dataDxfId="393" totalsRowDxfId="392">
      <totalsRowFormula>SUM(StateSenatorSenateDistrict43General[Part of Rensselaer County Vote Results])</totalsRowFormula>
    </tableColumn>
    <tableColumn id="3" xr3:uid="{B338C389-BF32-44C1-B36F-8A0E4A620786}" name="Part of Saratoga County Vote Results" totalsRowFunction="custom" dataDxfId="391" totalsRowDxfId="390">
      <totalsRowFormula>SUM(StateSenatorSenateDistrict43General[Part of Saratoga County Vote Results])</totalsRowFormula>
    </tableColumn>
    <tableColumn id="4" xr3:uid="{666B557F-2E00-438D-BF24-66CC27493B08}" name="Part of Washington County Vote Results" totalsRowFunction="custom" dataDxfId="389" totalsRowDxfId="388">
      <totalsRowFormula>SUM(StateSenatorSenateDistrict43General[Part of Washington County Vote Results])</totalsRowFormula>
    </tableColumn>
    <tableColumn id="7" xr3:uid="{9F6333CE-964F-4171-A1CC-9FB354C8F8BB}" name="Total Votes by Party" totalsRowFunction="custom" dataDxfId="387" totalsRowDxfId="386">
      <calculatedColumnFormula>SUM(StateSenatorSenateDistrict43General[[#This Row],[Columbia County Vote Results]:[Part of Washington County Vote Results]])</calculatedColumnFormula>
      <totalsRowFormula>SUM(StateSenatorSenateDistrict43General[Total Votes by Party])</totalsRowFormula>
    </tableColumn>
    <tableColumn id="5" xr3:uid="{E70F85A0-9693-47AA-826F-476FDBF1B774}" name="Total Votes by Candidate" dataDxfId="385" totalsRowDxfId="384"/>
  </tableColumns>
  <tableStyleInfo name="TableStyleMedium2" showFirstColumn="0" showLastColumn="0" showRowStripes="0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A2881752-54D6-4A1E-978A-F7AA934AB573}" name="StateSenatorSenateDistrict44General" displayName="StateSenatorSenateDistrict44General" ref="A2:E10" totalsRowCount="1" headerRowDxfId="383" dataDxfId="381" totalsRowDxfId="379" headerRowBorderDxfId="382" tableBorderDxfId="380" totalsRowBorderDxfId="378">
  <autoFilter ref="A2:E9" xr:uid="{143BF5E4-05B9-40FA-B925-7862A6C06E9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D52DE95-D14A-4BCE-87F0-43DE643C2B3C}" name="Candidate Name (Party)" totalsRowLabel="Total Votes by County" dataDxfId="377" totalsRowDxfId="376"/>
    <tableColumn id="2" xr3:uid="{C5A09D23-9A37-4D39-854C-37E3A7CF5903}" name="Part of Albany County Vote Results" totalsRowFunction="custom" dataDxfId="375" totalsRowDxfId="374">
      <totalsRowFormula>SUM(StateSenatorSenateDistrict44General[Part of Albany County Vote Results])</totalsRowFormula>
    </tableColumn>
    <tableColumn id="4" xr3:uid="{61ABAF9C-CBF6-4900-89A1-989D5B2894CE}" name="Part of Rensselaer County Vote Results" totalsRowFunction="custom" dataDxfId="373" totalsRowDxfId="372">
      <totalsRowFormula>SUM(StateSenatorSenateDistrict44General[Part of Rensselaer County Vote Results])</totalsRowFormula>
    </tableColumn>
    <tableColumn id="3" xr3:uid="{622A723C-6B7E-42AE-B054-2D8C4601F4E1}" name="Total Votes by Party" totalsRowFunction="custom" dataDxfId="371" totalsRowDxfId="370">
      <calculatedColumnFormula>SUM(StateSenatorSenateDistrict44General[[#This Row],[Part of Albany County Vote Results]:[Part of Rensselaer County Vote Results]])</calculatedColumnFormula>
      <totalsRowFormula>SUM(StateSenatorSenateDistrict44General[Total Votes by Party])</totalsRowFormula>
    </tableColumn>
    <tableColumn id="5" xr3:uid="{E0C4FB78-1D10-4D2B-AD97-7E9602514AF4}" name="Total Votes by Candidate" dataDxfId="369" totalsRowDxfId="368"/>
  </tableColumns>
  <tableStyleInfo name="TableStyleMedium2" showFirstColumn="0" showLastColumn="0" showRowStripes="0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B7D2649E-71B1-43B4-9DDF-C80A4A5EF39B}" name="StateSenatorSenateDistrict45General" displayName="StateSenatorSenateDistrict45General" ref="A2:I11" totalsRowCount="1" headerRowDxfId="367" dataDxfId="365" totalsRowDxfId="363" headerRowBorderDxfId="366" tableBorderDxfId="364" totalsRowBorderDxfId="362">
  <autoFilter ref="A2:I10" xr:uid="{77BEF245-421B-4116-930C-11876A274B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1AA374B-1EEF-4754-8BE9-48378BF72175}" name="Candidate Name (Party)" totalsRowLabel="Total Votes by County" dataDxfId="361" totalsRowDxfId="360"/>
    <tableColumn id="2" xr3:uid="{92B394E9-7914-41CC-9A11-3D7B6050D25C}" name="Clinton County Vote Results" totalsRowFunction="custom" dataDxfId="359" totalsRowDxfId="358">
      <totalsRowFormula>SUM(StateSenatorSenateDistrict45General[Clinton County Vote Results])</totalsRowFormula>
    </tableColumn>
    <tableColumn id="6" xr3:uid="{C8ED0ACF-8400-4AAD-BAF1-C091BF695085}" name="Essex County Vote Results" totalsRowFunction="custom" dataDxfId="357" totalsRowDxfId="356">
      <totalsRowFormula>SUM(StateSenatorSenateDistrict45General[Essex County Vote Results])</totalsRowFormula>
    </tableColumn>
    <tableColumn id="8" xr3:uid="{16E4BF41-B3A5-4344-B956-C7B7E8A8F5A3}" name="Franklin County Vote Results" totalsRowFunction="custom" dataDxfId="355" totalsRowDxfId="354">
      <totalsRowFormula>SUM(StateSenatorSenateDistrict45General[Franklin County Vote Results])</totalsRowFormula>
    </tableColumn>
    <tableColumn id="7" xr3:uid="{8659C484-727E-4234-BF80-8F75731B8D7B}" name="Warren County Vote Results" totalsRowFunction="custom" dataDxfId="353" totalsRowDxfId="352">
      <totalsRowFormula>SUM(StateSenatorSenateDistrict45General[Warren County Vote Results])</totalsRowFormula>
    </tableColumn>
    <tableColumn id="3" xr3:uid="{0BCF1CA0-D716-4661-A42F-3990D5335E12}" name="Part of St. Lawrence County Vote Results" totalsRowFunction="custom" dataDxfId="351" totalsRowDxfId="350">
      <totalsRowFormula>SUM(StateSenatorSenateDistrict45General[Part of St. Lawrence County Vote Results])</totalsRowFormula>
    </tableColumn>
    <tableColumn id="4" xr3:uid="{82AA9AE6-AE72-4B20-8987-1AE549E4DEA5}" name="Part of Washington County Vote Results" totalsRowFunction="custom" dataDxfId="349" totalsRowDxfId="348">
      <totalsRowFormula>SUM(StateSenatorSenateDistrict45General[Part of Washington County Vote Results])</totalsRowFormula>
    </tableColumn>
    <tableColumn id="9" xr3:uid="{1F2015F4-AA85-4609-A5E9-94B8115F5196}" name="Total Votes by Party" totalsRowFunction="custom" dataDxfId="347" totalsRowDxfId="346">
      <calculatedColumnFormula>SUM(StateSenatorSenateDistrict45General[[#This Row],[Clinton County Vote Results]:[Part of Washington County Vote Results]])</calculatedColumnFormula>
      <totalsRowFormula>SUM(StateSenatorSenateDistrict45General[Total Votes by Party])</totalsRowFormula>
    </tableColumn>
    <tableColumn id="5" xr3:uid="{851BFC87-165B-4398-B98E-3F37410CA39D}" name="Total Votes by Candidate" dataDxfId="345" totalsRowDxfId="344"/>
  </tableColumns>
  <tableStyleInfo name="TableStyleMedium2" showFirstColumn="0" showLastColumn="0" showRowStripes="0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5A9A98C1-9E45-4322-AEEB-3DD27C8E484A}" name="StateSenatorSenateDistrict46General" displayName="StateSenatorSenateDistrict46General" ref="A2:H12" totalsRowCount="1" headerRowDxfId="343" dataDxfId="341" totalsRowDxfId="339" headerRowBorderDxfId="342" tableBorderDxfId="340" totalsRowBorderDxfId="338">
  <autoFilter ref="A2:H11" xr:uid="{3D675DE8-9F3B-4D15-A9AC-A53B6900487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5823110-B3FD-4EBA-B877-40E394A69451}" name="Candidate Name (Party)" totalsRowLabel="Total Votes by County" dataDxfId="337" totalsRowDxfId="336"/>
    <tableColumn id="2" xr3:uid="{B12703C7-B4B9-4209-9DBF-35015CD53308}" name="Greene County Vote Results" totalsRowFunction="custom" dataDxfId="335" totalsRowDxfId="334">
      <totalsRowFormula>SUM(StateSenatorSenateDistrict46General[Greene County Vote Results])</totalsRowFormula>
    </tableColumn>
    <tableColumn id="6" xr3:uid="{82805EA4-0F00-439C-B087-694D4A4EADAA}" name="Montgomery County Vote Results" totalsRowFunction="custom" dataDxfId="333" totalsRowDxfId="332">
      <totalsRowFormula>SUM(StateSenatorSenateDistrict46General[Montgomery County Vote Results])</totalsRowFormula>
    </tableColumn>
    <tableColumn id="7" xr3:uid="{F6C77BE1-08FC-4152-8E69-1FC9AA2EF80D}" name="Part of Albany County Vote Results" totalsRowFunction="custom" dataDxfId="331" totalsRowDxfId="330">
      <totalsRowFormula>SUM(StateSenatorSenateDistrict46General[Part of Albany County Vote Results])</totalsRowFormula>
    </tableColumn>
    <tableColumn id="3" xr3:uid="{4D9D3544-D8EA-41FA-A022-3377A7DC65CE}" name="Part of Schenectady County Vote Results" totalsRowFunction="custom" dataDxfId="329" totalsRowDxfId="328">
      <totalsRowFormula>SUM(StateSenatorSenateDistrict46General[Part of Schenectady County Vote Results])</totalsRowFormula>
    </tableColumn>
    <tableColumn id="4" xr3:uid="{03D60C4F-0279-460D-9276-ECC9A22C8927}" name="Part of Ulster County Vote Results" totalsRowFunction="custom" dataDxfId="327" totalsRowDxfId="326">
      <totalsRowFormula>SUM(StateSenatorSenateDistrict46General[Part of Ulster County Vote Results])</totalsRowFormula>
    </tableColumn>
    <tableColumn id="8" xr3:uid="{AD16157F-371A-43A1-8779-1549BB2BDBE7}" name="Total Votes by Party" totalsRowFunction="custom" dataDxfId="325" totalsRowDxfId="324">
      <calculatedColumnFormula>SUM(StateSenatorSenateDistrict46General[[#This Row],[Greene County Vote Results]:[Part of Ulster County Vote Results]])</calculatedColumnFormula>
      <totalsRowFormula>SUM(StateSenatorSenateDistrict46General[Total Votes by Party])</totalsRowFormula>
    </tableColumn>
    <tableColumn id="5" xr3:uid="{49C9A80E-B308-4A46-B5D4-A599EAD37577}" name="Total Votes by Candidate" dataDxfId="323" totalsRowDxfId="322"/>
  </tableColumns>
  <tableStyleInfo name="TableStyleMedium2" showFirstColumn="0" showLastColumn="0" showRowStripes="0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9D5E6B22-A737-476F-8A9E-C2EFBB9EA542}" name="StateSenatorSenateDistrict47General" displayName="StateSenatorSenateDistrict47General" ref="A2:F9" totalsRowCount="1" headerRowDxfId="321" dataDxfId="319" totalsRowDxfId="317" headerRowBorderDxfId="320" tableBorderDxfId="318" totalsRowBorderDxfId="316">
  <autoFilter ref="A2:F8" xr:uid="{F7EE7664-3FD9-4FBF-9F90-39F7212F44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2541A28-4DD6-4A26-81A8-3447556FB5A3}" name="Candidate Name (Party)" totalsRowLabel="Total Votes by County" dataDxfId="315" totalsRowDxfId="314"/>
    <tableColumn id="2" xr3:uid="{7AA29483-13C7-4008-8A4B-581B65187238}" name="Lewis County Vote Results" totalsRowFunction="custom" dataDxfId="313" totalsRowDxfId="312">
      <totalsRowFormula>SUM(StateSenatorSenateDistrict47General[Lewis County Vote Results])</totalsRowFormula>
    </tableColumn>
    <tableColumn id="3" xr3:uid="{0CBAD5B6-DDA4-438C-8D5F-967D9672BC8B}" name="Part of Oneida County Vote Results" totalsRowFunction="custom" dataDxfId="311" totalsRowDxfId="310">
      <totalsRowFormula>SUM(StateSenatorSenateDistrict47General[Part of Oneida County Vote Results])</totalsRowFormula>
    </tableColumn>
    <tableColumn id="4" xr3:uid="{383B4255-C91E-4A69-B4CC-2B93F9218E09}" name="Part of St. Lawrence County Vote Results" totalsRowFunction="custom" dataDxfId="309" totalsRowDxfId="308">
      <totalsRowFormula>SUM(StateSenatorSenateDistrict47General[Part of St. Lawrence County Vote Results])</totalsRowFormula>
    </tableColumn>
    <tableColumn id="6" xr3:uid="{D7907E5C-E158-42D8-B487-9E08262D17E7}" name="Total Votes by Party" totalsRowFunction="custom" dataDxfId="307" totalsRowDxfId="306">
      <calculatedColumnFormula>SUM(StateSenatorSenateDistrict47General[[#This Row],[Lewis County Vote Results]:[Part of St. Lawrence County Vote Results]])</calculatedColumnFormula>
      <totalsRowFormula>SUM(StateSenatorSenateDistrict47General[Total Votes by Party])</totalsRowFormula>
    </tableColumn>
    <tableColumn id="5" xr3:uid="{156F5B32-3C64-48D5-B5EA-6700AA5DF5EF}" name="Total Votes by Candidate" dataDxfId="305" totalsRowDxfId="304">
      <calculatedColumnFormula>SUM(StateSenatorSenateDistrict47General[[#This Row],[Total Votes by Party]],E4,E5)</calculatedColumnFormula>
    </tableColumn>
  </tableColumns>
  <tableStyleInfo name="TableStyleMedium2" showFirstColumn="0" showLastColumn="0" showRowStripes="0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04470506-E426-4E13-9B3D-9B15D6D9D005}" name="StateSenatorSenateDistrict48General" displayName="StateSenatorSenateDistrict48General" ref="A2:F9" totalsRowCount="1" headerRowDxfId="303" dataDxfId="301" totalsRowDxfId="299" headerRowBorderDxfId="302" tableBorderDxfId="300" totalsRowBorderDxfId="298">
  <autoFilter ref="A2:F8" xr:uid="{6A6C6A5A-FFCC-4DC9-93DC-78D34A6956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744E97A-BD4E-4A46-82A5-9A6F1CD45F32}" name="Candidate Name (Party)" totalsRowLabel="Total Votes by County" dataDxfId="297" totalsRowDxfId="296"/>
    <tableColumn id="2" xr3:uid="{A36E8C7F-A651-4D9E-BF65-AEA0629A1D32}" name="Jefferson County Vote Results" totalsRowFunction="custom" dataDxfId="295" totalsRowDxfId="294">
      <totalsRowFormula>SUM(StateSenatorSenateDistrict48General[Jefferson County Vote Results])</totalsRowFormula>
    </tableColumn>
    <tableColumn id="3" xr3:uid="{0930CDB6-C15A-475B-981A-91896F829B8D}" name="Oswego County Vote Results" totalsRowFunction="custom" dataDxfId="293" totalsRowDxfId="292">
      <totalsRowFormula>SUM(StateSenatorSenateDistrict48General[Oswego County Vote Results])</totalsRowFormula>
    </tableColumn>
    <tableColumn id="4" xr3:uid="{41FADCBE-6092-43B4-8878-E84E61899372}" name="Part of St. Lawrence County Vote Results" totalsRowFunction="custom" dataDxfId="291" totalsRowDxfId="290">
      <totalsRowFormula>SUM(StateSenatorSenateDistrict48General[Part of St. Lawrence County Vote Results])</totalsRowFormula>
    </tableColumn>
    <tableColumn id="6" xr3:uid="{BAE45BCD-AA4D-4818-B201-836838629A61}" name="Total Votes by Party" totalsRowFunction="custom" dataDxfId="289" totalsRowDxfId="288">
      <calculatedColumnFormula>SUM(StateSenatorSenateDistrict48General[[#This Row],[Jefferson County Vote Results]:[Part of St. Lawrence County Vote Results]])</calculatedColumnFormula>
      <totalsRowFormula>SUM(StateSenatorSenateDistrict48General[Total Votes by Party])</totalsRowFormula>
    </tableColumn>
    <tableColumn id="5" xr3:uid="{277AB71B-9DC9-4E1B-B05F-1387E81F2466}" name="Total Votes by Candidate" dataDxfId="287" totalsRowDxfId="286">
      <calculatedColumnFormula>SUM(StateSenatorSenateDistrict48General[[#This Row],[Total Votes by Party]],E4,E5)</calculatedColumnFormula>
    </tableColumn>
  </tableColumns>
  <tableStyleInfo name="TableStyleMedium2" showFirstColumn="0" showLastColumn="0" showRowStripes="0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93D4D72E-1F27-43A1-8F3D-5135884E0F70}" name="StateSenatorSenateDistrict49General" displayName="StateSenatorSenateDistrict49General" ref="A2:H10" totalsRowCount="1" headerRowDxfId="285" dataDxfId="283" totalsRowDxfId="281" headerRowBorderDxfId="284" tableBorderDxfId="282" totalsRowBorderDxfId="280">
  <autoFilter ref="A2:H9" xr:uid="{AAFD0050-A9FD-43DD-B611-087E1B9A4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44BBA49-E916-4043-8042-EE32045FB1BF}" name="Candidate Name (Party)" totalsRowLabel="Total Votes by County" dataDxfId="279" totalsRowDxfId="278"/>
    <tableColumn id="2" xr3:uid="{95D49EB8-5E20-4307-8FC4-572E960337FF}" name="Fulton County Vote Results" totalsRowFunction="custom" dataDxfId="277" totalsRowDxfId="276">
      <totalsRowFormula>SUM(StateSenatorSenateDistrict49General[Fulton County Vote Results])</totalsRowFormula>
    </tableColumn>
    <tableColumn id="6" xr3:uid="{7F02A338-A4F0-4627-9389-D7AFCA2A8F3E}" name="Hamilton County Vote Results" totalsRowFunction="custom" dataDxfId="275" totalsRowDxfId="274">
      <totalsRowFormula>SUM(StateSenatorSenateDistrict49General[Hamilton County Vote Results])</totalsRowFormula>
    </tableColumn>
    <tableColumn id="7" xr3:uid="{9437DC98-70CC-4FFA-B5C0-3B15F8525EC0}" name="Part of Herkimer County Vote Results" totalsRowFunction="custom" dataDxfId="273" totalsRowDxfId="272">
      <totalsRowFormula>SUM(StateSenatorSenateDistrict49General[Part of Herkimer County Vote Results])</totalsRowFormula>
    </tableColumn>
    <tableColumn id="3" xr3:uid="{69399258-41B6-4771-B325-2F13D5F8F74E}" name="Part of Saratoga County Vote Results" totalsRowFunction="custom" dataDxfId="271" totalsRowDxfId="270">
      <totalsRowFormula>SUM(StateSenatorSenateDistrict49General[Part of Saratoga County Vote Results])</totalsRowFormula>
    </tableColumn>
    <tableColumn id="4" xr3:uid="{296CEAEB-9064-48CE-A883-DF29E29D99A4}" name="Part of Schenectady County Vote Results" totalsRowFunction="custom" dataDxfId="269" totalsRowDxfId="268">
      <totalsRowFormula>SUM(StateSenatorSenateDistrict49General[Part of Schenectady County Vote Results])</totalsRowFormula>
    </tableColumn>
    <tableColumn id="8" xr3:uid="{13F79527-0BDB-4BD3-84FE-E4F257BDD91D}" name="Total Votes by Party" totalsRowFunction="custom" dataDxfId="267" totalsRowDxfId="266">
      <calculatedColumnFormula>SUM(StateSenatorSenateDistrict49General[[#This Row],[Fulton County Vote Results]:[Part of Schenectady County Vote Results]])</calculatedColumnFormula>
      <totalsRowFormula>SUM(StateSenatorSenateDistrict49General[Total Votes by Party])</totalsRowFormula>
    </tableColumn>
    <tableColumn id="5" xr3:uid="{DD782F11-EAA2-4059-B2F9-A0800DCFA7C0}" name="Total Votes by Candidate" dataDxfId="265" totalsRowDxfId="26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1A683790-F1DF-48C5-8BEA-0F224F0A6180}" name="StateSenatorSenateDistrict5General" displayName="StateSenatorSenateDistrict5General" ref="A2:E13" totalsRowCount="1" headerRowDxfId="958" dataDxfId="956" totalsRowDxfId="954" headerRowBorderDxfId="957" tableBorderDxfId="955" totalsRowBorderDxfId="953">
  <autoFilter ref="A2:E12" xr:uid="{EB34AB7F-1D7F-4375-A829-3AB182F9799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A3382F2-3A8A-4A6C-9804-7C24265C6ECC}" name="Candidate Name (Party)" totalsRowLabel="Total Votes by County" dataDxfId="952" totalsRowDxfId="951"/>
    <tableColumn id="2" xr3:uid="{0458C64C-8C2F-4E58-974B-298E100F136A}" name="Part of Nassau County Vote Results" totalsRowFunction="custom" dataDxfId="950" totalsRowDxfId="949">
      <totalsRowFormula>SUM(StateSenatorSenateDistrict5General[Part of Nassau County Vote Results])</totalsRowFormula>
    </tableColumn>
    <tableColumn id="4" xr3:uid="{A26B8FA2-C658-4FE0-A019-38821A27EB0A}" name="Part of Suffolk County Vote Results" totalsRowFunction="custom" dataDxfId="948" totalsRowDxfId="947">
      <totalsRowFormula>SUM(StateSenatorSenateDistrict5General[Part of Suffolk County Vote Results])</totalsRowFormula>
    </tableColumn>
    <tableColumn id="3" xr3:uid="{5F0E59D5-C90E-4400-A087-DD8A6023F6E7}" name="Total Votes by Party" totalsRowFunction="custom" dataDxfId="946" totalsRowDxfId="945">
      <calculatedColumnFormula>SUM(StateSenatorSenateDistrict5General[[#This Row],[Part of Nassau County Vote Results]:[Part of Suffolk County Vote Results]])</calculatedColumnFormula>
      <totalsRowFormula>SUM(StateSenatorSenateDistrict5General[Total Votes by Party])</totalsRowFormula>
    </tableColumn>
    <tableColumn id="5" xr3:uid="{04207B01-E9FA-4F9C-B285-DD3DCBC2AAF1}" name="Total Votes by Candidate" dataDxfId="944" totalsRowDxfId="943"/>
  </tableColumns>
  <tableStyleInfo name="TableStyleMedium2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89F90177-89C4-4FC1-A1AB-AE424F83C5DB}" name="StateSenatorSenateDistrict50General" displayName="StateSenatorSenateDistrict50General" ref="A2:E11" totalsRowCount="1" headerRowDxfId="263" dataDxfId="261" totalsRowDxfId="259" headerRowBorderDxfId="262" tableBorderDxfId="260" totalsRowBorderDxfId="258">
  <autoFilter ref="A2:E10" xr:uid="{551E6344-DD66-4065-BCD7-D232EA26824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2D687CE-6520-4658-B0D8-704E9CE52A2E}" name="Candidate Name (Party)" totalsRowLabel="Total Votes by County" dataDxfId="257" totalsRowDxfId="256"/>
    <tableColumn id="2" xr3:uid="{BD8851B3-7063-494C-992D-9BFFCD216439}" name="Part of Cayuga County Vote Results" totalsRowFunction="custom" dataDxfId="255" totalsRowDxfId="254">
      <totalsRowFormula>SUM(StateSenatorSenateDistrict50General[Part of Cayuga County Vote Results])</totalsRowFormula>
    </tableColumn>
    <tableColumn id="4" xr3:uid="{0CDA508C-B820-4714-8513-1251492F168F}" name="Part of Onondaga County Vote Results" totalsRowFunction="custom" dataDxfId="253" totalsRowDxfId="252">
      <totalsRowFormula>SUM(StateSenatorSenateDistrict50General[Part of Onondaga County Vote Results])</totalsRowFormula>
    </tableColumn>
    <tableColumn id="3" xr3:uid="{F97FD538-E04E-44D6-B4C1-267956767AA8}" name="Total Votes by Party" totalsRowFunction="custom" dataDxfId="251" totalsRowDxfId="250">
      <calculatedColumnFormula>SUM(StateSenatorSenateDistrict50General[[#This Row],[Part of Cayuga County Vote Results]:[Part of Onondaga County Vote Results]])</calculatedColumnFormula>
      <totalsRowFormula>SUM(StateSenatorSenateDistrict50General[Total Votes by Party])</totalsRowFormula>
    </tableColumn>
    <tableColumn id="5" xr3:uid="{B8B5FFBC-D899-4562-82FC-C7D9E5ABE7DD}" name="Total Votes by Candidate" dataDxfId="249" totalsRowDxfId="248"/>
  </tableColumns>
  <tableStyleInfo name="TableStyleMedium2" showFirstColumn="0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4963DC9F-09F7-4036-9B0F-713854D214C8}" name="StateSenatorSenateDistrict51General" displayName="StateSenatorSenateDistrict51General" ref="A2:L10" totalsRowCount="1" headerRowDxfId="247" dataDxfId="245" totalsRowDxfId="243" headerRowBorderDxfId="246" tableBorderDxfId="244" totalsRowBorderDxfId="242">
  <autoFilter ref="A2:L9" xr:uid="{2231ECA1-A582-4522-8F58-66E619336A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22648CAA-8AE9-43F6-9790-EDA2FB039EB7}" name="Candidate Name (Party)" totalsRowLabel="Total Votes by County" dataDxfId="241" totalsRowDxfId="240"/>
    <tableColumn id="2" xr3:uid="{9B326E83-DB1E-4C10-8E19-3C494D0E44CA}" name="Cortland County Vote Results" totalsRowFunction="custom" dataDxfId="239" totalsRowDxfId="238">
      <totalsRowFormula>SUM(StateSenatorSenateDistrict51General[Cortland County Vote Results])</totalsRowFormula>
    </tableColumn>
    <tableColumn id="6" xr3:uid="{C00C07E0-B059-4AF2-9AAA-F90C01DD54FD}" name="Otsego County Vote Results" totalsRowFunction="custom" dataDxfId="237" totalsRowDxfId="236">
      <totalsRowFormula>SUM(StateSenatorSenateDistrict51General[Otsego County Vote Results])</totalsRowFormula>
    </tableColumn>
    <tableColumn id="12" xr3:uid="{203C75EB-D1EE-48BC-994E-C8984567385F}" name="Schoharie County Vote Results" totalsRowFunction="custom" dataDxfId="235" totalsRowDxfId="234">
      <totalsRowFormula>SUM(StateSenatorSenateDistrict51General[Schoharie County Vote Results])</totalsRowFormula>
    </tableColumn>
    <tableColumn id="11" xr3:uid="{11DAFBFE-6375-4B99-8737-B9D96B7C161C}" name="Part of Cayuga County Vote Results" totalsRowFunction="custom" dataDxfId="233" totalsRowDxfId="232">
      <totalsRowFormula>SUM(StateSenatorSenateDistrict51General[Part of Cayuga County Vote Results])</totalsRowFormula>
    </tableColumn>
    <tableColumn id="10" xr3:uid="{E3E892D4-92DC-4AAC-8409-5DDD45CFF1BD}" name="Part of Chenango County Vote Results" totalsRowFunction="custom" dataDxfId="231" totalsRowDxfId="230">
      <totalsRowFormula>SUM(StateSenatorSenateDistrict51General[Part of Chenango County Vote Results])</totalsRowFormula>
    </tableColumn>
    <tableColumn id="9" xr3:uid="{66B71BC3-D424-4616-B42D-78948F888BEF}" name="Part of Delaware County Vote Results" totalsRowFunction="custom" dataDxfId="229" totalsRowDxfId="228">
      <totalsRowFormula>SUM(StateSenatorSenateDistrict51General[Part of Delaware County Vote Results])</totalsRowFormula>
    </tableColumn>
    <tableColumn id="7" xr3:uid="{6436F7E8-24EC-41E3-98F7-3C78D8DDCD17}" name="Part of Herkimer County Vote Results" totalsRowFunction="custom" dataDxfId="227" totalsRowDxfId="226">
      <totalsRowFormula>SUM(StateSenatorSenateDistrict51General[Part of Herkimer County Vote Results])</totalsRowFormula>
    </tableColumn>
    <tableColumn id="3" xr3:uid="{DEFC5191-588D-46AF-BF8E-771F52AED643}" name="Part of Tompkins County Vote Results" totalsRowFunction="custom" dataDxfId="225" totalsRowDxfId="224">
      <totalsRowFormula>SUM(StateSenatorSenateDistrict51General[Part of Tompkins County Vote Results])</totalsRowFormula>
    </tableColumn>
    <tableColumn id="4" xr3:uid="{BFD55B3B-2998-4C56-B897-080EED636B15}" name="Part of Ulster County Vote Results" totalsRowFunction="custom" dataDxfId="223" totalsRowDxfId="222">
      <totalsRowFormula>SUM(StateSenatorSenateDistrict51General[Part of Ulster County Vote Results])</totalsRowFormula>
    </tableColumn>
    <tableColumn id="8" xr3:uid="{B590FE66-ECB2-4EEF-93A7-24EED30D4139}" name="Total Votes by Party" totalsRowFunction="custom" dataDxfId="221" totalsRowDxfId="220">
      <calculatedColumnFormula>SUM(StateSenatorSenateDistrict51General[[#This Row],[Cortland County Vote Results]:[Part of Ulster County Vote Results]])</calculatedColumnFormula>
      <totalsRowFormula>SUM(StateSenatorSenateDistrict51General[Total Votes by Party])</totalsRowFormula>
    </tableColumn>
    <tableColumn id="5" xr3:uid="{4850604D-CD90-4CE3-81D8-883CADFE0CF7}" name="Total Votes by Candidate" dataDxfId="219" totalsRowDxfId="218"/>
  </tableColumns>
  <tableStyleInfo name="TableStyleMedium2" showFirstColumn="0" showLastColumn="0" showRowStripes="0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FFF25DDA-72E6-41FD-92B8-DDC23872181A}" name="StateSenatorSenateDistrict52General" displayName="StateSenatorSenateDistrict52General" ref="A2:G10" totalsRowCount="1" headerRowDxfId="217" dataDxfId="215" totalsRowDxfId="213" headerRowBorderDxfId="216" tableBorderDxfId="214" totalsRowBorderDxfId="212">
  <autoFilter ref="A2:G9" xr:uid="{97BBF5E9-9936-42E5-9F11-ABDEE8F3C8F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277E028-0E9C-4A93-9E68-149DF353FB32}" name="Candidate Name (Party)" totalsRowLabel="Total Votes by County" dataDxfId="211" totalsRowDxfId="210"/>
    <tableColumn id="2" xr3:uid="{51C986C5-9735-4962-84FD-700682085D89}" name="Broome County Vote Results" totalsRowFunction="custom" dataDxfId="209" totalsRowDxfId="208">
      <totalsRowFormula>SUM(StateSenatorSenateDistrict52General[Broome County Vote Results])</totalsRowFormula>
    </tableColumn>
    <tableColumn id="6" xr3:uid="{D3F6E5AC-3126-48A4-B3AE-A600280112FE}" name="Tioga County Vote Results" totalsRowFunction="custom" dataDxfId="207" totalsRowDxfId="206">
      <totalsRowFormula>SUM(StateSenatorSenateDistrict52General[Tioga County Vote Results])</totalsRowFormula>
    </tableColumn>
    <tableColumn id="3" xr3:uid="{F6DBD8CE-EB9A-41E9-B28B-EA2A33ABFDB8}" name="Part of Chenango County Vote Results" totalsRowFunction="custom" dataDxfId="205" totalsRowDxfId="204">
      <totalsRowFormula>SUM(StateSenatorSenateDistrict52General[Part of Chenango County Vote Results])</totalsRowFormula>
    </tableColumn>
    <tableColumn id="4" xr3:uid="{BB58A3A3-3C74-4699-B319-E45CEFC24176}" name="Part of Delaware County Vote Results" totalsRowFunction="custom" dataDxfId="203" totalsRowDxfId="202">
      <totalsRowFormula>SUM(StateSenatorSenateDistrict52General[Part of Delaware County Vote Results])</totalsRowFormula>
    </tableColumn>
    <tableColumn id="7" xr3:uid="{D2B2FB9A-4EED-4D75-8A60-9899BEB97B9D}" name="Total Votes by Party" totalsRowFunction="custom" dataDxfId="201" totalsRowDxfId="200">
      <calculatedColumnFormula>SUM(StateSenatorSenateDistrict52General[[#This Row],[Broome County Vote Results]:[Part of Delaware County Vote Results]])</calculatedColumnFormula>
      <totalsRowFormula>SUM(StateSenatorSenateDistrict52General[Total Votes by Party])</totalsRowFormula>
    </tableColumn>
    <tableColumn id="5" xr3:uid="{40100E80-6E1B-4B23-9EEB-77655D0A8005}" name="Total Votes by Candidate" dataDxfId="199" totalsRowDxfId="198"/>
  </tableColumns>
  <tableStyleInfo name="TableStyleMedium2" showFirstColumn="0" showLastColumn="0" showRowStripes="0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A9B595E1-5E7C-4B5C-AB19-F5C189CC4240}" name="StateSenatorSenateDistrict53General" displayName="StateSenatorSenateDistrict53General" ref="A2:F13" totalsRowCount="1" headerRowDxfId="197" dataDxfId="195" totalsRowDxfId="193" headerRowBorderDxfId="196" tableBorderDxfId="194" totalsRowBorderDxfId="192">
  <autoFilter ref="A2:F12" xr:uid="{93AF2475-4333-4CF8-9AA7-E01BBA2EA2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621F967-792F-4D4F-8980-9952E4F0F7C7}" name="Candidate Name (Party)" totalsRowLabel="Total Votes by County" dataDxfId="191" totalsRowDxfId="190"/>
    <tableColumn id="2" xr3:uid="{C492E248-D267-4115-9786-7CE8AC64A5A3}" name="Madison County Vote Results" totalsRowFunction="custom" dataDxfId="189" totalsRowDxfId="188">
      <totalsRowFormula>SUM(StateSenatorSenateDistrict53General[Madison County Vote Results])</totalsRowFormula>
    </tableColumn>
    <tableColumn id="3" xr3:uid="{C90DF988-DE6C-431E-9D16-918CB6821AEB}" name="Part of Oneida County Vote Results" totalsRowFunction="custom" dataDxfId="187" totalsRowDxfId="186">
      <totalsRowFormula>SUM(StateSenatorSenateDistrict53General[Part of Oneida County Vote Results])</totalsRowFormula>
    </tableColumn>
    <tableColumn id="4" xr3:uid="{89C8D545-F594-451A-85EF-8EDC7E0112BF}" name="Part of Onondaga County Vote Results" totalsRowFunction="custom" dataDxfId="185" totalsRowDxfId="184">
      <totalsRowFormula>SUM(StateSenatorSenateDistrict53General[Part of Onondaga County Vote Results])</totalsRowFormula>
    </tableColumn>
    <tableColumn id="6" xr3:uid="{974D0863-B263-4A7E-9F67-8E88BF15E12E}" name="Total Votes by Party" totalsRowFunction="custom" dataDxfId="183" totalsRowDxfId="182">
      <calculatedColumnFormula>SUM(StateSenatorSenateDistrict53General[[#This Row],[Madison County Vote Results]:[Part of Onondaga County Vote Results]])</calculatedColumnFormula>
      <totalsRowFormula>SUM(StateSenatorSenateDistrict53General[Total Votes by Party])</totalsRowFormula>
    </tableColumn>
    <tableColumn id="5" xr3:uid="{2604A564-62D0-4B63-BEE9-92C3479A87AD}" name="Total Votes by Candidate" dataDxfId="181" totalsRowDxfId="180"/>
  </tableColumns>
  <tableStyleInfo name="TableStyleMedium2" showFirstColumn="0" showLastColumn="0" showRowStripes="0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A88C2B1F-8706-45A6-9BAA-4A9C5EB3B092}" name="StateSenatorSenateDistrict54General" displayName="StateSenatorSenateDistrict54General" ref="A2:I11" totalsRowCount="1" headerRowDxfId="179" dataDxfId="177" totalsRowDxfId="175" headerRowBorderDxfId="178" tableBorderDxfId="176" totalsRowBorderDxfId="174">
  <autoFilter ref="A2:I10" xr:uid="{66B88628-165F-4A8E-98A1-75A20C4253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0D9E02F-ED10-4B47-8AAD-9EF5FF55906C}" name="Candidate Name (Party)" totalsRowLabel="Total Votes by County" dataDxfId="173" totalsRowDxfId="172"/>
    <tableColumn id="2" xr3:uid="{8C03D6D2-2AF6-4CA9-9018-1F176D478182}" name="Seneca County Vote Results" totalsRowFunction="custom" dataDxfId="171" totalsRowDxfId="170">
      <totalsRowFormula>SUM(StateSenatorSenateDistrict54General[Seneca County Vote Results])</totalsRowFormula>
    </tableColumn>
    <tableColumn id="6" xr3:uid="{419CBE4E-CC0D-4EC2-BC49-4DD65B2798E2}" name="Wayne County Vote Results" totalsRowFunction="custom" dataDxfId="169" totalsRowDxfId="168">
      <totalsRowFormula>SUM(StateSenatorSenateDistrict54General[Wayne County Vote Results])</totalsRowFormula>
    </tableColumn>
    <tableColumn id="10" xr3:uid="{23EA2898-F3C3-402F-80BD-E1B34DE97443}" name="Part of Cayuga County Vote Results" totalsRowFunction="custom" dataDxfId="167" totalsRowDxfId="166">
      <totalsRowFormula>SUM(StateSenatorSenateDistrict54General[Part of Cayuga County Vote Results])</totalsRowFormula>
    </tableColumn>
    <tableColumn id="9" xr3:uid="{89899117-BB11-4AA0-A632-E0AC0A52AA47}" name="Part of Monroe County Vote Results" totalsRowFunction="custom" dataDxfId="165" totalsRowDxfId="164">
      <totalsRowFormula>SUM(StateSenatorSenateDistrict54General[Part of Monroe County Vote Results])</totalsRowFormula>
    </tableColumn>
    <tableColumn id="3" xr3:uid="{6FE869CE-0216-48B4-BA74-50A06B880CDC}" name="Part of Ontario County Vote Results" totalsRowFunction="custom" dataDxfId="163" totalsRowDxfId="162">
      <totalsRowFormula>SUM(StateSenatorSenateDistrict54General[Part of Ontario County Vote Results])</totalsRowFormula>
    </tableColumn>
    <tableColumn id="4" xr3:uid="{4791DA94-73E8-455B-B539-9D57E94877B3}" name="Part of Tompkins County Vote Results" totalsRowFunction="custom" dataDxfId="161" totalsRowDxfId="160">
      <totalsRowFormula>SUM(StateSenatorSenateDistrict54General[Part of Tompkins County Vote Results])</totalsRowFormula>
    </tableColumn>
    <tableColumn id="7" xr3:uid="{C1620DCD-4688-4A4E-940A-F376CBEEF999}" name="Total Votes by Party" totalsRowFunction="custom" dataDxfId="159" totalsRowDxfId="158">
      <calculatedColumnFormula>SUM(StateSenatorSenateDistrict54General[[#This Row],[Seneca County Vote Results]:[Part of Tompkins County Vote Results]])</calculatedColumnFormula>
      <totalsRowFormula>SUM(StateSenatorSenateDistrict54General[Total Votes by Party])</totalsRowFormula>
    </tableColumn>
    <tableColumn id="5" xr3:uid="{52F3F2DF-A5B6-4A82-97A2-DB16CD74A779}" name="Total Votes by Candidate" dataDxfId="157" totalsRowDxfId="156"/>
  </tableColumns>
  <tableStyleInfo name="TableStyleMedium2" showFirstColumn="0" showLastColumn="0" showRowStripes="0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F890C894-FDF5-4930-9800-06CAEEB26EB3}" name="StateSenatorSenateDistrict55General" displayName="StateSenatorSenateDistrict55General" ref="A2:E12" totalsRowCount="1" headerRowDxfId="155" dataDxfId="153" totalsRowDxfId="151" headerRowBorderDxfId="154" tableBorderDxfId="152" totalsRowBorderDxfId="150">
  <autoFilter ref="A2:E11" xr:uid="{B2AE2A49-3BE3-4155-95DB-5C66CB3250C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24DEEC0-ECA2-497C-A64D-AB66686D080A}" name="Candidate Name (Party)" totalsRowLabel="Total Votes by County" dataDxfId="149" totalsRowDxfId="148"/>
    <tableColumn id="2" xr3:uid="{D61BA1EB-4BA6-40D1-94FB-02596535C3D5}" name="Part of Monroe County Vote Results" totalsRowFunction="custom" dataDxfId="147" totalsRowDxfId="146">
      <totalsRowFormula>SUM(StateSenatorSenateDistrict55General[Part of Monroe County Vote Results])</totalsRowFormula>
    </tableColumn>
    <tableColumn id="4" xr3:uid="{CD1970C3-E7B0-41E8-ABDC-F75D6352C49D}" name="Part of Ontario County Vote Results" totalsRowFunction="custom" dataDxfId="145" totalsRowDxfId="144">
      <totalsRowFormula>SUM(StateSenatorSenateDistrict55General[Part of Ontario County Vote Results])</totalsRowFormula>
    </tableColumn>
    <tableColumn id="3" xr3:uid="{D88C0F4E-B32B-469C-9183-DF06EE21F4C1}" name="Total Votes by Party" totalsRowFunction="custom" dataDxfId="143" totalsRowDxfId="142">
      <calculatedColumnFormula>SUM(StateSenatorSenateDistrict55General[[#This Row],[Part of Monroe County Vote Results]:[Part of Ontario County Vote Results]])</calculatedColumnFormula>
      <totalsRowFormula>SUM(StateSenatorSenateDistrict55General[Total Votes by Party])</totalsRowFormula>
    </tableColumn>
    <tableColumn id="5" xr3:uid="{48F5170B-1B72-43BE-957A-9E6A6E51C02B}" name="Total Votes by Candidate" dataDxfId="141" totalsRowDxfId="140"/>
  </tableColumns>
  <tableStyleInfo name="TableStyleMedium2" showFirstColumn="0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06DADC8B-F728-4E7A-A703-895D004E8F27}" name="StateSenatorSenateDistrict56General" displayName="StateSenatorSenateDistrict56General" ref="A2:D11" totalsRowCount="1" headerRowDxfId="139" dataDxfId="137" totalsRowDxfId="135" headerRowBorderDxfId="138" tableBorderDxfId="136" totalsRowBorderDxfId="134">
  <autoFilter ref="A2:D10" xr:uid="{67E25BD0-DCBD-4710-9F1E-1A66ED19EEA6}">
    <filterColumn colId="0" hiddenButton="1"/>
    <filterColumn colId="1" hiddenButton="1"/>
    <filterColumn colId="2" hiddenButton="1"/>
    <filterColumn colId="3" hiddenButton="1"/>
  </autoFilter>
  <tableColumns count="4">
    <tableColumn id="1" xr3:uid="{69C6176E-B797-4B30-8BBA-F6428D439693}" name="Candidate Name (Party)" totalsRowLabel="Total Votes by County" dataDxfId="133" totalsRowDxfId="132"/>
    <tableColumn id="4" xr3:uid="{D14B2B26-078C-411C-B4AF-B84DAE367389}" name="Part of Monroe County Vote Results" totalsRowFunction="custom" dataDxfId="131" totalsRowDxfId="130">
      <totalsRowFormula>SUM(StateSenatorSenateDistrict56General[Part of Monroe County Vote Results])</totalsRowFormula>
    </tableColumn>
    <tableColumn id="3" xr3:uid="{E19A5967-F85C-4BC1-BD03-B57241EF1D49}" name="Total Votes by Party" totalsRowFunction="custom" dataDxfId="129" totalsRowDxfId="128">
      <calculatedColumnFormula>StateSenatorSenateDistrict56General[[#This Row],[Part of Monroe County Vote Results]]</calculatedColumnFormula>
      <totalsRowFormula>SUM(StateSenatorSenateDistrict56General[Total Votes by Party])</totalsRowFormula>
    </tableColumn>
    <tableColumn id="2" xr3:uid="{259CDBBD-1824-4170-ACE1-FBB88183A8BD}" name="Total Votes by Candidate" dataDxfId="127" totalsRowDxfId="126"/>
  </tableColumns>
  <tableStyleInfo name="TableStyleMedium2" showFirstColumn="0" showLastColumn="0" showRowStripes="0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0DADCF41-2300-4DB0-AF6C-95D2C2F6CD75}" name="StateSenatorSenateDistrict57General" displayName="StateSenatorSenateDistrict57General" ref="A2:G12" totalsRowCount="1" headerRowDxfId="125" dataDxfId="123" totalsRowDxfId="121" headerRowBorderDxfId="124" tableBorderDxfId="122" totalsRowBorderDxfId="120">
  <autoFilter ref="A2:G11" xr:uid="{32882166-3D13-45FC-9A3B-3C8BE0B4C5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513E72F-1CAD-4F13-9017-1CF90AB0D62A}" name="Candidate Name (Party)" totalsRowLabel="Total Votes by County" dataDxfId="119" totalsRowDxfId="118"/>
    <tableColumn id="2" xr3:uid="{21862EED-F313-4CBB-9C3A-AC038F6E081F}" name="Allegany County Vote Results" totalsRowFunction="custom" dataDxfId="117" totalsRowDxfId="116">
      <totalsRowFormula>SUM(StateSenatorSenateDistrict57General[Allegany County Vote Results])</totalsRowFormula>
    </tableColumn>
    <tableColumn id="6" xr3:uid="{47846C02-ACA8-4C96-8927-29D71AE4EDA0}" name="Cattaraugus County Vote Results" totalsRowFunction="custom" dataDxfId="115" totalsRowDxfId="114">
      <totalsRowFormula>SUM(StateSenatorSenateDistrict57General[Cattaraugus County Vote Results])</totalsRowFormula>
    </tableColumn>
    <tableColumn id="10" xr3:uid="{3833DC9C-C5A6-4EF5-B52B-D286CB95B71A}" name="Chautauqua County Vote Results" totalsRowFunction="custom" dataDxfId="113" totalsRowDxfId="112">
      <totalsRowFormula>SUM(StateSenatorSenateDistrict57General[Chautauqua County Vote Results])</totalsRowFormula>
    </tableColumn>
    <tableColumn id="4" xr3:uid="{795B7F67-A44E-4E13-BF20-FC08D4E7715A}" name="Part of Livingston County Vote Results" totalsRowFunction="custom" dataDxfId="111" totalsRowDxfId="110">
      <totalsRowFormula>SUM(StateSenatorSenateDistrict57General[Part of Livingston County Vote Results])</totalsRowFormula>
    </tableColumn>
    <tableColumn id="3" xr3:uid="{03AEB0B5-92A7-4AC7-A52E-92B71217C149}" name="Total Votes by Party" totalsRowFunction="custom" dataDxfId="109" totalsRowDxfId="108">
      <calculatedColumnFormula>SUM(StateSenatorSenateDistrict57General[[#This Row],[Allegany County Vote Results]:[Part of Livingston County Vote Results]])</calculatedColumnFormula>
      <totalsRowFormula>SUM(StateSenatorSenateDistrict57General[Total Votes by Party])</totalsRowFormula>
    </tableColumn>
    <tableColumn id="5" xr3:uid="{ACD29AFA-58F0-46F2-BE42-6358EE037447}" name="Total Votes by Candidate" dataDxfId="107" totalsRowDxfId="106"/>
  </tableColumns>
  <tableStyleInfo name="TableStyleMedium2" showFirstColumn="0" showLastColumn="0" showRowStripes="0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6202029A-A2C5-4903-9A62-F816CE54A279}" name="StateSenatorSenateDistrict58General" displayName="StateSenatorSenateDistrict58General" ref="A2:H12" totalsRowCount="1" headerRowDxfId="105" dataDxfId="103" totalsRowDxfId="101" headerRowBorderDxfId="104" tableBorderDxfId="102" totalsRowBorderDxfId="100">
  <autoFilter ref="A2:H11" xr:uid="{0F2EF0C2-407C-425B-B319-2DE1E78852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96E7530-1138-4A4C-BA21-F5B3BF90EC75}" name="Candidate Name (Party)" totalsRowLabel="Total Votes by County" dataDxfId="99" totalsRowDxfId="98"/>
    <tableColumn id="2" xr3:uid="{CC3626E7-84C5-41B2-9F26-06AF8FD32A32}" name="Chemung County Vote Results" totalsRowFunction="custom" dataDxfId="97" totalsRowDxfId="96">
      <totalsRowFormula>SUM(StateSenatorSenateDistrict58General[Chemung County Vote Results])</totalsRowFormula>
    </tableColumn>
    <tableColumn id="6" xr3:uid="{2C4F07DC-1A70-4209-B21B-990484D6D4F4}" name="Schuyler County Vote Results" totalsRowFunction="custom" dataDxfId="95" totalsRowDxfId="94">
      <totalsRowFormula>SUM(StateSenatorSenateDistrict58General[Schuyler County Vote Results])</totalsRowFormula>
    </tableColumn>
    <tableColumn id="9" xr3:uid="{AE3E6326-8899-41BD-88B8-387A1EBC4278}" name="Steuben County Vote Results" totalsRowFunction="custom" dataDxfId="93" totalsRowDxfId="92">
      <totalsRowFormula>SUM(StateSenatorSenateDistrict58General[Steuben County Vote Results])</totalsRowFormula>
    </tableColumn>
    <tableColumn id="3" xr3:uid="{D8D4CD71-ABB5-4729-8D32-307747C948D7}" name="Yates County Vote Results" totalsRowFunction="custom" dataDxfId="91" totalsRowDxfId="90">
      <totalsRowFormula>SUM(StateSenatorSenateDistrict58General[Yates County Vote Results])</totalsRowFormula>
    </tableColumn>
    <tableColumn id="4" xr3:uid="{6908A01A-30E5-4114-874B-361652AE2E3C}" name="Part of Tompkins County Vote Results" totalsRowFunction="custom" dataDxfId="89" totalsRowDxfId="88">
      <totalsRowFormula>SUM(StateSenatorSenateDistrict58General[Part of Tompkins County Vote Results])</totalsRowFormula>
    </tableColumn>
    <tableColumn id="7" xr3:uid="{521B7142-0FE4-42E0-9398-2BAC015623DB}" name="Total Votes by Party" totalsRowFunction="custom" dataDxfId="87" totalsRowDxfId="86">
      <calculatedColumnFormula>SUM(StateSenatorSenateDistrict58General[[#This Row],[Chemung County Vote Results]:[Part of Tompkins County Vote Results]])</calculatedColumnFormula>
      <totalsRowFormula>SUM(StateSenatorSenateDistrict58General[Total Votes by Party])</totalsRowFormula>
    </tableColumn>
    <tableColumn id="5" xr3:uid="{6F623C62-CDB1-4F97-AFEB-45A112EFBB7A}" name="Total Votes by Candidate" dataDxfId="85" totalsRowDxfId="84"/>
  </tableColumns>
  <tableStyleInfo name="TableStyleMedium2" showFirstColumn="0" showLastColumn="0" showRowStripes="0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D585AB45-4867-4A59-9F40-CA90478B4EEF}" name="StateSenatorSenateDistrict59General" displayName="StateSenatorSenateDistrict59General" ref="A2:G10" totalsRowCount="1" headerRowDxfId="83" dataDxfId="81" totalsRowDxfId="79" headerRowBorderDxfId="82" tableBorderDxfId="80" totalsRowBorderDxfId="78">
  <autoFilter ref="A2:G9" xr:uid="{5A837237-3F93-4C1E-BC67-ACAD0D1021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D563676-8E72-4DD4-BCDF-8691E239DFA6}" name="Candidate Name (Party)" totalsRowLabel="Total Votes by County" dataDxfId="77" totalsRowDxfId="76"/>
    <tableColumn id="2" xr3:uid="{E8A9D0C8-D843-41B3-B675-525C80FE69CF}" name="Wyoming County Vote Results" totalsRowFunction="custom" dataDxfId="75" totalsRowDxfId="74">
      <totalsRowFormula>SUM(StateSenatorSenateDistrict59General[Wyoming County Vote Results])</totalsRowFormula>
    </tableColumn>
    <tableColumn id="6" xr3:uid="{8F0A107A-8C67-43E5-B34F-2BDB859D94D3}" name="Part of Erie County Vote Results" totalsRowFunction="custom" dataDxfId="73" totalsRowDxfId="72">
      <totalsRowFormula>SUM(StateSenatorSenateDistrict59General[Part of Erie County Vote Results])</totalsRowFormula>
    </tableColumn>
    <tableColumn id="10" xr3:uid="{02D432AB-F9B2-4F84-A436-2F03E5C7CF5A}" name="Part of Livingston County Vote Results" totalsRowFunction="custom" dataDxfId="71" totalsRowDxfId="70">
      <totalsRowFormula>SUM(StateSenatorSenateDistrict59General[Part of Livingston County Vote Results])</totalsRowFormula>
    </tableColumn>
    <tableColumn id="4" xr3:uid="{7AB59877-DC12-4097-8732-97F00ADFDEFF}" name="Part of Monroe County Vote Results" totalsRowFunction="custom" dataDxfId="69" totalsRowDxfId="68">
      <totalsRowFormula>SUM(StateSenatorSenateDistrict59General[Part of Monroe County Vote Results])</totalsRowFormula>
    </tableColumn>
    <tableColumn id="3" xr3:uid="{159EEBEE-BC0D-4D0F-A359-C076CD9DD3BC}" name="Total Votes by Party" totalsRowFunction="custom" dataDxfId="67" totalsRowDxfId="66">
      <calculatedColumnFormula>SUM(StateSenatorSenateDistrict59General[[#This Row],[Wyoming County Vote Results]:[Part of Monroe County Vote Results]])</calculatedColumnFormula>
      <totalsRowFormula>SUM(StateSenatorSenateDistrict59General[Total Votes by Party])</totalsRowFormula>
    </tableColumn>
    <tableColumn id="5" xr3:uid="{6E4DB5A0-D3FD-43E6-B6DC-364B66AD1A47}" name="Total Votes by Candidate" dataDxfId="65" totalsRowDxfId="64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14B6D34D-E335-4391-9E4D-7CBA0DF84EEC}" name="StateSenatorSenateDistrict6General" displayName="StateSenatorSenateDistrict6General" ref="A2:D12" totalsRowCount="1" headerRowDxfId="942" dataDxfId="940" totalsRowDxfId="938" headerRowBorderDxfId="941" tableBorderDxfId="939" totalsRowBorderDxfId="937">
  <autoFilter ref="A2:D11" xr:uid="{0E535243-4216-4E18-AC3D-5955FEAC22E7}">
    <filterColumn colId="0" hiddenButton="1"/>
    <filterColumn colId="1" hiddenButton="1"/>
    <filterColumn colId="2" hiddenButton="1"/>
    <filterColumn colId="3" hiddenButton="1"/>
  </autoFilter>
  <tableColumns count="4">
    <tableColumn id="1" xr3:uid="{C28AE0A0-F1EC-46D6-8B71-9882AD4EDD04}" name="Candidate Name (Party)" totalsRowLabel="Total Votes by County" dataDxfId="936" totalsRowDxfId="935"/>
    <tableColumn id="4" xr3:uid="{08908D80-3A3E-49EA-A608-D3EF4345F4CE}" name="Part of Nassau County Vote Results" totalsRowFunction="custom" dataDxfId="934" totalsRowDxfId="933">
      <totalsRowFormula>SUM(StateSenatorSenateDistrict6General[Part of Nassau County Vote Results])</totalsRowFormula>
    </tableColumn>
    <tableColumn id="3" xr3:uid="{64FFFE41-4D6F-4B8A-9F40-0FED20793887}" name="Total Votes by Party" totalsRowFunction="custom" dataDxfId="932" totalsRowDxfId="931">
      <calculatedColumnFormula>StateSenatorSenateDistrict6General[[#This Row],[Part of Nassau County Vote Results]]</calculatedColumnFormula>
      <totalsRowFormula>SUM(StateSenatorSenateDistrict6General[Total Votes by Party])</totalsRowFormula>
    </tableColumn>
    <tableColumn id="2" xr3:uid="{1697BE14-1FE7-4B16-A9E5-79D46C432982}" name="Total Votes by Candidate" dataDxfId="930" totalsRowDxfId="929"/>
  </tableColumns>
  <tableStyleInfo name="TableStyleMedium2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A73827E4-6069-4176-85C4-4818C3AC7EFF}" name="StateSenatorSenateDistrict60General" displayName="StateSenatorSenateDistrict60General" ref="A2:D11" totalsRowCount="1" headerRowDxfId="63" dataDxfId="61" totalsRowDxfId="59" headerRowBorderDxfId="62" tableBorderDxfId="60" totalsRowBorderDxfId="58">
  <autoFilter ref="A2:D10" xr:uid="{8C82612D-DA72-406A-8B98-AE42A15CF515}">
    <filterColumn colId="0" hiddenButton="1"/>
    <filterColumn colId="1" hiddenButton="1"/>
    <filterColumn colId="2" hiddenButton="1"/>
    <filterColumn colId="3" hiddenButton="1"/>
  </autoFilter>
  <tableColumns count="4">
    <tableColumn id="1" xr3:uid="{3ADC0AFF-7462-468C-B559-653A0225FC44}" name="Candidate Name (Party)" totalsRowLabel="Total Votes by County" dataDxfId="57" totalsRowDxfId="56"/>
    <tableColumn id="4" xr3:uid="{2B5F0E59-C5C3-456E-98F8-700E13EF5845}" name="Part of Erie County Vote Results" totalsRowFunction="custom" dataDxfId="55" totalsRowDxfId="54">
      <totalsRowFormula>SUM(StateSenatorSenateDistrict60General[Part of Erie County Vote Results])</totalsRowFormula>
    </tableColumn>
    <tableColumn id="3" xr3:uid="{08125405-3809-4D82-B338-3B521D58B602}" name="Total Votes by Party" totalsRowFunction="custom" dataDxfId="53" totalsRowDxfId="52">
      <calculatedColumnFormula>StateSenatorSenateDistrict60General[[#This Row],[Part of Erie County Vote Results]]</calculatedColumnFormula>
      <totalsRowFormula>SUM(StateSenatorSenateDistrict60General[Total Votes by Party])</totalsRowFormula>
    </tableColumn>
    <tableColumn id="2" xr3:uid="{A5378744-701E-44A1-9184-F8D2321455E4}" name="Total Votes by Candidate" dataDxfId="51" totalsRowDxfId="50"/>
  </tableColumns>
  <tableStyleInfo name="TableStyleMedium2" showFirstColumn="0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BE723E85-6FCF-4608-A796-A9520ED98625}" name="StateSenatorSenateDistrict61General" displayName="StateSenatorSenateDistrict61General" ref="A2:F11" totalsRowCount="1" headerRowDxfId="49" dataDxfId="47" totalsRowDxfId="45" headerRowBorderDxfId="48" tableBorderDxfId="46" totalsRowBorderDxfId="44">
  <autoFilter ref="A2:F10" xr:uid="{6B00269E-69EC-4DA7-9D15-C087191207D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0930882-F2D6-43F8-BA1C-C5E0AD1B3F01}" name="Candidate Name (Party)" totalsRowLabel="Total Votes by County" dataDxfId="43" totalsRowDxfId="42"/>
    <tableColumn id="2" xr3:uid="{17714B9C-497A-48DB-B8B8-23D746C93A13}" name="Genesee County Vote Results" totalsRowFunction="custom" dataDxfId="41" totalsRowDxfId="40">
      <totalsRowFormula>SUM(StateSenatorSenateDistrict61General[Genesee County Vote Results])</totalsRowFormula>
    </tableColumn>
    <tableColumn id="3" xr3:uid="{D9A483EB-ED8A-4841-8DEC-38E23225B4B9}" name="Part of Erie County Vote Results" totalsRowFunction="custom" dataDxfId="39" totalsRowDxfId="38">
      <totalsRowFormula>SUM(StateSenatorSenateDistrict61General[Part of Erie County Vote Results])</totalsRowFormula>
    </tableColumn>
    <tableColumn id="4" xr3:uid="{143956BD-CA0D-4CAC-843E-AE8214BB89BD}" name="Part of Monroe County Vote Results" totalsRowFunction="custom" dataDxfId="37" totalsRowDxfId="36">
      <totalsRowFormula>SUM(StateSenatorSenateDistrict61General[Part of Monroe County Vote Results])</totalsRowFormula>
    </tableColumn>
    <tableColumn id="6" xr3:uid="{A7127AA0-589F-48D1-B9DE-CB2E1E0CDA70}" name="Total Votes by Party" totalsRowFunction="custom" dataDxfId="35" totalsRowDxfId="34">
      <calculatedColumnFormula>SUM(StateSenatorSenateDistrict61General[[#This Row],[Genesee County Vote Results]:[Part of Monroe County Vote Results]])</calculatedColumnFormula>
      <totalsRowFormula>SUM(StateSenatorSenateDistrict61General[Total Votes by Party])</totalsRowFormula>
    </tableColumn>
    <tableColumn id="5" xr3:uid="{F826F438-92A0-428F-AC24-8ED1B5040F78}" name="Total Votes by Candidate" dataDxfId="33" totalsRowDxfId="32"/>
  </tableColumns>
  <tableStyleInfo name="TableStyleMedium2" showFirstColumn="0" showLastColumn="0" showRowStripes="0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67BA07F4-AB0B-49F6-AC34-E8EE615017DD}" name="StateSenatorSenateDistrict62General" displayName="StateSenatorSenateDistrict62General" ref="A2:F9" totalsRowCount="1" headerRowDxfId="31" dataDxfId="29" totalsRowDxfId="27" headerRowBorderDxfId="30" tableBorderDxfId="28" totalsRowBorderDxfId="26">
  <autoFilter ref="A2:F8" xr:uid="{625A54BC-7619-41F1-B12B-E5CECB8E46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8744D90-4A84-4C37-8AD5-8A1BA3C55C21}" name="Candidate Name (Party)" totalsRowLabel="Total Votes by County" dataDxfId="25" totalsRowDxfId="24"/>
    <tableColumn id="2" xr3:uid="{17C3EED4-22C9-452C-9A3F-CFF00D33B50D}" name="Niagara County Vote Results" totalsRowFunction="custom" dataDxfId="23" totalsRowDxfId="22">
      <totalsRowFormula>SUM(StateSenatorSenateDistrict62General[Niagara County Vote Results])</totalsRowFormula>
    </tableColumn>
    <tableColumn id="3" xr3:uid="{5048E2F2-B508-4641-BFAB-AB824ECC6EE0}" name="Orleans County Vote Results" totalsRowFunction="custom" dataDxfId="21" totalsRowDxfId="20">
      <totalsRowFormula>SUM(StateSenatorSenateDistrict62General[Orleans County Vote Results])</totalsRowFormula>
    </tableColumn>
    <tableColumn id="4" xr3:uid="{0CCF227D-FC7C-4B63-997B-FB2007D08BAB}" name="Part of Monroe County Vote Results" totalsRowFunction="custom" dataDxfId="19" totalsRowDxfId="18">
      <totalsRowFormula>SUM(StateSenatorSenateDistrict62General[Part of Monroe County Vote Results])</totalsRowFormula>
    </tableColumn>
    <tableColumn id="6" xr3:uid="{CC2361C0-86FB-4E90-B5D2-220D4600F934}" name="Total Votes by Party" totalsRowFunction="custom" dataDxfId="17" totalsRowDxfId="16">
      <calculatedColumnFormula>SUM(StateSenatorSenateDistrict62General[[#This Row],[Niagara County Vote Results]:[Part of Monroe County Vote Results]])</calculatedColumnFormula>
      <totalsRowFormula>SUM(StateSenatorSenateDistrict62General[Total Votes by Party])</totalsRowFormula>
    </tableColumn>
    <tableColumn id="5" xr3:uid="{5E3CD73A-E0DF-4C5A-83AE-EDE417FABD03}" name="Total Votes by Candidate" dataDxfId="15" totalsRowDxfId="14">
      <calculatedColumnFormula>SUM(StateSenatorSenateDistrict62General[[#This Row],[Total Votes by Party]],E4,E5)</calculatedColumnFormula>
    </tableColumn>
  </tableColumns>
  <tableStyleInfo name="TableStyleMedium2" showFirstColumn="0" showLastColumn="0" showRowStripes="0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174EBD90-78ED-4593-907A-D0D3819B6934}" name="StateSenatorSenateDistrict63General" displayName="StateSenatorSenateDistrict63General" ref="A2:D9" totalsRowCount="1" headerRowDxfId="13" dataDxfId="11" totalsRowDxfId="9" headerRowBorderDxfId="12" tableBorderDxfId="10" totalsRowBorderDxfId="8">
  <autoFilter ref="A2:D8" xr:uid="{F0C7570A-FCF2-4D7A-9847-44E748CDEC87}">
    <filterColumn colId="0" hiddenButton="1"/>
    <filterColumn colId="1" hiddenButton="1"/>
    <filterColumn colId="2" hiddenButton="1"/>
    <filterColumn colId="3" hiddenButton="1"/>
  </autoFilter>
  <tableColumns count="4">
    <tableColumn id="1" xr3:uid="{45D34531-8A3E-4ED3-980C-74B67A823570}" name="Candidate Name (Party)" totalsRowLabel="Total Votes by County" dataDxfId="7" totalsRowDxfId="6"/>
    <tableColumn id="4" xr3:uid="{FF9EE2C1-D64B-463E-8481-A4E000AF27B1}" name="Part of Erie County Vote Results" totalsRowFunction="custom" dataDxfId="5" totalsRowDxfId="4">
      <totalsRowFormula>SUM(StateSenatorSenateDistrict63General[Part of Erie County Vote Results])</totalsRowFormula>
    </tableColumn>
    <tableColumn id="3" xr3:uid="{CD252345-FAD5-412B-AABE-D09E96C1704D}" name="Total Votes by Party" totalsRowFunction="custom" dataDxfId="3" totalsRowDxfId="2">
      <calculatedColumnFormula>StateSenatorSenateDistrict63General[[#This Row],[Part of Erie County Vote Results]]</calculatedColumnFormula>
      <totalsRowFormula>SUM(StateSenatorSenateDistrict63General[Total Votes by Party])</totalsRowFormula>
    </tableColumn>
    <tableColumn id="2" xr3:uid="{C79A2BBD-8E86-4F8C-AF8F-25395F2C75F1}" name="Total Votes by Candidate" dataDxfId="1" totalsRowDxfId="0">
      <calculatedColumnFormula>SUM(StateSenatorSenateDistrict63General[[#This Row],[Total Votes by Party]],C4,C5)</calculatedColumnFormula>
    </tableColumn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A277339-A3F1-44F3-AE19-C0642EA66279}" name="StateSenatorSenateDistrict7General" displayName="StateSenatorSenateDistrict7General" ref="A2:D12" totalsRowCount="1" headerRowDxfId="928" dataDxfId="926" totalsRowDxfId="924" headerRowBorderDxfId="927" tableBorderDxfId="925" totalsRowBorderDxfId="923">
  <autoFilter ref="A2:D11" xr:uid="{0468737E-A287-4E35-A99A-23695F38BF57}">
    <filterColumn colId="0" hiddenButton="1"/>
    <filterColumn colId="1" hiddenButton="1"/>
    <filterColumn colId="2" hiddenButton="1"/>
    <filterColumn colId="3" hiddenButton="1"/>
  </autoFilter>
  <tableColumns count="4">
    <tableColumn id="1" xr3:uid="{4ADFC5B1-0595-428A-98D4-5F11DCFB748A}" name="Candidate Name (Party)" totalsRowLabel="Total Votes by County" dataDxfId="922" totalsRowDxfId="921"/>
    <tableColumn id="4" xr3:uid="{C4BC0DC4-BF91-498F-9858-11DB087B8BC2}" name="Part of Nassau County Vote Results" totalsRowFunction="custom" dataDxfId="920" totalsRowDxfId="919">
      <totalsRowFormula>SUM(StateSenatorSenateDistrict7General[Part of Nassau County Vote Results])</totalsRowFormula>
    </tableColumn>
    <tableColumn id="3" xr3:uid="{EB90F89A-9104-4F26-A1DC-CB5C5E825AE4}" name="Total Votes by Party" totalsRowFunction="custom" dataDxfId="918" totalsRowDxfId="917">
      <calculatedColumnFormula>StateSenatorSenateDistrict7General[[#This Row],[Part of Nassau County Vote Results]]</calculatedColumnFormula>
      <totalsRowFormula>SUM(StateSenatorSenateDistrict7General[Total Votes by Party])</totalsRowFormula>
    </tableColumn>
    <tableColumn id="2" xr3:uid="{D31F16CE-A4FF-45C5-A8B1-7A2F504A488D}" name="Total Votes by Candidate" dataDxfId="916" totalsRowDxfId="915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88DB4EA3-0D51-4A62-80C3-487833CA44A0}" name="StateSenatorSenateDistrict8General" displayName="StateSenatorSenateDistrict8General" ref="A2:E9" totalsRowCount="1" headerRowDxfId="914" dataDxfId="912" totalsRowDxfId="910" headerRowBorderDxfId="913" tableBorderDxfId="911" totalsRowBorderDxfId="909">
  <autoFilter ref="A2:E8" xr:uid="{1637A7CF-1158-471A-A38D-CD274C172FA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8AB9A5F-239D-4838-9DA2-AB0EC9935B62}" name="Candidate Name (Party)" totalsRowLabel="Total Votes by County" dataDxfId="908" totalsRowDxfId="907"/>
    <tableColumn id="2" xr3:uid="{93552FF3-96B2-4F97-8195-AFF672E889EF}" name="Part of Nassau County Vote Results" totalsRowFunction="custom" dataDxfId="906" totalsRowDxfId="905">
      <totalsRowFormula>SUM(StateSenatorSenateDistrict8General[Part of Nassau County Vote Results])</totalsRowFormula>
    </tableColumn>
    <tableColumn id="4" xr3:uid="{BD4421D9-9260-456A-9F2D-6F8A9CE09440}" name="Part of Suffolk County Vote Results" totalsRowFunction="custom" dataDxfId="904" totalsRowDxfId="903">
      <totalsRowFormula>SUM(StateSenatorSenateDistrict8General[Part of Suffolk County Vote Results])</totalsRowFormula>
    </tableColumn>
    <tableColumn id="3" xr3:uid="{D4C50676-ACA7-4130-B4DF-0BDCE156F7E0}" name="Total Votes by Party" totalsRowFunction="custom" dataDxfId="902" totalsRowDxfId="901">
      <calculatedColumnFormula>SUM(StateSenatorSenateDistrict8General[[#This Row],[Part of Nassau County Vote Results]:[Part of Suffolk County Vote Results]])</calculatedColumnFormula>
      <totalsRowFormula>SUM(StateSenatorSenateDistrict8General[Total Votes by Party])</totalsRowFormula>
    </tableColumn>
    <tableColumn id="5" xr3:uid="{5EAFD5CE-E3C4-45EE-A3AB-A0F184D4FA1E}" name="Total Votes by Candidate" dataDxfId="900" totalsRowDxfId="899">
      <calculatedColumnFormula>SUM(StateSenatorSenateDistrict8General[[#This Row],[Total Votes by Party]],D4,D5)</calculatedColumnFormula>
    </tableColumn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E3BFDF46-E182-4680-8030-9C8D1709ED30}" name="StateSenatorSenateDistrict9General" displayName="StateSenatorSenateDistrict9General" ref="A2:D10" totalsRowCount="1" headerRowDxfId="898" dataDxfId="896" totalsRowDxfId="894" headerRowBorderDxfId="897" tableBorderDxfId="895" totalsRowBorderDxfId="893">
  <autoFilter ref="A2:D9" xr:uid="{2C1ADD2C-0BB0-4F59-9862-A474FDE8F8EB}">
    <filterColumn colId="0" hiddenButton="1"/>
    <filterColumn colId="1" hiddenButton="1"/>
    <filterColumn colId="2" hiddenButton="1"/>
    <filterColumn colId="3" hiddenButton="1"/>
  </autoFilter>
  <tableColumns count="4">
    <tableColumn id="1" xr3:uid="{C744232C-2211-4D41-A8C0-B1E2F42C9BF0}" name="Candidate Name (Party)" totalsRowLabel="Total Votes by County" dataDxfId="892" totalsRowDxfId="891"/>
    <tableColumn id="4" xr3:uid="{F0CC9C7B-61BA-4871-907F-E7D0C679E9E6}" name="Part of Nassau County Vote Results" totalsRowFunction="custom" dataDxfId="890" totalsRowDxfId="889">
      <totalsRowFormula>SUM(StateSenatorSenateDistrict9General[Part of Nassau County Vote Results])</totalsRowFormula>
    </tableColumn>
    <tableColumn id="3" xr3:uid="{007803ED-E984-42D5-854A-F83BE860331B}" name="Total Votes by Party" totalsRowFunction="custom" dataDxfId="888" totalsRowDxfId="887">
      <calculatedColumnFormula>StateSenatorSenateDistrict9General[[#This Row],[Part of Nassau County Vote Results]]</calculatedColumnFormula>
      <totalsRowFormula>SUM(StateSenatorSenateDistrict9General[Total Votes by Party])</totalsRowFormula>
    </tableColumn>
    <tableColumn id="2" xr3:uid="{FD84D463-5651-45E7-AA9D-4ABC78F448E3}" name="Total Votes by Candidate" dataDxfId="886" totalsRowDxfId="88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tabSelected="1" zoomScaleNormal="100" zoomScaleSheetLayoutView="80" workbookViewId="0">
      <selection activeCell="B3" sqref="B3:B10"/>
    </sheetView>
  </sheetViews>
  <sheetFormatPr defaultRowHeight="13.2" x14ac:dyDescent="0.25"/>
  <cols>
    <col min="1" max="1" width="31.3320312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52</v>
      </c>
    </row>
    <row r="2" spans="1:4" ht="24.9" customHeight="1" x14ac:dyDescent="0.25">
      <c r="A2" s="4" t="s">
        <v>5</v>
      </c>
      <c r="B2" s="5" t="s">
        <v>28</v>
      </c>
      <c r="C2" s="6" t="s">
        <v>3</v>
      </c>
      <c r="D2" s="7" t="s">
        <v>4</v>
      </c>
    </row>
    <row r="3" spans="1:4" ht="13.8" x14ac:dyDescent="0.3">
      <c r="A3" s="1" t="s">
        <v>53</v>
      </c>
      <c r="B3" s="15">
        <v>79931</v>
      </c>
      <c r="C3" s="8">
        <f>StateSenatorSenateDistrict1General[[#This Row],[Part of Suffolk County Vote Results]]</f>
        <v>79931</v>
      </c>
      <c r="D3" s="9">
        <f>SUM(StateSenatorSenateDistrict1General[[#This Row],[Total Votes by Party]],C6)</f>
        <v>81265</v>
      </c>
    </row>
    <row r="4" spans="1:4" ht="13.8" x14ac:dyDescent="0.3">
      <c r="A4" s="1" t="s">
        <v>54</v>
      </c>
      <c r="B4" s="15">
        <v>77149</v>
      </c>
      <c r="C4" s="8">
        <f>StateSenatorSenateDistrict1General[[#This Row],[Part of Suffolk County Vote Results]]</f>
        <v>77149</v>
      </c>
      <c r="D4" s="9">
        <f>SUM(StateSenatorSenateDistrict1General[[#This Row],[Total Votes by Party]],C5)</f>
        <v>86975</v>
      </c>
    </row>
    <row r="5" spans="1:4" ht="13.8" x14ac:dyDescent="0.3">
      <c r="A5" s="1" t="s">
        <v>55</v>
      </c>
      <c r="B5" s="15">
        <v>9826</v>
      </c>
      <c r="C5" s="8">
        <f>StateSenatorSenateDistrict1General[[#This Row],[Part of Suffolk County Vote Results]]</f>
        <v>9826</v>
      </c>
      <c r="D5" s="10"/>
    </row>
    <row r="6" spans="1:4" ht="13.8" x14ac:dyDescent="0.3">
      <c r="A6" s="1" t="s">
        <v>56</v>
      </c>
      <c r="B6" s="15">
        <v>1334</v>
      </c>
      <c r="C6" s="8">
        <f>StateSenatorSenateDistrict1General[[#This Row],[Part of Suffolk County Vote Results]]</f>
        <v>1334</v>
      </c>
      <c r="D6" s="10"/>
    </row>
    <row r="7" spans="1:4" ht="13.8" x14ac:dyDescent="0.3">
      <c r="A7" s="3" t="s">
        <v>0</v>
      </c>
      <c r="B7" s="15">
        <v>9365</v>
      </c>
      <c r="C7" s="8">
        <f>StateSenatorSenateDistrict1General[[#This Row],[Part of Suffolk County Vote Results]]</f>
        <v>9365</v>
      </c>
      <c r="D7" s="10"/>
    </row>
    <row r="8" spans="1:4" ht="13.8" x14ac:dyDescent="0.3">
      <c r="A8" s="3" t="s">
        <v>1</v>
      </c>
      <c r="B8" s="15">
        <v>194</v>
      </c>
      <c r="C8" s="8">
        <f>StateSenatorSenateDistrict1General[[#This Row],[Part of Suffolk County Vote Results]]</f>
        <v>194</v>
      </c>
      <c r="D8" s="10"/>
    </row>
    <row r="9" spans="1:4" ht="13.8" x14ac:dyDescent="0.3">
      <c r="A9" s="3" t="s">
        <v>6</v>
      </c>
      <c r="B9" s="15">
        <v>33</v>
      </c>
      <c r="C9" s="8">
        <f>StateSenatorSenateDistrict1General[[#This Row],[Part of Suffolk County Vote Results]]</f>
        <v>33</v>
      </c>
      <c r="D9" s="10"/>
    </row>
    <row r="10" spans="1:4" ht="13.8" x14ac:dyDescent="0.3">
      <c r="A10" s="11" t="s">
        <v>2</v>
      </c>
      <c r="B10" s="15">
        <f>SUM(StateSenatorSenateDistrict1General[Part of Suffolk County Vote Results])</f>
        <v>177832</v>
      </c>
      <c r="C10" s="8">
        <f>SUM(StateSenatorSenateDistrict1General[Total Votes by Party])</f>
        <v>177832</v>
      </c>
      <c r="D10" s="10"/>
    </row>
  </sheetData>
  <phoneticPr fontId="1" type="noConversion"/>
  <pageMargins left="0.5" right="0.5" top="0.5" bottom="0.5" header="0.25" footer="0.25"/>
  <pageSetup paperSize="5" orientation="landscape" r:id="rId1"/>
  <headerFooter alignWithMargins="0">
    <oddFooter>&amp;RPage &amp;P of &amp;N</oddFooter>
  </headerFooter>
  <rowBreaks count="13" manualBreakCount="13">
    <brk id="42" max="16383" man="1"/>
    <brk id="89" max="16383" man="1"/>
    <brk id="143" max="16383" man="1"/>
    <brk id="197" max="16383" man="1"/>
    <brk id="246" max="16383" man="1"/>
    <brk id="293" max="16383" man="1"/>
    <brk id="342" max="16383" man="1"/>
    <brk id="388" max="16383" man="1"/>
    <brk id="440" max="16383" man="1"/>
    <brk id="493" max="16383" man="1"/>
    <brk id="547" max="16383" man="1"/>
    <brk id="595" max="16383" man="1"/>
    <brk id="631" max="16383" man="1"/>
  </row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1F4B-BC27-457C-B931-05425D6C8099}">
  <dimension ref="A1:D8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105</v>
      </c>
    </row>
    <row r="2" spans="1:4" ht="24.9" customHeight="1" x14ac:dyDescent="0.25">
      <c r="A2" s="4" t="s">
        <v>5</v>
      </c>
      <c r="B2" s="5" t="s">
        <v>30</v>
      </c>
      <c r="C2" s="6" t="s">
        <v>3</v>
      </c>
      <c r="D2" s="7" t="s">
        <v>4</v>
      </c>
    </row>
    <row r="3" spans="1:4" ht="13.8" x14ac:dyDescent="0.3">
      <c r="A3" s="1" t="s">
        <v>106</v>
      </c>
      <c r="B3" s="19">
        <v>88990</v>
      </c>
      <c r="C3" s="8">
        <f>StateSenatorSenateDistrict10General[[#This Row],[Part of Queens County Vote Results]]</f>
        <v>88990</v>
      </c>
      <c r="D3" s="9">
        <f>SUM(StateSenatorSenateDistrict10General[[#This Row],[Total Votes by Party]],C4)</f>
        <v>94555</v>
      </c>
    </row>
    <row r="4" spans="1:4" ht="13.8" x14ac:dyDescent="0.3">
      <c r="A4" s="1" t="s">
        <v>107</v>
      </c>
      <c r="B4" s="19">
        <v>5565</v>
      </c>
      <c r="C4" s="8">
        <f>StateSenatorSenateDistrict10General[[#This Row],[Part of Queens County Vote Results]]</f>
        <v>5565</v>
      </c>
      <c r="D4" s="10"/>
    </row>
    <row r="5" spans="1:4" ht="13.8" x14ac:dyDescent="0.3">
      <c r="A5" s="3" t="s">
        <v>0</v>
      </c>
      <c r="B5" s="2">
        <v>12798</v>
      </c>
      <c r="C5" s="8">
        <f>StateSenatorSenateDistrict10General[[#This Row],[Part of Queens County Vote Results]]</f>
        <v>12798</v>
      </c>
      <c r="D5" s="10"/>
    </row>
    <row r="6" spans="1:4" ht="13.8" x14ac:dyDescent="0.3">
      <c r="A6" s="3" t="s">
        <v>1</v>
      </c>
      <c r="B6" s="2">
        <v>15</v>
      </c>
      <c r="C6" s="8">
        <f>StateSenatorSenateDistrict10General[[#This Row],[Part of Queens County Vote Results]]</f>
        <v>15</v>
      </c>
      <c r="D6" s="10"/>
    </row>
    <row r="7" spans="1:4" ht="13.8" x14ac:dyDescent="0.3">
      <c r="A7" s="3" t="s">
        <v>6</v>
      </c>
      <c r="B7" s="2">
        <v>281</v>
      </c>
      <c r="C7" s="8">
        <f>StateSenatorSenateDistrict10General[[#This Row],[Part of Queens County Vote Results]]</f>
        <v>281</v>
      </c>
      <c r="D7" s="10"/>
    </row>
    <row r="8" spans="1:4" ht="13.8" x14ac:dyDescent="0.3">
      <c r="A8" s="11" t="s">
        <v>2</v>
      </c>
      <c r="B8" s="2">
        <f>SUM(StateSenatorSenateDistrict10General[Part of Queens County Vote Results])</f>
        <v>107649</v>
      </c>
      <c r="C8" s="8">
        <f>SUM(StateSenatorSenateDistrict10General[Total Votes by Party])</f>
        <v>107649</v>
      </c>
      <c r="D8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1ADE-710E-4520-A350-7ACE9716282D}">
  <dimension ref="A1:D11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108</v>
      </c>
    </row>
    <row r="2" spans="1:4" ht="24.9" customHeight="1" x14ac:dyDescent="0.25">
      <c r="A2" s="4" t="s">
        <v>5</v>
      </c>
      <c r="B2" s="5" t="s">
        <v>30</v>
      </c>
      <c r="C2" s="6" t="s">
        <v>3</v>
      </c>
      <c r="D2" s="7" t="s">
        <v>4</v>
      </c>
    </row>
    <row r="3" spans="1:4" ht="13.8" x14ac:dyDescent="0.3">
      <c r="A3" s="13" t="s">
        <v>109</v>
      </c>
      <c r="B3" s="19">
        <v>72673</v>
      </c>
      <c r="C3" s="8">
        <f>StateSenatorSenateDistrict11General[[#This Row],[Part of Queens County Vote Results]]</f>
        <v>72673</v>
      </c>
      <c r="D3" s="9">
        <f>SUM(StateSenatorSenateDistrict11General[[#This Row],[Total Votes by Party]],C6)</f>
        <v>78818</v>
      </c>
    </row>
    <row r="4" spans="1:4" ht="13.8" x14ac:dyDescent="0.3">
      <c r="A4" s="1" t="s">
        <v>110</v>
      </c>
      <c r="B4" s="19">
        <v>40859</v>
      </c>
      <c r="C4" s="8">
        <f>StateSenatorSenateDistrict11General[[#This Row],[Part of Queens County Vote Results]]</f>
        <v>40859</v>
      </c>
      <c r="D4" s="9">
        <f>SUM(StateSenatorSenateDistrict11General[[#This Row],[Total Votes by Party]],C5,C7)</f>
        <v>45400</v>
      </c>
    </row>
    <row r="5" spans="1:4" ht="13.8" x14ac:dyDescent="0.3">
      <c r="A5" s="1" t="s">
        <v>111</v>
      </c>
      <c r="B5" s="19">
        <v>3601</v>
      </c>
      <c r="C5" s="8">
        <f>StateSenatorSenateDistrict11General[[#This Row],[Part of Queens County Vote Results]]</f>
        <v>3601</v>
      </c>
      <c r="D5" s="10"/>
    </row>
    <row r="6" spans="1:4" ht="13.8" x14ac:dyDescent="0.3">
      <c r="A6" s="1" t="s">
        <v>112</v>
      </c>
      <c r="B6" s="19">
        <v>6145</v>
      </c>
      <c r="C6" s="8">
        <f>StateSenatorSenateDistrict11General[[#This Row],[Part of Queens County Vote Results]]</f>
        <v>6145</v>
      </c>
      <c r="D6" s="10"/>
    </row>
    <row r="7" spans="1:4" ht="13.8" x14ac:dyDescent="0.3">
      <c r="A7" s="1" t="s">
        <v>113</v>
      </c>
      <c r="B7" s="18">
        <v>940</v>
      </c>
      <c r="C7" s="8">
        <f>StateSenatorSenateDistrict11General[[#This Row],[Part of Queens County Vote Results]]</f>
        <v>940</v>
      </c>
      <c r="D7" s="10"/>
    </row>
    <row r="8" spans="1:4" ht="13.8" x14ac:dyDescent="0.3">
      <c r="A8" s="3" t="s">
        <v>0</v>
      </c>
      <c r="B8" s="2">
        <v>6773</v>
      </c>
      <c r="C8" s="8">
        <f>StateSenatorSenateDistrict11General[[#This Row],[Part of Queens County Vote Results]]</f>
        <v>6773</v>
      </c>
      <c r="D8" s="10"/>
    </row>
    <row r="9" spans="1:4" ht="13.8" x14ac:dyDescent="0.3">
      <c r="A9" s="3" t="s">
        <v>1</v>
      </c>
      <c r="B9" s="2">
        <v>20</v>
      </c>
      <c r="C9" s="8">
        <f>StateSenatorSenateDistrict11General[[#This Row],[Part of Queens County Vote Results]]</f>
        <v>20</v>
      </c>
      <c r="D9" s="10"/>
    </row>
    <row r="10" spans="1:4" ht="13.8" x14ac:dyDescent="0.3">
      <c r="A10" s="3" t="s">
        <v>6</v>
      </c>
      <c r="B10" s="2">
        <v>97</v>
      </c>
      <c r="C10" s="8">
        <f>StateSenatorSenateDistrict11General[[#This Row],[Part of Queens County Vote Results]]</f>
        <v>97</v>
      </c>
      <c r="D10" s="10"/>
    </row>
    <row r="11" spans="1:4" ht="13.8" x14ac:dyDescent="0.3">
      <c r="A11" s="11" t="s">
        <v>2</v>
      </c>
      <c r="B11" s="2">
        <f>SUM(StateSenatorSenateDistrict11General[Part of Queens County Vote Results])</f>
        <v>131108</v>
      </c>
      <c r="C11" s="8">
        <f>SUM(StateSenatorSenateDistrict11General[Total Votes by Party])</f>
        <v>131108</v>
      </c>
      <c r="D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D2BD-46FC-458C-8BA0-FD1303489BAE}">
  <dimension ref="A1:D8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114</v>
      </c>
    </row>
    <row r="2" spans="1:4" ht="24.9" customHeight="1" x14ac:dyDescent="0.25">
      <c r="A2" s="4" t="s">
        <v>5</v>
      </c>
      <c r="B2" s="5" t="s">
        <v>30</v>
      </c>
      <c r="C2" s="6" t="s">
        <v>3</v>
      </c>
      <c r="D2" s="7" t="s">
        <v>4</v>
      </c>
    </row>
    <row r="3" spans="1:4" ht="13.8" x14ac:dyDescent="0.3">
      <c r="A3" s="1" t="s">
        <v>115</v>
      </c>
      <c r="B3" s="19">
        <v>81795</v>
      </c>
      <c r="C3" s="8">
        <f>StateSenatorSenateDistrict12General[[#This Row],[Part of Queens County Vote Results]]</f>
        <v>81795</v>
      </c>
      <c r="D3" s="9">
        <f>SUM(StateSenatorSenateDistrict12General[[#This Row],[Total Votes by Party]],C4)</f>
        <v>100671</v>
      </c>
    </row>
    <row r="4" spans="1:4" ht="13.8" x14ac:dyDescent="0.3">
      <c r="A4" s="1" t="s">
        <v>116</v>
      </c>
      <c r="B4" s="19">
        <v>18876</v>
      </c>
      <c r="C4" s="8">
        <f>StateSenatorSenateDistrict12General[[#This Row],[Part of Queens County Vote Results]]</f>
        <v>18876</v>
      </c>
      <c r="D4" s="10"/>
    </row>
    <row r="5" spans="1:4" ht="13.8" x14ac:dyDescent="0.3">
      <c r="A5" s="3" t="s">
        <v>0</v>
      </c>
      <c r="B5" s="2">
        <v>20887</v>
      </c>
      <c r="C5" s="8">
        <f>StateSenatorSenateDistrict12General[[#This Row],[Part of Queens County Vote Results]]</f>
        <v>20887</v>
      </c>
      <c r="D5" s="10"/>
    </row>
    <row r="6" spans="1:4" ht="13.8" x14ac:dyDescent="0.3">
      <c r="A6" s="3" t="s">
        <v>1</v>
      </c>
      <c r="B6" s="2">
        <v>12</v>
      </c>
      <c r="C6" s="8">
        <f>StateSenatorSenateDistrict12General[[#This Row],[Part of Queens County Vote Results]]</f>
        <v>12</v>
      </c>
      <c r="D6" s="10"/>
    </row>
    <row r="7" spans="1:4" ht="13.8" x14ac:dyDescent="0.3">
      <c r="A7" s="3" t="s">
        <v>6</v>
      </c>
      <c r="B7" s="2">
        <v>1029</v>
      </c>
      <c r="C7" s="8">
        <f>StateSenatorSenateDistrict12General[[#This Row],[Part of Queens County Vote Results]]</f>
        <v>1029</v>
      </c>
      <c r="D7" s="10"/>
    </row>
    <row r="8" spans="1:4" ht="13.8" x14ac:dyDescent="0.3">
      <c r="A8" s="11" t="s">
        <v>2</v>
      </c>
      <c r="B8" s="2">
        <f>SUM(StateSenatorSenateDistrict12General[Part of Queens County Vote Results])</f>
        <v>122599</v>
      </c>
      <c r="C8" s="8">
        <f>SUM(StateSenatorSenateDistrict12General[Total Votes by Party])</f>
        <v>122599</v>
      </c>
      <c r="D8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7533-E781-423C-A985-93823C7225EC}">
  <dimension ref="A1:D11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117</v>
      </c>
    </row>
    <row r="2" spans="1:4" ht="24.9" customHeight="1" x14ac:dyDescent="0.25">
      <c r="A2" s="4" t="s">
        <v>5</v>
      </c>
      <c r="B2" s="5" t="s">
        <v>30</v>
      </c>
      <c r="C2" s="6" t="s">
        <v>3</v>
      </c>
      <c r="D2" s="7" t="s">
        <v>4</v>
      </c>
    </row>
    <row r="3" spans="1:4" ht="13.8" x14ac:dyDescent="0.3">
      <c r="A3" s="1" t="s">
        <v>118</v>
      </c>
      <c r="B3" s="19">
        <v>56542</v>
      </c>
      <c r="C3" s="8">
        <f>StateSenatorSenateDistrict13General[[#This Row],[Part of Queens County Vote Results]]</f>
        <v>56542</v>
      </c>
      <c r="D3" s="9">
        <f>SUM(StateSenatorSenateDistrict13General[[#This Row],[Total Votes by Party]],C6)</f>
        <v>62885</v>
      </c>
    </row>
    <row r="4" spans="1:4" ht="13.8" x14ac:dyDescent="0.3">
      <c r="A4" s="1" t="s">
        <v>119</v>
      </c>
      <c r="B4" s="19">
        <v>15467</v>
      </c>
      <c r="C4" s="8">
        <f>StateSenatorSenateDistrict13General[[#This Row],[Part of Queens County Vote Results]]</f>
        <v>15467</v>
      </c>
      <c r="D4" s="9">
        <f>SUM(StateSenatorSenateDistrict13General[[#This Row],[Total Votes by Party]],C5,C7)</f>
        <v>17141</v>
      </c>
    </row>
    <row r="5" spans="1:4" ht="13.8" x14ac:dyDescent="0.3">
      <c r="A5" s="1" t="s">
        <v>120</v>
      </c>
      <c r="B5" s="19">
        <v>1271</v>
      </c>
      <c r="C5" s="8">
        <f>StateSenatorSenateDistrict13General[[#This Row],[Part of Queens County Vote Results]]</f>
        <v>1271</v>
      </c>
      <c r="D5" s="10"/>
    </row>
    <row r="6" spans="1:4" ht="13.8" x14ac:dyDescent="0.3">
      <c r="A6" s="1" t="s">
        <v>121</v>
      </c>
      <c r="B6" s="19">
        <v>6343</v>
      </c>
      <c r="C6" s="8">
        <f>StateSenatorSenateDistrict13General[[#This Row],[Part of Queens County Vote Results]]</f>
        <v>6343</v>
      </c>
      <c r="D6" s="10"/>
    </row>
    <row r="7" spans="1:4" ht="13.8" x14ac:dyDescent="0.3">
      <c r="A7" s="1" t="s">
        <v>122</v>
      </c>
      <c r="B7" s="18">
        <v>403</v>
      </c>
      <c r="C7" s="8">
        <f>StateSenatorSenateDistrict13General[[#This Row],[Part of Queens County Vote Results]]</f>
        <v>403</v>
      </c>
      <c r="D7" s="10"/>
    </row>
    <row r="8" spans="1:4" ht="13.8" x14ac:dyDescent="0.3">
      <c r="A8" s="3" t="s">
        <v>0</v>
      </c>
      <c r="B8" s="2">
        <v>4593</v>
      </c>
      <c r="C8" s="8">
        <f>StateSenatorSenateDistrict13General[[#This Row],[Part of Queens County Vote Results]]</f>
        <v>4593</v>
      </c>
      <c r="D8" s="10"/>
    </row>
    <row r="9" spans="1:4" ht="13.8" x14ac:dyDescent="0.3">
      <c r="A9" s="3" t="s">
        <v>1</v>
      </c>
      <c r="B9" s="2">
        <v>10</v>
      </c>
      <c r="C9" s="8">
        <f>StateSenatorSenateDistrict13General[[#This Row],[Part of Queens County Vote Results]]</f>
        <v>10</v>
      </c>
      <c r="D9" s="10"/>
    </row>
    <row r="10" spans="1:4" ht="13.8" x14ac:dyDescent="0.3">
      <c r="A10" s="3" t="s">
        <v>6</v>
      </c>
      <c r="B10" s="2">
        <v>63</v>
      </c>
      <c r="C10" s="8">
        <f>StateSenatorSenateDistrict13General[[#This Row],[Part of Queens County Vote Results]]</f>
        <v>63</v>
      </c>
      <c r="D10" s="10"/>
    </row>
    <row r="11" spans="1:4" ht="13.8" x14ac:dyDescent="0.3">
      <c r="A11" s="11" t="s">
        <v>2</v>
      </c>
      <c r="B11" s="2">
        <f>SUM(StateSenatorSenateDistrict13General[Part of Queens County Vote Results])</f>
        <v>84692</v>
      </c>
      <c r="C11" s="8">
        <f>SUM(StateSenatorSenateDistrict13General[Total Votes by Party])</f>
        <v>84692</v>
      </c>
      <c r="D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8B73-F098-499E-86E7-BD0877FE1B27}">
  <dimension ref="A1:D7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123</v>
      </c>
    </row>
    <row r="2" spans="1:4" ht="24.9" customHeight="1" x14ac:dyDescent="0.25">
      <c r="A2" s="4" t="s">
        <v>5</v>
      </c>
      <c r="B2" s="5" t="s">
        <v>30</v>
      </c>
      <c r="C2" s="6" t="s">
        <v>3</v>
      </c>
      <c r="D2" s="7" t="s">
        <v>4</v>
      </c>
    </row>
    <row r="3" spans="1:4" ht="13.8" x14ac:dyDescent="0.3">
      <c r="A3" s="1" t="s">
        <v>124</v>
      </c>
      <c r="B3" s="19">
        <v>110626</v>
      </c>
      <c r="C3" s="8">
        <f>StateSenatorSenateDistrict14General[[#This Row],[Part of Queens County Vote Results]]</f>
        <v>110626</v>
      </c>
      <c r="D3" s="9">
        <f>SUM(StateSenatorSenateDistrict14General[[#This Row],[Total Votes by Party]])</f>
        <v>110626</v>
      </c>
    </row>
    <row r="4" spans="1:4" ht="13.8" x14ac:dyDescent="0.3">
      <c r="A4" s="3" t="s">
        <v>0</v>
      </c>
      <c r="B4" s="2">
        <v>15669</v>
      </c>
      <c r="C4" s="8">
        <f>StateSenatorSenateDistrict14General[[#This Row],[Part of Queens County Vote Results]]</f>
        <v>15669</v>
      </c>
      <c r="D4" s="10"/>
    </row>
    <row r="5" spans="1:4" ht="13.8" x14ac:dyDescent="0.3">
      <c r="A5" s="3" t="s">
        <v>1</v>
      </c>
      <c r="B5" s="2">
        <v>15</v>
      </c>
      <c r="C5" s="8">
        <f>StateSenatorSenateDistrict14General[[#This Row],[Part of Queens County Vote Results]]</f>
        <v>15</v>
      </c>
      <c r="D5" s="10"/>
    </row>
    <row r="6" spans="1:4" ht="13.8" x14ac:dyDescent="0.3">
      <c r="A6" s="3" t="s">
        <v>6</v>
      </c>
      <c r="B6" s="2">
        <v>457</v>
      </c>
      <c r="C6" s="8">
        <f>StateSenatorSenateDistrict14General[[#This Row],[Part of Queens County Vote Results]]</f>
        <v>457</v>
      </c>
      <c r="D6" s="10"/>
    </row>
    <row r="7" spans="1:4" ht="13.8" x14ac:dyDescent="0.3">
      <c r="A7" s="11" t="s">
        <v>2</v>
      </c>
      <c r="B7" s="2">
        <f>SUM(StateSenatorSenateDistrict14General[Part of Queens County Vote Results])</f>
        <v>126767</v>
      </c>
      <c r="C7" s="8">
        <f>SUM(StateSenatorSenateDistrict14General[Total Votes by Party])</f>
        <v>126767</v>
      </c>
      <c r="D7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0565-6B28-4716-8482-88A7B023030B}">
  <dimension ref="A1:D10"/>
  <sheetViews>
    <sheetView workbookViewId="0">
      <selection activeCell="B3" sqref="B3:B10"/>
    </sheetView>
  </sheetViews>
  <sheetFormatPr defaultRowHeight="13.2" x14ac:dyDescent="0.25"/>
  <cols>
    <col min="1" max="1" width="27.1093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125</v>
      </c>
    </row>
    <row r="2" spans="1:4" ht="24.9" customHeight="1" x14ac:dyDescent="0.25">
      <c r="A2" s="4" t="s">
        <v>5</v>
      </c>
      <c r="B2" s="5" t="s">
        <v>30</v>
      </c>
      <c r="C2" s="6" t="s">
        <v>3</v>
      </c>
      <c r="D2" s="7" t="s">
        <v>4</v>
      </c>
    </row>
    <row r="3" spans="1:4" ht="13.8" x14ac:dyDescent="0.3">
      <c r="A3" s="1" t="s">
        <v>126</v>
      </c>
      <c r="B3" s="19">
        <v>68829</v>
      </c>
      <c r="C3" s="8">
        <f>StateSenatorSenateDistrict15General[[#This Row],[Part of Queens County Vote Results]]</f>
        <v>68829</v>
      </c>
      <c r="D3" s="9">
        <f>SUM(StateSenatorSenateDistrict15General[[#This Row],[Total Votes by Party]])</f>
        <v>68829</v>
      </c>
    </row>
    <row r="4" spans="1:4" ht="13.8" x14ac:dyDescent="0.3">
      <c r="A4" s="1" t="s">
        <v>127</v>
      </c>
      <c r="B4" s="19">
        <v>44108</v>
      </c>
      <c r="C4" s="8">
        <f>StateSenatorSenateDistrict15General[[#This Row],[Part of Queens County Vote Results]]</f>
        <v>44108</v>
      </c>
      <c r="D4" s="9">
        <f>SUM(StateSenatorSenateDistrict15General[[#This Row],[Total Votes by Party]],C5,C6)</f>
        <v>49306</v>
      </c>
    </row>
    <row r="5" spans="1:4" ht="13.8" x14ac:dyDescent="0.3">
      <c r="A5" s="1" t="s">
        <v>128</v>
      </c>
      <c r="B5" s="19">
        <v>3980</v>
      </c>
      <c r="C5" s="8">
        <f>StateSenatorSenateDistrict15General[[#This Row],[Part of Queens County Vote Results]]</f>
        <v>3980</v>
      </c>
      <c r="D5" s="10"/>
    </row>
    <row r="6" spans="1:4" ht="13.8" x14ac:dyDescent="0.3">
      <c r="A6" s="1" t="s">
        <v>129</v>
      </c>
      <c r="B6" s="19">
        <v>1218</v>
      </c>
      <c r="C6" s="8">
        <f>StateSenatorSenateDistrict15General[[#This Row],[Part of Queens County Vote Results]]</f>
        <v>1218</v>
      </c>
      <c r="D6" s="10"/>
    </row>
    <row r="7" spans="1:4" ht="13.8" x14ac:dyDescent="0.3">
      <c r="A7" s="3" t="s">
        <v>0</v>
      </c>
      <c r="B7" s="2">
        <v>6733</v>
      </c>
      <c r="C7" s="8">
        <f>StateSenatorSenateDistrict15General[[#This Row],[Part of Queens County Vote Results]]</f>
        <v>6733</v>
      </c>
      <c r="D7" s="10"/>
    </row>
    <row r="8" spans="1:4" ht="13.8" x14ac:dyDescent="0.3">
      <c r="A8" s="3" t="s">
        <v>1</v>
      </c>
      <c r="B8" s="2">
        <v>14</v>
      </c>
      <c r="C8" s="8">
        <f>StateSenatorSenateDistrict15General[[#This Row],[Part of Queens County Vote Results]]</f>
        <v>14</v>
      </c>
      <c r="D8" s="10"/>
    </row>
    <row r="9" spans="1:4" ht="12" customHeight="1" x14ac:dyDescent="0.3">
      <c r="A9" s="3" t="s">
        <v>6</v>
      </c>
      <c r="B9" s="2">
        <v>109</v>
      </c>
      <c r="C9" s="8">
        <f>StateSenatorSenateDistrict15General[[#This Row],[Part of Queens County Vote Results]]</f>
        <v>109</v>
      </c>
      <c r="D9" s="10"/>
    </row>
    <row r="10" spans="1:4" ht="13.8" x14ac:dyDescent="0.3">
      <c r="A10" s="11" t="s">
        <v>2</v>
      </c>
      <c r="B10" s="2">
        <f>SUM(StateSenatorSenateDistrict15General[Part of Queens County Vote Results])</f>
        <v>124991</v>
      </c>
      <c r="C10" s="8">
        <f>SUM(StateSenatorSenateDistrict15General[Total Votes by Party])</f>
        <v>124991</v>
      </c>
      <c r="D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AA5F-8CF8-4112-A892-B8FB9F77B723}">
  <dimension ref="A1:D7"/>
  <sheetViews>
    <sheetView zoomScaleNormal="100"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130</v>
      </c>
    </row>
    <row r="2" spans="1:4" ht="24.9" customHeight="1" x14ac:dyDescent="0.25">
      <c r="A2" s="4" t="s">
        <v>5</v>
      </c>
      <c r="B2" s="5" t="s">
        <v>30</v>
      </c>
      <c r="C2" s="6" t="s">
        <v>3</v>
      </c>
      <c r="D2" s="7" t="s">
        <v>4</v>
      </c>
    </row>
    <row r="3" spans="1:4" ht="13.8" x14ac:dyDescent="0.3">
      <c r="A3" s="1" t="s">
        <v>131</v>
      </c>
      <c r="B3" s="19">
        <v>65240</v>
      </c>
      <c r="C3" s="8">
        <f>StateSenatorSenateDistrict16General[[#This Row],[Part of Queens County Vote Results]]</f>
        <v>65240</v>
      </c>
      <c r="D3" s="9">
        <f>SUM(StateSenatorSenateDistrict16General[[#This Row],[Total Votes by Party]])</f>
        <v>65240</v>
      </c>
    </row>
    <row r="4" spans="1:4" ht="13.8" x14ac:dyDescent="0.3">
      <c r="A4" s="3" t="s">
        <v>0</v>
      </c>
      <c r="B4" s="2">
        <v>26472</v>
      </c>
      <c r="C4" s="8">
        <f>StateSenatorSenateDistrict16General[[#This Row],[Part of Queens County Vote Results]]</f>
        <v>26472</v>
      </c>
      <c r="D4" s="10"/>
    </row>
    <row r="5" spans="1:4" ht="13.8" x14ac:dyDescent="0.3">
      <c r="A5" s="3" t="s">
        <v>1</v>
      </c>
      <c r="B5" s="2">
        <v>7</v>
      </c>
      <c r="C5" s="8">
        <f>StateSenatorSenateDistrict16General[[#This Row],[Part of Queens County Vote Results]]</f>
        <v>7</v>
      </c>
      <c r="D5" s="10"/>
    </row>
    <row r="6" spans="1:4" ht="13.8" x14ac:dyDescent="0.3">
      <c r="A6" s="3" t="s">
        <v>6</v>
      </c>
      <c r="B6" s="2">
        <v>716</v>
      </c>
      <c r="C6" s="8">
        <f>StateSenatorSenateDistrict16General[[#This Row],[Part of Queens County Vote Results]]</f>
        <v>716</v>
      </c>
      <c r="D6" s="10"/>
    </row>
    <row r="7" spans="1:4" ht="13.8" x14ac:dyDescent="0.3">
      <c r="A7" s="11" t="s">
        <v>2</v>
      </c>
      <c r="B7" s="2">
        <f>SUM(StateSenatorSenateDistrict16General[Part of Queens County Vote Results])</f>
        <v>92435</v>
      </c>
      <c r="C7" s="8">
        <f>SUM(StateSenatorSenateDistrict16General[Total Votes by Party])</f>
        <v>92435</v>
      </c>
      <c r="D7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7DE8-F1B6-48A2-A9BA-CA89150DA64C}">
  <dimension ref="A1:D9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132</v>
      </c>
    </row>
    <row r="2" spans="1:4" ht="27.6" x14ac:dyDescent="0.25">
      <c r="A2" s="4" t="s">
        <v>5</v>
      </c>
      <c r="B2" s="5" t="s">
        <v>31</v>
      </c>
      <c r="C2" s="6" t="s">
        <v>3</v>
      </c>
      <c r="D2" s="7" t="s">
        <v>4</v>
      </c>
    </row>
    <row r="3" spans="1:4" ht="13.8" x14ac:dyDescent="0.3">
      <c r="A3" s="1" t="s">
        <v>133</v>
      </c>
      <c r="B3" s="17">
        <v>31476</v>
      </c>
      <c r="C3" s="8">
        <f>StateSenatorSenateDistrict17General[[#This Row],[Part of Kings County Vote Results]]</f>
        <v>31476</v>
      </c>
      <c r="D3" s="9">
        <f>SUM(StateSenatorSenateDistrict17General[[#This Row],[Total Votes by Party]],C4,C5)</f>
        <v>78650</v>
      </c>
    </row>
    <row r="4" spans="1:4" ht="13.8" x14ac:dyDescent="0.3">
      <c r="A4" s="1" t="s">
        <v>134</v>
      </c>
      <c r="B4" s="17">
        <v>42332</v>
      </c>
      <c r="C4" s="8">
        <f>StateSenatorSenateDistrict17General[[#This Row],[Part of Kings County Vote Results]]</f>
        <v>42332</v>
      </c>
      <c r="D4" s="10"/>
    </row>
    <row r="5" spans="1:4" ht="13.8" x14ac:dyDescent="0.3">
      <c r="A5" s="1" t="s">
        <v>135</v>
      </c>
      <c r="B5" s="17">
        <v>4842</v>
      </c>
      <c r="C5" s="8">
        <f>StateSenatorSenateDistrict17General[[#This Row],[Part of Kings County Vote Results]]</f>
        <v>4842</v>
      </c>
      <c r="D5" s="10"/>
    </row>
    <row r="6" spans="1:4" ht="13.8" x14ac:dyDescent="0.3">
      <c r="A6" s="3" t="s">
        <v>0</v>
      </c>
      <c r="B6" s="16">
        <v>7831</v>
      </c>
      <c r="C6" s="8">
        <f>StateSenatorSenateDistrict17General[[#This Row],[Part of Kings County Vote Results]]</f>
        <v>7831</v>
      </c>
      <c r="D6" s="10"/>
    </row>
    <row r="7" spans="1:4" ht="13.8" x14ac:dyDescent="0.3">
      <c r="A7" s="3" t="s">
        <v>1</v>
      </c>
      <c r="B7" s="16">
        <v>7</v>
      </c>
      <c r="C7" s="8">
        <f>StateSenatorSenateDistrict17General[[#This Row],[Part of Kings County Vote Results]]</f>
        <v>7</v>
      </c>
      <c r="D7" s="10"/>
    </row>
    <row r="8" spans="1:4" ht="13.8" x14ac:dyDescent="0.3">
      <c r="A8" s="3" t="s">
        <v>6</v>
      </c>
      <c r="B8" s="17">
        <v>1730</v>
      </c>
      <c r="C8" s="8">
        <f>StateSenatorSenateDistrict17General[[#This Row],[Part of Kings County Vote Results]]</f>
        <v>1730</v>
      </c>
      <c r="D8" s="10"/>
    </row>
    <row r="9" spans="1:4" ht="13.8" x14ac:dyDescent="0.3">
      <c r="A9" s="11" t="s">
        <v>2</v>
      </c>
      <c r="B9" s="2">
        <f>SUM(StateSenatorSenateDistrict17General[Part of Kings County Vote Results])</f>
        <v>88218</v>
      </c>
      <c r="C9" s="8">
        <f>SUM(StateSenatorSenateDistrict17General[Total Votes by Party])</f>
        <v>88218</v>
      </c>
      <c r="D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4187-CC39-4C59-A5A9-4162D1705322}">
  <dimension ref="A1:D9"/>
  <sheetViews>
    <sheetView workbookViewId="0">
      <selection activeCell="B3" sqref="B3:B10"/>
    </sheetView>
  </sheetViews>
  <sheetFormatPr defaultRowHeight="13.2" x14ac:dyDescent="0.25"/>
  <cols>
    <col min="1" max="1" width="28.5546875" customWidth="1"/>
    <col min="2" max="4" width="20.5546875" customWidth="1"/>
    <col min="5" max="6" width="23.5546875" customWidth="1"/>
  </cols>
  <sheetData>
    <row r="1" spans="1:4" ht="18" x14ac:dyDescent="0.25">
      <c r="A1" s="24" t="s">
        <v>136</v>
      </c>
    </row>
    <row r="2" spans="1:4" ht="27.6" x14ac:dyDescent="0.25">
      <c r="A2" s="4" t="s">
        <v>5</v>
      </c>
      <c r="B2" s="5" t="s">
        <v>31</v>
      </c>
      <c r="C2" s="6" t="s">
        <v>3</v>
      </c>
      <c r="D2" s="7" t="s">
        <v>4</v>
      </c>
    </row>
    <row r="3" spans="1:4" ht="13.8" x14ac:dyDescent="0.3">
      <c r="A3" s="1" t="s">
        <v>137</v>
      </c>
      <c r="B3" s="17">
        <v>77797</v>
      </c>
      <c r="C3" s="8">
        <f>StateSenatorSenateDistrict18General[[#This Row],[Part of Kings County Vote Results]]</f>
        <v>77797</v>
      </c>
      <c r="D3" s="9">
        <f>SUM(StateSenatorSenateDistrict18General[[#This Row],[Total Votes by Party]],C4)</f>
        <v>95939</v>
      </c>
    </row>
    <row r="4" spans="1:4" ht="13.8" x14ac:dyDescent="0.3">
      <c r="A4" s="1" t="s">
        <v>138</v>
      </c>
      <c r="B4" s="17">
        <v>18142</v>
      </c>
      <c r="C4" s="8">
        <f>StateSenatorSenateDistrict18General[[#This Row],[Part of Kings County Vote Results]]</f>
        <v>18142</v>
      </c>
      <c r="D4" s="10"/>
    </row>
    <row r="5" spans="1:4" ht="13.8" x14ac:dyDescent="0.3">
      <c r="A5" s="1" t="s">
        <v>139</v>
      </c>
      <c r="B5" s="17">
        <v>2235</v>
      </c>
      <c r="C5" s="8">
        <f>StateSenatorSenateDistrict18General[[#This Row],[Part of Kings County Vote Results]]</f>
        <v>2235</v>
      </c>
      <c r="D5" s="9">
        <f>SUM(StateSenatorSenateDistrict18General[[#This Row],[Total Votes by Party]])</f>
        <v>2235</v>
      </c>
    </row>
    <row r="6" spans="1:4" ht="13.8" x14ac:dyDescent="0.3">
      <c r="A6" s="3" t="s">
        <v>0</v>
      </c>
      <c r="B6" s="16">
        <v>12287</v>
      </c>
      <c r="C6" s="8">
        <f>StateSenatorSenateDistrict18General[[#This Row],[Part of Kings County Vote Results]]</f>
        <v>12287</v>
      </c>
      <c r="D6" s="10"/>
    </row>
    <row r="7" spans="1:4" ht="13.8" x14ac:dyDescent="0.3">
      <c r="A7" s="3" t="s">
        <v>1</v>
      </c>
      <c r="B7" s="16">
        <v>12</v>
      </c>
      <c r="C7" s="8">
        <f>StateSenatorSenateDistrict18General[[#This Row],[Part of Kings County Vote Results]]</f>
        <v>12</v>
      </c>
      <c r="D7" s="10"/>
    </row>
    <row r="8" spans="1:4" ht="13.8" x14ac:dyDescent="0.3">
      <c r="A8" s="3" t="s">
        <v>6</v>
      </c>
      <c r="B8" s="16">
        <v>258</v>
      </c>
      <c r="C8" s="8">
        <f>StateSenatorSenateDistrict18General[[#This Row],[Part of Kings County Vote Results]]</f>
        <v>258</v>
      </c>
      <c r="D8" s="10"/>
    </row>
    <row r="9" spans="1:4" ht="13.8" x14ac:dyDescent="0.3">
      <c r="A9" s="11" t="s">
        <v>2</v>
      </c>
      <c r="B9" s="2">
        <f>SUM(StateSenatorSenateDistrict18General[Part of Kings County Vote Results])</f>
        <v>110731</v>
      </c>
      <c r="C9" s="8">
        <f>SUM(StateSenatorSenateDistrict18General[Total Votes by Party])</f>
        <v>110731</v>
      </c>
      <c r="D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FFAC-3318-4593-B434-10D96525573E}">
  <dimension ref="A1:D7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140</v>
      </c>
    </row>
    <row r="2" spans="1:4" ht="27.6" x14ac:dyDescent="0.25">
      <c r="A2" s="4" t="s">
        <v>5</v>
      </c>
      <c r="B2" s="5" t="s">
        <v>31</v>
      </c>
      <c r="C2" s="6" t="s">
        <v>3</v>
      </c>
      <c r="D2" s="7" t="s">
        <v>4</v>
      </c>
    </row>
    <row r="3" spans="1:4" ht="13.8" x14ac:dyDescent="0.3">
      <c r="A3" s="1" t="s">
        <v>141</v>
      </c>
      <c r="B3" s="17">
        <v>95755</v>
      </c>
      <c r="C3" s="8">
        <f>StateSenatorSenateDistrict19General[[#This Row],[Part of Kings County Vote Results]]</f>
        <v>95755</v>
      </c>
      <c r="D3" s="9">
        <f>SUM(StateSenatorSenateDistrict19General[[#This Row],[Total Votes by Party]])</f>
        <v>95755</v>
      </c>
    </row>
    <row r="4" spans="1:4" ht="13.8" x14ac:dyDescent="0.3">
      <c r="A4" s="3" t="s">
        <v>0</v>
      </c>
      <c r="B4" s="16">
        <v>17932</v>
      </c>
      <c r="C4" s="8">
        <f>StateSenatorSenateDistrict19General[[#This Row],[Part of Kings County Vote Results]]</f>
        <v>17932</v>
      </c>
      <c r="D4" s="10"/>
    </row>
    <row r="5" spans="1:4" ht="13.8" x14ac:dyDescent="0.3">
      <c r="A5" s="3" t="s">
        <v>1</v>
      </c>
      <c r="B5" s="16">
        <v>1</v>
      </c>
      <c r="C5" s="8">
        <f>StateSenatorSenateDistrict19General[[#This Row],[Part of Kings County Vote Results]]</f>
        <v>1</v>
      </c>
      <c r="D5" s="10"/>
    </row>
    <row r="6" spans="1:4" ht="13.8" x14ac:dyDescent="0.3">
      <c r="A6" s="3" t="s">
        <v>6</v>
      </c>
      <c r="B6" s="16">
        <v>567</v>
      </c>
      <c r="C6" s="8">
        <f>StateSenatorSenateDistrict19General[[#This Row],[Part of Kings County Vote Results]]</f>
        <v>567</v>
      </c>
      <c r="D6" s="10"/>
    </row>
    <row r="7" spans="1:4" ht="13.8" x14ac:dyDescent="0.3">
      <c r="A7" s="11" t="s">
        <v>2</v>
      </c>
      <c r="B7" s="2">
        <f>SUM(StateSenatorSenateDistrict19General[Part of Kings County Vote Results])</f>
        <v>114255</v>
      </c>
      <c r="C7" s="8">
        <f>SUM(StateSenatorSenateDistrict19General[Total Votes by Party])</f>
        <v>114255</v>
      </c>
      <c r="D7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3E1A-3C60-4A1E-B0F8-0EA63F6FACEE}">
  <dimension ref="A1:D11"/>
  <sheetViews>
    <sheetView workbookViewId="0">
      <selection activeCell="B3" sqref="B3:B10"/>
    </sheetView>
  </sheetViews>
  <sheetFormatPr defaultRowHeight="13.2" x14ac:dyDescent="0.25"/>
  <cols>
    <col min="1" max="1" width="32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57</v>
      </c>
    </row>
    <row r="2" spans="1:4" ht="24.9" customHeight="1" x14ac:dyDescent="0.25">
      <c r="A2" s="4" t="s">
        <v>5</v>
      </c>
      <c r="B2" s="5" t="s">
        <v>28</v>
      </c>
      <c r="C2" s="6" t="s">
        <v>3</v>
      </c>
      <c r="D2" s="7" t="s">
        <v>4</v>
      </c>
    </row>
    <row r="3" spans="1:4" ht="13.8" x14ac:dyDescent="0.3">
      <c r="A3" s="1" t="s">
        <v>58</v>
      </c>
      <c r="B3" s="15">
        <v>66575</v>
      </c>
      <c r="C3" s="8">
        <f>StateSenatorSenateDistrict2General[[#This Row],[Part of Suffolk County Vote Results]]</f>
        <v>66575</v>
      </c>
      <c r="D3" s="9">
        <f>SUM(StateSenatorSenateDistrict2General[[#This Row],[Total Votes by Party]])</f>
        <v>66575</v>
      </c>
    </row>
    <row r="4" spans="1:4" ht="13.8" x14ac:dyDescent="0.3">
      <c r="A4" s="1" t="s">
        <v>59</v>
      </c>
      <c r="B4" s="15">
        <v>79726</v>
      </c>
      <c r="C4" s="8">
        <f>StateSenatorSenateDistrict2General[[#This Row],[Part of Suffolk County Vote Results]]</f>
        <v>79726</v>
      </c>
      <c r="D4" s="9">
        <f>SUM(StateSenatorSenateDistrict2General[[#This Row],[Total Votes by Party]],C5,C6,C7)</f>
        <v>90984</v>
      </c>
    </row>
    <row r="5" spans="1:4" ht="13.8" x14ac:dyDescent="0.3">
      <c r="A5" s="1" t="s">
        <v>60</v>
      </c>
      <c r="B5" s="15">
        <v>9341</v>
      </c>
      <c r="C5" s="8">
        <f>StateSenatorSenateDistrict2General[[#This Row],[Part of Suffolk County Vote Results]]</f>
        <v>9341</v>
      </c>
      <c r="D5" s="10"/>
    </row>
    <row r="6" spans="1:4" ht="13.8" x14ac:dyDescent="0.3">
      <c r="A6" s="1" t="s">
        <v>61</v>
      </c>
      <c r="B6" s="15">
        <v>1612</v>
      </c>
      <c r="C6" s="8">
        <f>StateSenatorSenateDistrict2General[[#This Row],[Part of Suffolk County Vote Results]]</f>
        <v>1612</v>
      </c>
      <c r="D6" s="10"/>
    </row>
    <row r="7" spans="1:4" ht="13.8" x14ac:dyDescent="0.3">
      <c r="A7" s="1" t="s">
        <v>62</v>
      </c>
      <c r="B7" s="15">
        <v>305</v>
      </c>
      <c r="C7" s="8">
        <f>StateSenatorSenateDistrict2General[[#This Row],[Part of Suffolk County Vote Results]]</f>
        <v>305</v>
      </c>
      <c r="D7" s="10"/>
    </row>
    <row r="8" spans="1:4" ht="13.8" x14ac:dyDescent="0.3">
      <c r="A8" s="3" t="s">
        <v>0</v>
      </c>
      <c r="B8" s="15">
        <v>11878</v>
      </c>
      <c r="C8" s="8">
        <f>StateSenatorSenateDistrict2General[[#This Row],[Part of Suffolk County Vote Results]]</f>
        <v>11878</v>
      </c>
      <c r="D8" s="10"/>
    </row>
    <row r="9" spans="1:4" ht="13.8" x14ac:dyDescent="0.3">
      <c r="A9" s="3" t="s">
        <v>1</v>
      </c>
      <c r="B9" s="15">
        <v>91</v>
      </c>
      <c r="C9" s="8">
        <f>StateSenatorSenateDistrict2General[[#This Row],[Part of Suffolk County Vote Results]]</f>
        <v>91</v>
      </c>
      <c r="D9" s="10"/>
    </row>
    <row r="10" spans="1:4" ht="13.8" x14ac:dyDescent="0.3">
      <c r="A10" s="3" t="s">
        <v>6</v>
      </c>
      <c r="B10" s="15">
        <v>30</v>
      </c>
      <c r="C10" s="8">
        <f>StateSenatorSenateDistrict2General[[#This Row],[Part of Suffolk County Vote Results]]</f>
        <v>30</v>
      </c>
      <c r="D10" s="10"/>
    </row>
    <row r="11" spans="1:4" ht="13.8" x14ac:dyDescent="0.3">
      <c r="A11" s="11" t="s">
        <v>2</v>
      </c>
      <c r="B11" s="15">
        <f>SUM(StateSenatorSenateDistrict2General[Part of Suffolk County Vote Results])</f>
        <v>169558</v>
      </c>
      <c r="C11" s="8">
        <f>SUM(StateSenatorSenateDistrict2General[Total Votes by Party])</f>
        <v>169558</v>
      </c>
      <c r="D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509F-8569-406C-AAD5-EF0ABAFF12E2}">
  <dimension ref="A1:D9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142</v>
      </c>
    </row>
    <row r="2" spans="1:4" ht="27.6" x14ac:dyDescent="0.25">
      <c r="A2" s="4" t="s">
        <v>5</v>
      </c>
      <c r="B2" s="5" t="s">
        <v>31</v>
      </c>
      <c r="C2" s="6" t="s">
        <v>3</v>
      </c>
      <c r="D2" s="7" t="s">
        <v>4</v>
      </c>
    </row>
    <row r="3" spans="1:4" ht="13.8" x14ac:dyDescent="0.3">
      <c r="A3" s="1" t="s">
        <v>143</v>
      </c>
      <c r="B3" s="17">
        <v>83080</v>
      </c>
      <c r="C3" s="8">
        <f>StateSenatorSenateDistrict20General[[#This Row],[Part of Kings County Vote Results]]</f>
        <v>83080</v>
      </c>
      <c r="D3" s="9">
        <f>SUM(StateSenatorSenateDistrict20General[[#This Row],[Total Votes by Party]],C4)</f>
        <v>99491</v>
      </c>
    </row>
    <row r="4" spans="1:4" ht="13.8" x14ac:dyDescent="0.3">
      <c r="A4" s="1" t="s">
        <v>144</v>
      </c>
      <c r="B4" s="17">
        <v>16411</v>
      </c>
      <c r="C4" s="8">
        <f>StateSenatorSenateDistrict20General[[#This Row],[Part of Kings County Vote Results]]</f>
        <v>16411</v>
      </c>
      <c r="D4" s="10"/>
    </row>
    <row r="5" spans="1:4" ht="13.8" x14ac:dyDescent="0.3">
      <c r="A5" s="1" t="s">
        <v>145</v>
      </c>
      <c r="B5" s="17">
        <v>2570</v>
      </c>
      <c r="C5" s="8">
        <f>StateSenatorSenateDistrict20General[[#This Row],[Part of Kings County Vote Results]]</f>
        <v>2570</v>
      </c>
      <c r="D5" s="9">
        <f>SUM(StateSenatorSenateDistrict20General[[#This Row],[Total Votes by Party]])</f>
        <v>2570</v>
      </c>
    </row>
    <row r="6" spans="1:4" ht="13.8" x14ac:dyDescent="0.3">
      <c r="A6" s="3" t="s">
        <v>0</v>
      </c>
      <c r="B6" s="16">
        <v>9390</v>
      </c>
      <c r="C6" s="8">
        <f>StateSenatorSenateDistrict20General[[#This Row],[Part of Kings County Vote Results]]</f>
        <v>9390</v>
      </c>
      <c r="D6" s="10"/>
    </row>
    <row r="7" spans="1:4" ht="13.8" x14ac:dyDescent="0.3">
      <c r="A7" s="3" t="s">
        <v>1</v>
      </c>
      <c r="B7" s="16">
        <v>3</v>
      </c>
      <c r="C7" s="8">
        <f>StateSenatorSenateDistrict20General[[#This Row],[Part of Kings County Vote Results]]</f>
        <v>3</v>
      </c>
      <c r="D7" s="10"/>
    </row>
    <row r="8" spans="1:4" ht="13.8" x14ac:dyDescent="0.3">
      <c r="A8" s="3" t="s">
        <v>6</v>
      </c>
      <c r="B8" s="16">
        <v>168</v>
      </c>
      <c r="C8" s="8">
        <f>StateSenatorSenateDistrict20General[[#This Row],[Part of Kings County Vote Results]]</f>
        <v>168</v>
      </c>
      <c r="D8" s="10"/>
    </row>
    <row r="9" spans="1:4" ht="13.8" x14ac:dyDescent="0.3">
      <c r="A9" s="11" t="s">
        <v>2</v>
      </c>
      <c r="B9" s="2">
        <f>SUM(StateSenatorSenateDistrict20General[Part of Kings County Vote Results])</f>
        <v>111622</v>
      </c>
      <c r="C9" s="8">
        <f>SUM(StateSenatorSenateDistrict20General[Total Votes by Party])</f>
        <v>111622</v>
      </c>
      <c r="D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51E8-5C57-4D28-BE5B-8BF645D5A246}">
  <dimension ref="A1:D7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146</v>
      </c>
    </row>
    <row r="2" spans="1:4" ht="27.6" x14ac:dyDescent="0.25">
      <c r="A2" s="4" t="s">
        <v>5</v>
      </c>
      <c r="B2" s="5" t="s">
        <v>31</v>
      </c>
      <c r="C2" s="6" t="s">
        <v>3</v>
      </c>
      <c r="D2" s="7" t="s">
        <v>4</v>
      </c>
    </row>
    <row r="3" spans="1:4" ht="13.8" x14ac:dyDescent="0.3">
      <c r="A3" s="1" t="s">
        <v>147</v>
      </c>
      <c r="B3" s="19">
        <v>118738</v>
      </c>
      <c r="C3" s="8">
        <f>StateSenatorSenateDistrict21General[[#This Row],[Part of Kings County Vote Results]]</f>
        <v>118738</v>
      </c>
      <c r="D3" s="9">
        <f>SUM(StateSenatorSenateDistrict21General[[#This Row],[Total Votes by Party]])</f>
        <v>118738</v>
      </c>
    </row>
    <row r="4" spans="1:4" ht="13.8" x14ac:dyDescent="0.3">
      <c r="A4" s="3" t="s">
        <v>0</v>
      </c>
      <c r="B4" s="18">
        <v>13630</v>
      </c>
      <c r="C4" s="8">
        <f>StateSenatorSenateDistrict21General[[#This Row],[Part of Kings County Vote Results]]</f>
        <v>13630</v>
      </c>
      <c r="D4" s="10"/>
    </row>
    <row r="5" spans="1:4" ht="13.8" x14ac:dyDescent="0.3">
      <c r="A5" s="3" t="s">
        <v>1</v>
      </c>
      <c r="B5" s="18">
        <v>4</v>
      </c>
      <c r="C5" s="8">
        <f>StateSenatorSenateDistrict21General[[#This Row],[Part of Kings County Vote Results]]</f>
        <v>4</v>
      </c>
      <c r="D5" s="10"/>
    </row>
    <row r="6" spans="1:4" ht="13.8" x14ac:dyDescent="0.3">
      <c r="A6" s="3" t="s">
        <v>6</v>
      </c>
      <c r="B6" s="18">
        <v>602</v>
      </c>
      <c r="C6" s="8">
        <f>StateSenatorSenateDistrict21General[[#This Row],[Part of Kings County Vote Results]]</f>
        <v>602</v>
      </c>
      <c r="D6" s="10"/>
    </row>
    <row r="7" spans="1:4" ht="13.8" x14ac:dyDescent="0.3">
      <c r="A7" s="11" t="s">
        <v>2</v>
      </c>
      <c r="B7" s="2">
        <f>SUM(StateSenatorSenateDistrict21General[Part of Kings County Vote Results])</f>
        <v>132974</v>
      </c>
      <c r="C7" s="8">
        <f>SUM(StateSenatorSenateDistrict21General[Total Votes by Party])</f>
        <v>132974</v>
      </c>
      <c r="D7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79CB-C0A8-4394-A05C-AA6C1773FFF1}">
  <dimension ref="A1:D12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148</v>
      </c>
    </row>
    <row r="2" spans="1:4" ht="27.6" x14ac:dyDescent="0.25">
      <c r="A2" s="4" t="s">
        <v>5</v>
      </c>
      <c r="B2" s="5" t="s">
        <v>31</v>
      </c>
      <c r="C2" s="6" t="s">
        <v>3</v>
      </c>
      <c r="D2" s="7" t="s">
        <v>4</v>
      </c>
    </row>
    <row r="3" spans="1:4" ht="13.8" x14ac:dyDescent="0.3">
      <c r="A3" s="1" t="s">
        <v>149</v>
      </c>
      <c r="B3" s="19">
        <v>46001</v>
      </c>
      <c r="C3" s="8">
        <f>StateSenatorSenateDistrict22General[[#This Row],[Part of Kings County Vote Results]]</f>
        <v>46001</v>
      </c>
      <c r="D3" s="9">
        <f>SUM(StateSenatorSenateDistrict22General[[#This Row],[Total Votes by Party]],C6,C8)</f>
        <v>51565</v>
      </c>
    </row>
    <row r="4" spans="1:4" ht="13.8" x14ac:dyDescent="0.3">
      <c r="A4" s="1" t="s">
        <v>150</v>
      </c>
      <c r="B4" s="19">
        <v>43719</v>
      </c>
      <c r="C4" s="8">
        <f>StateSenatorSenateDistrict22General[[#This Row],[Part of Kings County Vote Results]]</f>
        <v>43719</v>
      </c>
      <c r="D4" s="9">
        <f>SUM(StateSenatorSenateDistrict22General[[#This Row],[Total Votes by Party]],C5,C7)</f>
        <v>47830</v>
      </c>
    </row>
    <row r="5" spans="1:4" ht="13.8" x14ac:dyDescent="0.3">
      <c r="A5" s="1" t="s">
        <v>151</v>
      </c>
      <c r="B5" s="19">
        <v>3821</v>
      </c>
      <c r="C5" s="8">
        <f>StateSenatorSenateDistrict22General[[#This Row],[Part of Kings County Vote Results]]</f>
        <v>3821</v>
      </c>
      <c r="D5" s="10"/>
    </row>
    <row r="6" spans="1:4" ht="13.8" x14ac:dyDescent="0.3">
      <c r="A6" s="1" t="s">
        <v>152</v>
      </c>
      <c r="B6" s="19">
        <v>5301</v>
      </c>
      <c r="C6" s="8">
        <f>StateSenatorSenateDistrict22General[[#This Row],[Part of Kings County Vote Results]]</f>
        <v>5301</v>
      </c>
      <c r="D6" s="10"/>
    </row>
    <row r="7" spans="1:4" ht="13.8" x14ac:dyDescent="0.3">
      <c r="A7" s="1" t="s">
        <v>153</v>
      </c>
      <c r="B7" s="18">
        <v>290</v>
      </c>
      <c r="C7" s="8">
        <f>StateSenatorSenateDistrict22General[[#This Row],[Part of Kings County Vote Results]]</f>
        <v>290</v>
      </c>
      <c r="D7" s="10"/>
    </row>
    <row r="8" spans="1:4" ht="13.8" x14ac:dyDescent="0.3">
      <c r="A8" s="1" t="s">
        <v>154</v>
      </c>
      <c r="B8" s="18">
        <v>263</v>
      </c>
      <c r="C8" s="8">
        <f>StateSenatorSenateDistrict22General[[#This Row],[Part of Kings County Vote Results]]</f>
        <v>263</v>
      </c>
      <c r="D8" s="10"/>
    </row>
    <row r="9" spans="1:4" ht="13.8" x14ac:dyDescent="0.3">
      <c r="A9" s="3" t="s">
        <v>0</v>
      </c>
      <c r="B9" s="18">
        <v>4904</v>
      </c>
      <c r="C9" s="8">
        <f>StateSenatorSenateDistrict22General[[#This Row],[Part of Kings County Vote Results]]</f>
        <v>4904</v>
      </c>
      <c r="D9" s="10"/>
    </row>
    <row r="10" spans="1:4" ht="13.8" x14ac:dyDescent="0.3">
      <c r="A10" s="3" t="s">
        <v>1</v>
      </c>
      <c r="B10" s="18">
        <v>0</v>
      </c>
      <c r="C10" s="8">
        <f>StateSenatorSenateDistrict22General[[#This Row],[Part of Kings County Vote Results]]</f>
        <v>0</v>
      </c>
      <c r="D10" s="10"/>
    </row>
    <row r="11" spans="1:4" ht="13.8" x14ac:dyDescent="0.3">
      <c r="A11" s="3" t="s">
        <v>6</v>
      </c>
      <c r="B11" s="18">
        <v>121</v>
      </c>
      <c r="C11" s="8">
        <f>StateSenatorSenateDistrict22General[[#This Row],[Part of Kings County Vote Results]]</f>
        <v>121</v>
      </c>
      <c r="D11" s="10"/>
    </row>
    <row r="12" spans="1:4" ht="13.8" x14ac:dyDescent="0.3">
      <c r="A12" s="11" t="s">
        <v>2</v>
      </c>
      <c r="B12" s="2">
        <f>SUM(StateSenatorSenateDistrict22General[Part of Kings County Vote Results])</f>
        <v>104420</v>
      </c>
      <c r="C12" s="8">
        <f>SUM(StateSenatorSenateDistrict22General[Total Votes by Party])</f>
        <v>104420</v>
      </c>
      <c r="D12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F96E-04FE-4EE3-A12F-3B23AECB1917}">
  <dimension ref="A1:E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24" t="s">
        <v>155</v>
      </c>
    </row>
    <row r="2" spans="1:5" ht="27.6" x14ac:dyDescent="0.25">
      <c r="A2" s="4" t="s">
        <v>5</v>
      </c>
      <c r="B2" s="5" t="s">
        <v>31</v>
      </c>
      <c r="C2" s="5" t="s">
        <v>156</v>
      </c>
      <c r="D2" s="6" t="s">
        <v>3</v>
      </c>
      <c r="E2" s="7" t="s">
        <v>4</v>
      </c>
    </row>
    <row r="3" spans="1:5" ht="13.8" x14ac:dyDescent="0.3">
      <c r="A3" s="1" t="s">
        <v>157</v>
      </c>
      <c r="B3" s="20">
        <v>23972</v>
      </c>
      <c r="C3" s="2">
        <v>38144</v>
      </c>
      <c r="D3" s="8">
        <f>SUM(StateSenatorSenateDistrict23General[[#This Row],[Part of Kings County Vote Results]:[Part of Richmond County Vote Results]])</f>
        <v>62116</v>
      </c>
      <c r="E3" s="9">
        <f>SUM(StateSenatorSenateDistrict23General[[#This Row],[Total Votes by Party]],D5)</f>
        <v>63548</v>
      </c>
    </row>
    <row r="4" spans="1:5" ht="13.8" x14ac:dyDescent="0.3">
      <c r="A4" s="1" t="s">
        <v>158</v>
      </c>
      <c r="B4" s="22">
        <v>9968</v>
      </c>
      <c r="C4" s="2">
        <v>7368</v>
      </c>
      <c r="D4" s="8">
        <f>SUM(StateSenatorSenateDistrict23General[[#This Row],[Part of Kings County Vote Results]:[Part of Richmond County Vote Results]])</f>
        <v>17336</v>
      </c>
      <c r="E4" s="9">
        <f>SUM(StateSenatorSenateDistrict23General[[#This Row],[Total Votes by Party]])</f>
        <v>17336</v>
      </c>
    </row>
    <row r="5" spans="1:5" ht="13.8" x14ac:dyDescent="0.3">
      <c r="A5" s="1" t="s">
        <v>159</v>
      </c>
      <c r="B5" s="21">
        <v>609</v>
      </c>
      <c r="C5" s="2">
        <v>823</v>
      </c>
      <c r="D5" s="8">
        <f>SUM(StateSenatorSenateDistrict23General[[#This Row],[Part of Kings County Vote Results]:[Part of Richmond County Vote Results]])</f>
        <v>1432</v>
      </c>
      <c r="E5" s="10"/>
    </row>
    <row r="6" spans="1:5" ht="13.8" x14ac:dyDescent="0.3">
      <c r="A6" s="1" t="s">
        <v>160</v>
      </c>
      <c r="B6" s="21">
        <v>308</v>
      </c>
      <c r="C6" s="2">
        <v>723</v>
      </c>
      <c r="D6" s="8">
        <f>SUM(StateSenatorSenateDistrict23General[[#This Row],[Part of Kings County Vote Results]:[Part of Richmond County Vote Results]])</f>
        <v>1031</v>
      </c>
      <c r="E6" s="9">
        <f>SUM(StateSenatorSenateDistrict23General[[#This Row],[Total Votes by Party]])</f>
        <v>1031</v>
      </c>
    </row>
    <row r="7" spans="1:5" ht="13.8" x14ac:dyDescent="0.3">
      <c r="A7" s="3" t="s">
        <v>0</v>
      </c>
      <c r="B7" s="21">
        <v>15292</v>
      </c>
      <c r="C7" s="2">
        <v>8230</v>
      </c>
      <c r="D7" s="8">
        <f>SUM(StateSenatorSenateDistrict23General[[#This Row],[Part of Kings County Vote Results]:[Part of Richmond County Vote Results]])</f>
        <v>23522</v>
      </c>
      <c r="E7" s="10"/>
    </row>
    <row r="8" spans="1:5" ht="13.8" x14ac:dyDescent="0.3">
      <c r="A8" s="3" t="s">
        <v>1</v>
      </c>
      <c r="B8" s="21">
        <v>4</v>
      </c>
      <c r="C8" s="2">
        <v>9</v>
      </c>
      <c r="D8" s="8">
        <f>SUM(StateSenatorSenateDistrict23General[[#This Row],[Part of Kings County Vote Results]:[Part of Richmond County Vote Results]])</f>
        <v>13</v>
      </c>
      <c r="E8" s="10"/>
    </row>
    <row r="9" spans="1:5" ht="13.8" x14ac:dyDescent="0.3">
      <c r="A9" s="3" t="s">
        <v>6</v>
      </c>
      <c r="B9" s="23">
        <v>89</v>
      </c>
      <c r="C9" s="2">
        <v>121</v>
      </c>
      <c r="D9" s="8">
        <f>SUM(StateSenatorSenateDistrict23General[[#This Row],[Part of Kings County Vote Results]:[Part of Richmond County Vote Results]])</f>
        <v>210</v>
      </c>
      <c r="E9" s="10"/>
    </row>
    <row r="10" spans="1:5" ht="13.8" x14ac:dyDescent="0.3">
      <c r="A10" s="11" t="s">
        <v>2</v>
      </c>
      <c r="B10" s="2">
        <f>SUM(StateSenatorSenateDistrict23General[Part of Kings County Vote Results])</f>
        <v>50242</v>
      </c>
      <c r="C10" s="2">
        <f>SUM(StateSenatorSenateDistrict23General[Part of Richmond County Vote Results])</f>
        <v>55418</v>
      </c>
      <c r="D10" s="8">
        <f>SUM(StateSenatorSenateDistrict23General[Total Votes by Party])</f>
        <v>105660</v>
      </c>
      <c r="E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E8A4-CC6A-427A-BA53-26F601D432E9}">
  <dimension ref="A1:D9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161</v>
      </c>
    </row>
    <row r="2" spans="1:4" ht="27.6" x14ac:dyDescent="0.25">
      <c r="A2" s="4" t="s">
        <v>5</v>
      </c>
      <c r="B2" s="5" t="s">
        <v>156</v>
      </c>
      <c r="C2" s="6" t="s">
        <v>3</v>
      </c>
      <c r="D2" s="7" t="s">
        <v>4</v>
      </c>
    </row>
    <row r="3" spans="1:4" ht="13.8" x14ac:dyDescent="0.3">
      <c r="A3" s="1" t="s">
        <v>162</v>
      </c>
      <c r="B3" s="2">
        <v>112028</v>
      </c>
      <c r="C3" s="8">
        <f>StateSenatorSenateDistrict24General[[#This Row],[Part of Richmond County Vote Results]]</f>
        <v>112028</v>
      </c>
      <c r="D3" s="9">
        <f>SUM(StateSenatorSenateDistrict24General[[#This Row],[Total Votes by Party]],C4,C5)</f>
        <v>129896</v>
      </c>
    </row>
    <row r="4" spans="1:4" ht="13.8" x14ac:dyDescent="0.3">
      <c r="A4" s="1" t="s">
        <v>163</v>
      </c>
      <c r="B4" s="2">
        <v>11400</v>
      </c>
      <c r="C4" s="8">
        <f>StateSenatorSenateDistrict24General[[#This Row],[Part of Richmond County Vote Results]]</f>
        <v>11400</v>
      </c>
      <c r="D4" s="10"/>
    </row>
    <row r="5" spans="1:4" ht="13.8" x14ac:dyDescent="0.3">
      <c r="A5" s="1" t="s">
        <v>164</v>
      </c>
      <c r="B5" s="2">
        <v>6468</v>
      </c>
      <c r="C5" s="8">
        <f>StateSenatorSenateDistrict24General[[#This Row],[Part of Richmond County Vote Results]]</f>
        <v>6468</v>
      </c>
      <c r="D5" s="10"/>
    </row>
    <row r="6" spans="1:4" ht="13.8" x14ac:dyDescent="0.3">
      <c r="A6" s="3" t="s">
        <v>0</v>
      </c>
      <c r="B6" s="2">
        <v>31297</v>
      </c>
      <c r="C6" s="8">
        <f>StateSenatorSenateDistrict24General[[#This Row],[Part of Richmond County Vote Results]]</f>
        <v>31297</v>
      </c>
      <c r="D6" s="10"/>
    </row>
    <row r="7" spans="1:4" ht="13.8" x14ac:dyDescent="0.3">
      <c r="A7" s="3" t="s">
        <v>1</v>
      </c>
      <c r="B7" s="2">
        <v>11</v>
      </c>
      <c r="C7" s="8">
        <f>StateSenatorSenateDistrict24General[[#This Row],[Part of Richmond County Vote Results]]</f>
        <v>11</v>
      </c>
      <c r="D7" s="10"/>
    </row>
    <row r="8" spans="1:4" ht="13.8" x14ac:dyDescent="0.3">
      <c r="A8" s="3" t="s">
        <v>6</v>
      </c>
      <c r="B8" s="2">
        <v>1274</v>
      </c>
      <c r="C8" s="8">
        <f>StateSenatorSenateDistrict24General[[#This Row],[Part of Richmond County Vote Results]]</f>
        <v>1274</v>
      </c>
      <c r="D8" s="10"/>
    </row>
    <row r="9" spans="1:4" ht="13.8" x14ac:dyDescent="0.3">
      <c r="A9" s="11" t="s">
        <v>2</v>
      </c>
      <c r="B9" s="2">
        <f>SUM(StateSenatorSenateDistrict24General[Part of Richmond County Vote Results])</f>
        <v>162478</v>
      </c>
      <c r="C9" s="8">
        <f>SUM(StateSenatorSenateDistrict24General[Total Votes by Party])</f>
        <v>162478</v>
      </c>
      <c r="D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3C20-63D5-45B8-942D-5D76C413439D}">
  <dimension ref="A1:D8"/>
  <sheetViews>
    <sheetView workbookViewId="0">
      <selection activeCell="B3" sqref="B3:B10"/>
    </sheetView>
  </sheetViews>
  <sheetFormatPr defaultRowHeight="13.2" x14ac:dyDescent="0.25"/>
  <cols>
    <col min="1" max="1" width="26.44140625" customWidth="1"/>
    <col min="2" max="4" width="20.5546875" customWidth="1"/>
    <col min="5" max="6" width="23.5546875" customWidth="1"/>
  </cols>
  <sheetData>
    <row r="1" spans="1:4" ht="18" x14ac:dyDescent="0.25">
      <c r="A1" s="24" t="s">
        <v>165</v>
      </c>
    </row>
    <row r="2" spans="1:4" ht="27.6" x14ac:dyDescent="0.25">
      <c r="A2" s="4" t="s">
        <v>5</v>
      </c>
      <c r="B2" s="5" t="s">
        <v>31</v>
      </c>
      <c r="C2" s="6" t="s">
        <v>3</v>
      </c>
      <c r="D2" s="7" t="s">
        <v>4</v>
      </c>
    </row>
    <row r="3" spans="1:4" ht="13.8" x14ac:dyDescent="0.3">
      <c r="A3" s="1" t="s">
        <v>166</v>
      </c>
      <c r="B3" s="19">
        <v>108059</v>
      </c>
      <c r="C3" s="8">
        <f>StateSenatorSenateDistrict25General[[#This Row],[Part of Kings County Vote Results]]</f>
        <v>108059</v>
      </c>
      <c r="D3" s="9">
        <f>SUM(StateSenatorSenateDistrict25General[[#This Row],[Total Votes by Party]],C4)</f>
        <v>138261</v>
      </c>
    </row>
    <row r="4" spans="1:4" ht="13.8" x14ac:dyDescent="0.3">
      <c r="A4" s="1" t="s">
        <v>167</v>
      </c>
      <c r="B4" s="19">
        <v>30202</v>
      </c>
      <c r="C4" s="8">
        <f>StateSenatorSenateDistrict25General[[#This Row],[Part of Kings County Vote Results]]</f>
        <v>30202</v>
      </c>
      <c r="D4" s="10"/>
    </row>
    <row r="5" spans="1:4" ht="13.8" x14ac:dyDescent="0.3">
      <c r="A5" s="3" t="s">
        <v>0</v>
      </c>
      <c r="B5" s="18">
        <v>9943</v>
      </c>
      <c r="C5" s="8">
        <f>StateSenatorSenateDistrict25General[[#This Row],[Part of Kings County Vote Results]]</f>
        <v>9943</v>
      </c>
      <c r="D5" s="10"/>
    </row>
    <row r="6" spans="1:4" ht="13.8" x14ac:dyDescent="0.3">
      <c r="A6" s="3" t="s">
        <v>1</v>
      </c>
      <c r="B6" s="18">
        <v>4</v>
      </c>
      <c r="C6" s="8">
        <f>StateSenatorSenateDistrict25General[[#This Row],[Part of Kings County Vote Results]]</f>
        <v>4</v>
      </c>
      <c r="D6" s="10"/>
    </row>
    <row r="7" spans="1:4" ht="13.8" x14ac:dyDescent="0.3">
      <c r="A7" s="3" t="s">
        <v>6</v>
      </c>
      <c r="B7" s="18">
        <v>518</v>
      </c>
      <c r="C7" s="8">
        <f>StateSenatorSenateDistrict25General[[#This Row],[Part of Kings County Vote Results]]</f>
        <v>518</v>
      </c>
      <c r="D7" s="10"/>
    </row>
    <row r="8" spans="1:4" ht="13.8" x14ac:dyDescent="0.3">
      <c r="A8" s="11" t="s">
        <v>2</v>
      </c>
      <c r="B8" s="2">
        <f>SUM(StateSenatorSenateDistrict25General[Part of Kings County Vote Results])</f>
        <v>148726</v>
      </c>
      <c r="C8" s="8">
        <f>SUM(StateSenatorSenateDistrict25General[Total Votes by Party])</f>
        <v>148726</v>
      </c>
      <c r="D8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120F-CA5B-47E1-99FD-3A9433FC757B}">
  <dimension ref="A1:E9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24" t="s">
        <v>168</v>
      </c>
    </row>
    <row r="2" spans="1:5" ht="27.6" x14ac:dyDescent="0.25">
      <c r="A2" s="4" t="s">
        <v>5</v>
      </c>
      <c r="B2" s="5" t="s">
        <v>31</v>
      </c>
      <c r="C2" s="5" t="s">
        <v>32</v>
      </c>
      <c r="D2" s="6" t="s">
        <v>3</v>
      </c>
      <c r="E2" s="7" t="s">
        <v>4</v>
      </c>
    </row>
    <row r="3" spans="1:5" ht="13.8" x14ac:dyDescent="0.3">
      <c r="A3" s="1" t="s">
        <v>169</v>
      </c>
      <c r="B3" s="19">
        <v>39816</v>
      </c>
      <c r="C3" s="2">
        <v>55736</v>
      </c>
      <c r="D3" s="8">
        <f>SUM(StateSenatorSenateDistrict26General[[#This Row],[Part of Kings County Vote Results]:[Part of New York County Vote Results]])</f>
        <v>95552</v>
      </c>
      <c r="E3" s="9">
        <f>SUM(StateSenatorSenateDistrict26General[[#This Row],[Total Votes by Party]])</f>
        <v>95552</v>
      </c>
    </row>
    <row r="4" spans="1:5" ht="13.8" x14ac:dyDescent="0.3">
      <c r="A4" s="1" t="s">
        <v>170</v>
      </c>
      <c r="B4" s="19">
        <v>9255</v>
      </c>
      <c r="C4" s="2">
        <v>13294</v>
      </c>
      <c r="D4" s="8">
        <f>SUM(StateSenatorSenateDistrict26General[[#This Row],[Part of Kings County Vote Results]:[Part of New York County Vote Results]])</f>
        <v>22549</v>
      </c>
      <c r="E4" s="9">
        <f>SUM(StateSenatorSenateDistrict26General[[#This Row],[Total Votes by Party]],D5)</f>
        <v>25301</v>
      </c>
    </row>
    <row r="5" spans="1:5" ht="13.8" x14ac:dyDescent="0.3">
      <c r="A5" s="1" t="s">
        <v>171</v>
      </c>
      <c r="B5" s="19">
        <v>1150</v>
      </c>
      <c r="C5" s="2">
        <v>1602</v>
      </c>
      <c r="D5" s="8">
        <f>SUM(StateSenatorSenateDistrict26General[[#This Row],[Part of Kings County Vote Results]:[Part of New York County Vote Results]])</f>
        <v>2752</v>
      </c>
      <c r="E5" s="10"/>
    </row>
    <row r="6" spans="1:5" ht="13.8" x14ac:dyDescent="0.3">
      <c r="A6" s="3" t="s">
        <v>0</v>
      </c>
      <c r="B6" s="18">
        <v>3302</v>
      </c>
      <c r="C6" s="2">
        <v>5620</v>
      </c>
      <c r="D6" s="8">
        <f>SUM(StateSenatorSenateDistrict26General[[#This Row],[Part of Kings County Vote Results]:[Part of New York County Vote Results]])</f>
        <v>8922</v>
      </c>
      <c r="E6" s="10"/>
    </row>
    <row r="7" spans="1:5" ht="13.8" x14ac:dyDescent="0.3">
      <c r="A7" s="3" t="s">
        <v>1</v>
      </c>
      <c r="B7" s="18">
        <v>1</v>
      </c>
      <c r="C7" s="2">
        <v>2</v>
      </c>
      <c r="D7" s="8">
        <f>SUM(StateSenatorSenateDistrict26General[[#This Row],[Part of Kings County Vote Results]:[Part of New York County Vote Results]])</f>
        <v>3</v>
      </c>
      <c r="E7" s="10"/>
    </row>
    <row r="8" spans="1:5" ht="13.8" x14ac:dyDescent="0.3">
      <c r="A8" s="3" t="s">
        <v>6</v>
      </c>
      <c r="B8" s="18">
        <v>110</v>
      </c>
      <c r="C8" s="2">
        <v>112</v>
      </c>
      <c r="D8" s="8">
        <f>SUM(StateSenatorSenateDistrict26General[[#This Row],[Part of Kings County Vote Results]:[Part of New York County Vote Results]])</f>
        <v>222</v>
      </c>
      <c r="E8" s="10"/>
    </row>
    <row r="9" spans="1:5" ht="13.8" x14ac:dyDescent="0.3">
      <c r="A9" s="11" t="s">
        <v>2</v>
      </c>
      <c r="B9" s="2">
        <f>SUM(StateSenatorSenateDistrict26General[Part of Kings County Vote Results])</f>
        <v>53634</v>
      </c>
      <c r="C9" s="2">
        <f>SUM(StateSenatorSenateDistrict26General[Part of New York County Vote Results])</f>
        <v>76366</v>
      </c>
      <c r="D9" s="8">
        <f>SUM(StateSenatorSenateDistrict26General[Total Votes by Party])</f>
        <v>130000</v>
      </c>
      <c r="E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8EEA-5405-4776-9D74-2DA344643538}">
  <dimension ref="A1:D8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172</v>
      </c>
    </row>
    <row r="2" spans="1:4" ht="27.6" x14ac:dyDescent="0.25">
      <c r="A2" s="4" t="s">
        <v>5</v>
      </c>
      <c r="B2" s="5" t="s">
        <v>32</v>
      </c>
      <c r="C2" s="6" t="s">
        <v>3</v>
      </c>
      <c r="D2" s="7" t="s">
        <v>4</v>
      </c>
    </row>
    <row r="3" spans="1:4" ht="13.8" x14ac:dyDescent="0.3">
      <c r="A3" s="1" t="s">
        <v>173</v>
      </c>
      <c r="B3" s="2">
        <v>110256</v>
      </c>
      <c r="C3" s="8">
        <f>StateSenatorSenateDistrict27General[[#This Row],[Part of New York County Vote Results]]</f>
        <v>110256</v>
      </c>
      <c r="D3" s="9">
        <f>SUM(StateSenatorSenateDistrict27General[[#This Row],[Total Votes by Party]],C4)</f>
        <v>127942</v>
      </c>
    </row>
    <row r="4" spans="1:4" ht="13.8" x14ac:dyDescent="0.3">
      <c r="A4" s="1" t="s">
        <v>174</v>
      </c>
      <c r="B4" s="2">
        <v>17686</v>
      </c>
      <c r="C4" s="8">
        <f>StateSenatorSenateDistrict27General[[#This Row],[Part of New York County Vote Results]]</f>
        <v>17686</v>
      </c>
      <c r="D4" s="10"/>
    </row>
    <row r="5" spans="1:4" ht="13.8" x14ac:dyDescent="0.3">
      <c r="A5" s="3" t="s">
        <v>0</v>
      </c>
      <c r="B5" s="2">
        <v>18455</v>
      </c>
      <c r="C5" s="8">
        <f>StateSenatorSenateDistrict27General[[#This Row],[Part of New York County Vote Results]]</f>
        <v>18455</v>
      </c>
      <c r="D5" s="10"/>
    </row>
    <row r="6" spans="1:4" ht="13.8" x14ac:dyDescent="0.3">
      <c r="A6" s="3" t="s">
        <v>1</v>
      </c>
      <c r="B6" s="2">
        <v>7</v>
      </c>
      <c r="C6" s="8">
        <f>StateSenatorSenateDistrict27General[[#This Row],[Part of New York County Vote Results]]</f>
        <v>7</v>
      </c>
      <c r="D6" s="10"/>
    </row>
    <row r="7" spans="1:4" ht="13.8" x14ac:dyDescent="0.3">
      <c r="A7" s="3" t="s">
        <v>6</v>
      </c>
      <c r="B7" s="2">
        <v>1100</v>
      </c>
      <c r="C7" s="8">
        <f>StateSenatorSenateDistrict27General[[#This Row],[Part of New York County Vote Results]]</f>
        <v>1100</v>
      </c>
      <c r="D7" s="10"/>
    </row>
    <row r="8" spans="1:4" ht="13.8" x14ac:dyDescent="0.3">
      <c r="A8" s="11" t="s">
        <v>2</v>
      </c>
      <c r="B8" s="2">
        <f>SUM(StateSenatorSenateDistrict27General[Part of New York County Vote Results])</f>
        <v>147504</v>
      </c>
      <c r="C8" s="8">
        <f>SUM(StateSenatorSenateDistrict27General[Total Votes by Party])</f>
        <v>147504</v>
      </c>
      <c r="D8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F8F5-A8BB-4BAD-89F8-1E401B8DEC53}">
  <dimension ref="A1:D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175</v>
      </c>
    </row>
    <row r="2" spans="1:4" ht="27.6" x14ac:dyDescent="0.25">
      <c r="A2" s="4" t="s">
        <v>5</v>
      </c>
      <c r="B2" s="5" t="s">
        <v>32</v>
      </c>
      <c r="C2" s="6" t="s">
        <v>3</v>
      </c>
      <c r="D2" s="7" t="s">
        <v>4</v>
      </c>
    </row>
    <row r="3" spans="1:4" ht="13.8" x14ac:dyDescent="0.3">
      <c r="A3" s="1" t="s">
        <v>176</v>
      </c>
      <c r="B3" s="2">
        <v>105441</v>
      </c>
      <c r="C3" s="8">
        <f>StateSenatorSenateDistrict28General[[#This Row],[Part of New York County Vote Results]]</f>
        <v>105441</v>
      </c>
      <c r="D3" s="9">
        <f>SUM(StateSenatorSenateDistrict28General[[#This Row],[Total Votes by Party]],C5)</f>
        <v>113109</v>
      </c>
    </row>
    <row r="4" spans="1:4" ht="13.8" x14ac:dyDescent="0.3">
      <c r="A4" s="1" t="s">
        <v>177</v>
      </c>
      <c r="B4" s="2">
        <v>31224</v>
      </c>
      <c r="C4" s="8">
        <f>StateSenatorSenateDistrict28General[[#This Row],[Part of New York County Vote Results]]</f>
        <v>31224</v>
      </c>
      <c r="D4" s="9">
        <f>SUM(StateSenatorSenateDistrict28General[[#This Row],[Total Votes by Party]],C6)</f>
        <v>31888</v>
      </c>
    </row>
    <row r="5" spans="1:4" ht="13.8" x14ac:dyDescent="0.3">
      <c r="A5" s="1" t="s">
        <v>178</v>
      </c>
      <c r="B5" s="2">
        <v>7668</v>
      </c>
      <c r="C5" s="8">
        <f>StateSenatorSenateDistrict28General[[#This Row],[Part of New York County Vote Results]]</f>
        <v>7668</v>
      </c>
      <c r="D5" s="10"/>
    </row>
    <row r="6" spans="1:4" ht="13.8" x14ac:dyDescent="0.3">
      <c r="A6" s="1" t="s">
        <v>179</v>
      </c>
      <c r="B6" s="2">
        <v>664</v>
      </c>
      <c r="C6" s="8">
        <f>StateSenatorSenateDistrict28General[[#This Row],[Part of New York County Vote Results]]</f>
        <v>664</v>
      </c>
      <c r="D6" s="10"/>
    </row>
    <row r="7" spans="1:4" ht="13.8" x14ac:dyDescent="0.3">
      <c r="A7" s="3" t="s">
        <v>0</v>
      </c>
      <c r="B7" s="2">
        <v>5035</v>
      </c>
      <c r="C7" s="8">
        <f>StateSenatorSenateDistrict28General[[#This Row],[Part of New York County Vote Results]]</f>
        <v>5035</v>
      </c>
      <c r="D7" s="10"/>
    </row>
    <row r="8" spans="1:4" ht="13.8" x14ac:dyDescent="0.3">
      <c r="A8" s="3" t="s">
        <v>1</v>
      </c>
      <c r="B8" s="2">
        <v>5</v>
      </c>
      <c r="C8" s="8">
        <f>StateSenatorSenateDistrict28General[[#This Row],[Part of New York County Vote Results]]</f>
        <v>5</v>
      </c>
      <c r="D8" s="10"/>
    </row>
    <row r="9" spans="1:4" ht="13.8" x14ac:dyDescent="0.3">
      <c r="A9" s="3" t="s">
        <v>6</v>
      </c>
      <c r="B9" s="2">
        <v>100</v>
      </c>
      <c r="C9" s="8">
        <f>StateSenatorSenateDistrict28General[[#This Row],[Part of New York County Vote Results]]</f>
        <v>100</v>
      </c>
      <c r="D9" s="10"/>
    </row>
    <row r="10" spans="1:4" ht="13.8" x14ac:dyDescent="0.3">
      <c r="A10" s="11" t="s">
        <v>2</v>
      </c>
      <c r="B10" s="2">
        <f>SUM(StateSenatorSenateDistrict28General[Part of New York County Vote Results])</f>
        <v>150137</v>
      </c>
      <c r="C10" s="8">
        <f>SUM(StateSenatorSenateDistrict28General[Total Votes by Party])</f>
        <v>150137</v>
      </c>
      <c r="D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8B74-B379-48B1-8E3C-2F2CFAB9475D}">
  <dimension ref="A1:E8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24" t="s">
        <v>180</v>
      </c>
    </row>
    <row r="2" spans="1:5" ht="27.6" x14ac:dyDescent="0.25">
      <c r="A2" s="4" t="s">
        <v>5</v>
      </c>
      <c r="B2" s="5" t="s">
        <v>33</v>
      </c>
      <c r="C2" s="5" t="s">
        <v>32</v>
      </c>
      <c r="D2" s="6" t="s">
        <v>3</v>
      </c>
      <c r="E2" s="7" t="s">
        <v>4</v>
      </c>
    </row>
    <row r="3" spans="1:5" ht="13.8" x14ac:dyDescent="0.3">
      <c r="A3" s="1" t="s">
        <v>181</v>
      </c>
      <c r="B3" s="2">
        <v>47072</v>
      </c>
      <c r="C3" s="2">
        <v>41571</v>
      </c>
      <c r="D3" s="8">
        <f>SUM(StateSenatorSenateDistrict29General[[#This Row],[Part of Bronx County Vote Results]:[Part of New York County Vote Results]])</f>
        <v>88643</v>
      </c>
      <c r="E3" s="9">
        <f>StateSenatorSenateDistrict29General[[#This Row],[Total Votes by Party]]</f>
        <v>88643</v>
      </c>
    </row>
    <row r="4" spans="1:5" ht="13.8" x14ac:dyDescent="0.3">
      <c r="A4" s="1" t="s">
        <v>182</v>
      </c>
      <c r="B4" s="2">
        <v>5481</v>
      </c>
      <c r="C4" s="2">
        <v>6694</v>
      </c>
      <c r="D4" s="8">
        <f>SUM(StateSenatorSenateDistrict29General[[#This Row],[Part of Bronx County Vote Results]:[Part of New York County Vote Results]])</f>
        <v>12175</v>
      </c>
      <c r="E4" s="9">
        <f>StateSenatorSenateDistrict29General[[#This Row],[Total Votes by Party]]</f>
        <v>12175</v>
      </c>
    </row>
    <row r="5" spans="1:5" ht="13.8" x14ac:dyDescent="0.3">
      <c r="A5" s="3" t="s">
        <v>0</v>
      </c>
      <c r="B5" s="2">
        <v>3110</v>
      </c>
      <c r="C5" s="2">
        <v>2715</v>
      </c>
      <c r="D5" s="8">
        <f>SUM(StateSenatorSenateDistrict29General[[#This Row],[Part of Bronx County Vote Results]:[Part of New York County Vote Results]])</f>
        <v>5825</v>
      </c>
      <c r="E5" s="10"/>
    </row>
    <row r="6" spans="1:5" ht="13.8" x14ac:dyDescent="0.3">
      <c r="A6" s="3" t="s">
        <v>1</v>
      </c>
      <c r="B6" s="2">
        <v>0</v>
      </c>
      <c r="C6" s="2">
        <v>1</v>
      </c>
      <c r="D6" s="8">
        <f>SUM(StateSenatorSenateDistrict29General[[#This Row],[Part of Bronx County Vote Results]:[Part of New York County Vote Results]])</f>
        <v>1</v>
      </c>
      <c r="E6" s="10"/>
    </row>
    <row r="7" spans="1:5" ht="13.8" x14ac:dyDescent="0.3">
      <c r="A7" s="3" t="s">
        <v>6</v>
      </c>
      <c r="B7" s="2">
        <v>48</v>
      </c>
      <c r="C7" s="2">
        <v>76</v>
      </c>
      <c r="D7" s="8">
        <f>SUM(StateSenatorSenateDistrict29General[[#This Row],[Part of Bronx County Vote Results]:[Part of New York County Vote Results]])</f>
        <v>124</v>
      </c>
      <c r="E7" s="10"/>
    </row>
    <row r="8" spans="1:5" ht="13.8" x14ac:dyDescent="0.3">
      <c r="A8" s="11" t="s">
        <v>2</v>
      </c>
      <c r="B8" s="2">
        <f>SUM(StateSenatorSenateDistrict29General[Part of Bronx County Vote Results])</f>
        <v>55711</v>
      </c>
      <c r="C8" s="2">
        <f>SUM(StateSenatorSenateDistrict29General[Part of New York County Vote Results])</f>
        <v>51057</v>
      </c>
      <c r="D8" s="8">
        <f>SUM(StateSenatorSenateDistrict29General[Total Votes by Party])</f>
        <v>106768</v>
      </c>
      <c r="E8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5C8-2E9E-483E-AB53-755406BC8019}">
  <dimension ref="A1:D10"/>
  <sheetViews>
    <sheetView workbookViewId="0">
      <selection activeCell="C24" sqref="C24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63</v>
      </c>
    </row>
    <row r="2" spans="1:4" ht="24.9" customHeight="1" x14ac:dyDescent="0.25">
      <c r="A2" s="4" t="s">
        <v>5</v>
      </c>
      <c r="B2" s="5" t="s">
        <v>28</v>
      </c>
      <c r="C2" s="6" t="s">
        <v>3</v>
      </c>
      <c r="D2" s="7" t="s">
        <v>4</v>
      </c>
    </row>
    <row r="3" spans="1:4" ht="13.8" x14ac:dyDescent="0.3">
      <c r="A3" s="1" t="s">
        <v>64</v>
      </c>
      <c r="B3" s="15">
        <v>61595</v>
      </c>
      <c r="C3" s="8">
        <f>StateSenatorSenateDistrict3General[[#This Row],[Part of Suffolk County Vote Results]]</f>
        <v>61595</v>
      </c>
      <c r="D3" s="9">
        <f>SUM(StateSenatorSenateDistrict3General[[#This Row],[Total Votes by Party]],C6)</f>
        <v>63285</v>
      </c>
    </row>
    <row r="4" spans="1:4" ht="13.8" x14ac:dyDescent="0.3">
      <c r="A4" s="1" t="s">
        <v>65</v>
      </c>
      <c r="B4" s="15">
        <v>60170</v>
      </c>
      <c r="C4" s="8">
        <f>StateSenatorSenateDistrict3General[[#This Row],[Part of Suffolk County Vote Results]]</f>
        <v>60170</v>
      </c>
      <c r="D4" s="9">
        <f>SUM(StateSenatorSenateDistrict3General[[#This Row],[Total Votes by Party]],C5)</f>
        <v>68362</v>
      </c>
    </row>
    <row r="5" spans="1:4" ht="13.8" x14ac:dyDescent="0.3">
      <c r="A5" s="1" t="s">
        <v>66</v>
      </c>
      <c r="B5" s="15">
        <v>8192</v>
      </c>
      <c r="C5" s="8">
        <f>StateSenatorSenateDistrict3General[[#This Row],[Part of Suffolk County Vote Results]]</f>
        <v>8192</v>
      </c>
      <c r="D5" s="10"/>
    </row>
    <row r="6" spans="1:4" ht="13.8" x14ac:dyDescent="0.3">
      <c r="A6" s="1" t="s">
        <v>67</v>
      </c>
      <c r="B6" s="15">
        <v>1690</v>
      </c>
      <c r="C6" s="8">
        <f>StateSenatorSenateDistrict3General[[#This Row],[Part of Suffolk County Vote Results]]</f>
        <v>1690</v>
      </c>
      <c r="D6" s="10"/>
    </row>
    <row r="7" spans="1:4" ht="13.8" x14ac:dyDescent="0.3">
      <c r="A7" s="3" t="s">
        <v>0</v>
      </c>
      <c r="B7" s="15">
        <v>8729</v>
      </c>
      <c r="C7" s="8">
        <f>StateSenatorSenateDistrict3General[[#This Row],[Part of Suffolk County Vote Results]]</f>
        <v>8729</v>
      </c>
      <c r="D7" s="10"/>
    </row>
    <row r="8" spans="1:4" ht="13.8" x14ac:dyDescent="0.3">
      <c r="A8" s="3" t="s">
        <v>1</v>
      </c>
      <c r="B8" s="15">
        <v>60</v>
      </c>
      <c r="C8" s="8">
        <f>StateSenatorSenateDistrict3General[[#This Row],[Part of Suffolk County Vote Results]]</f>
        <v>60</v>
      </c>
      <c r="D8" s="10"/>
    </row>
    <row r="9" spans="1:4" ht="13.8" x14ac:dyDescent="0.3">
      <c r="A9" s="3" t="s">
        <v>6</v>
      </c>
      <c r="B9" s="15">
        <v>35</v>
      </c>
      <c r="C9" s="8">
        <f>StateSenatorSenateDistrict3General[[#This Row],[Part of Suffolk County Vote Results]]</f>
        <v>35</v>
      </c>
      <c r="D9" s="10"/>
    </row>
    <row r="10" spans="1:4" ht="13.8" x14ac:dyDescent="0.3">
      <c r="A10" s="11" t="s">
        <v>2</v>
      </c>
      <c r="B10" s="15">
        <f>SUM(StateSenatorSenateDistrict3General[Part of Suffolk County Vote Results])</f>
        <v>140471</v>
      </c>
      <c r="C10" s="8">
        <f>SUM(StateSenatorSenateDistrict3General[Total Votes by Party])</f>
        <v>140471</v>
      </c>
      <c r="D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EB51-B2C4-4F99-9ABC-4CACAFB4817F}">
  <dimension ref="A1:D8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183</v>
      </c>
    </row>
    <row r="2" spans="1:4" ht="27.6" x14ac:dyDescent="0.25">
      <c r="A2" s="4" t="s">
        <v>5</v>
      </c>
      <c r="B2" s="5" t="s">
        <v>32</v>
      </c>
      <c r="C2" s="6" t="s">
        <v>3</v>
      </c>
      <c r="D2" s="7" t="s">
        <v>4</v>
      </c>
    </row>
    <row r="3" spans="1:4" ht="13.8" x14ac:dyDescent="0.3">
      <c r="A3" s="1" t="s">
        <v>184</v>
      </c>
      <c r="B3" s="2">
        <v>115397</v>
      </c>
      <c r="C3" s="8">
        <f>StateSenatorSenateDistrict30General[[#This Row],[Part of New York County Vote Results]]</f>
        <v>115397</v>
      </c>
      <c r="D3" s="9">
        <f>SUM(StateSenatorSenateDistrict30General[[#This Row],[Total Votes by Party]])</f>
        <v>115397</v>
      </c>
    </row>
    <row r="4" spans="1:4" ht="13.8" x14ac:dyDescent="0.3">
      <c r="A4" s="1" t="s">
        <v>185</v>
      </c>
      <c r="B4" s="2">
        <v>8477</v>
      </c>
      <c r="C4" s="8">
        <f>StateSenatorSenateDistrict30General[[#This Row],[Part of New York County Vote Results]]</f>
        <v>8477</v>
      </c>
      <c r="D4" s="9">
        <f>SUM(StateSenatorSenateDistrict30General[[#This Row],[Total Votes by Party]])</f>
        <v>8477</v>
      </c>
    </row>
    <row r="5" spans="1:4" ht="13.8" x14ac:dyDescent="0.3">
      <c r="A5" s="3" t="s">
        <v>0</v>
      </c>
      <c r="B5" s="2">
        <v>9709</v>
      </c>
      <c r="C5" s="8">
        <f>StateSenatorSenateDistrict30General[[#This Row],[Part of New York County Vote Results]]</f>
        <v>9709</v>
      </c>
      <c r="D5" s="10"/>
    </row>
    <row r="6" spans="1:4" ht="13.8" x14ac:dyDescent="0.3">
      <c r="A6" s="3" t="s">
        <v>1</v>
      </c>
      <c r="B6" s="2">
        <v>11</v>
      </c>
      <c r="C6" s="8">
        <f>StateSenatorSenateDistrict30General[[#This Row],[Part of New York County Vote Results]]</f>
        <v>11</v>
      </c>
      <c r="D6" s="10"/>
    </row>
    <row r="7" spans="1:4" ht="13.8" x14ac:dyDescent="0.3">
      <c r="A7" s="3" t="s">
        <v>6</v>
      </c>
      <c r="B7" s="2">
        <v>148</v>
      </c>
      <c r="C7" s="8">
        <f>StateSenatorSenateDistrict30General[[#This Row],[Part of New York County Vote Results]]</f>
        <v>148</v>
      </c>
      <c r="D7" s="10"/>
    </row>
    <row r="8" spans="1:4" ht="13.8" x14ac:dyDescent="0.3">
      <c r="A8" s="11" t="s">
        <v>2</v>
      </c>
      <c r="B8" s="2">
        <f>SUM(StateSenatorSenateDistrict30General[Part of New York County Vote Results])</f>
        <v>133742</v>
      </c>
      <c r="C8" s="8">
        <f>SUM(StateSenatorSenateDistrict30General[Total Votes by Party])</f>
        <v>133742</v>
      </c>
      <c r="D8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21E1-BA0B-42C1-8E7B-5CF82C5F5F4C}">
  <dimension ref="A1:D9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186</v>
      </c>
    </row>
    <row r="2" spans="1:4" ht="27.6" x14ac:dyDescent="0.25">
      <c r="A2" s="4" t="s">
        <v>5</v>
      </c>
      <c r="B2" s="5" t="s">
        <v>32</v>
      </c>
      <c r="C2" s="6" t="s">
        <v>3</v>
      </c>
      <c r="D2" s="7" t="s">
        <v>4</v>
      </c>
    </row>
    <row r="3" spans="1:4" ht="13.8" x14ac:dyDescent="0.3">
      <c r="A3" s="1" t="s">
        <v>187</v>
      </c>
      <c r="B3" s="2">
        <v>90090</v>
      </c>
      <c r="C3" s="8">
        <f>StateSenatorSenateDistrict31General[[#This Row],[Part of New York County Vote Results]]</f>
        <v>90090</v>
      </c>
      <c r="D3" s="9">
        <f>SUM(StateSenatorSenateDistrict31General[[#This Row],[Total Votes by Party]],C5)</f>
        <v>107072</v>
      </c>
    </row>
    <row r="4" spans="1:4" ht="13.8" x14ac:dyDescent="0.3">
      <c r="A4" s="1" t="s">
        <v>188</v>
      </c>
      <c r="B4" s="2">
        <v>13961</v>
      </c>
      <c r="C4" s="8">
        <f>StateSenatorSenateDistrict31General[[#This Row],[Part of New York County Vote Results]]</f>
        <v>13961</v>
      </c>
      <c r="D4" s="9">
        <f>SUM(StateSenatorSenateDistrict31General[[#This Row],[Total Votes by Party]])</f>
        <v>13961</v>
      </c>
    </row>
    <row r="5" spans="1:4" ht="13.8" x14ac:dyDescent="0.3">
      <c r="A5" s="1" t="s">
        <v>189</v>
      </c>
      <c r="B5" s="2">
        <v>16982</v>
      </c>
      <c r="C5" s="8">
        <f>StateSenatorSenateDistrict31General[[#This Row],[Part of New York County Vote Results]]</f>
        <v>16982</v>
      </c>
      <c r="D5" s="10"/>
    </row>
    <row r="6" spans="1:4" ht="13.8" x14ac:dyDescent="0.3">
      <c r="A6" s="3" t="s">
        <v>0</v>
      </c>
      <c r="B6" s="2">
        <v>7725</v>
      </c>
      <c r="C6" s="8">
        <f>StateSenatorSenateDistrict31General[[#This Row],[Part of New York County Vote Results]]</f>
        <v>7725</v>
      </c>
      <c r="D6" s="10"/>
    </row>
    <row r="7" spans="1:4" ht="13.8" x14ac:dyDescent="0.3">
      <c r="A7" s="3" t="s">
        <v>1</v>
      </c>
      <c r="B7" s="2">
        <v>5</v>
      </c>
      <c r="C7" s="8">
        <f>StateSenatorSenateDistrict31General[[#This Row],[Part of New York County Vote Results]]</f>
        <v>5</v>
      </c>
      <c r="D7" s="10"/>
    </row>
    <row r="8" spans="1:4" ht="13.8" x14ac:dyDescent="0.3">
      <c r="A8" s="3" t="s">
        <v>6</v>
      </c>
      <c r="B8" s="2">
        <v>123</v>
      </c>
      <c r="C8" s="8">
        <f>StateSenatorSenateDistrict31General[[#This Row],[Part of New York County Vote Results]]</f>
        <v>123</v>
      </c>
      <c r="D8" s="10"/>
    </row>
    <row r="9" spans="1:4" ht="13.8" x14ac:dyDescent="0.3">
      <c r="A9" s="11" t="s">
        <v>2</v>
      </c>
      <c r="B9" s="2">
        <f>SUM(StateSenatorSenateDistrict31General[Part of New York County Vote Results])</f>
        <v>128886</v>
      </c>
      <c r="C9" s="8">
        <f>SUM(StateSenatorSenateDistrict31General[Total Votes by Party])</f>
        <v>128886</v>
      </c>
      <c r="D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F0D-37B2-4565-A9BD-BBAB3CD0F4A8}">
  <dimension ref="A1:D8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190</v>
      </c>
    </row>
    <row r="2" spans="1:4" ht="27.6" x14ac:dyDescent="0.25">
      <c r="A2" s="4" t="s">
        <v>5</v>
      </c>
      <c r="B2" s="5" t="s">
        <v>33</v>
      </c>
      <c r="C2" s="6" t="s">
        <v>3</v>
      </c>
      <c r="D2" s="7" t="s">
        <v>4</v>
      </c>
    </row>
    <row r="3" spans="1:4" ht="13.8" x14ac:dyDescent="0.3">
      <c r="A3" s="1" t="s">
        <v>191</v>
      </c>
      <c r="B3" s="2">
        <v>84128</v>
      </c>
      <c r="C3" s="8">
        <f>StateSenatorSenateDistrict32General[[#This Row],[Part of Bronx County Vote Results]]</f>
        <v>84128</v>
      </c>
      <c r="D3" s="9">
        <f>SUM(StateSenatorSenateDistrict32General[[#This Row],[Total Votes by Party]])</f>
        <v>84128</v>
      </c>
    </row>
    <row r="4" spans="1:4" ht="13.8" x14ac:dyDescent="0.3">
      <c r="A4" s="1" t="s">
        <v>192</v>
      </c>
      <c r="B4" s="2">
        <v>3971</v>
      </c>
      <c r="C4" s="8">
        <f>StateSenatorSenateDistrict32General[[#This Row],[Part of Bronx County Vote Results]]</f>
        <v>3971</v>
      </c>
      <c r="D4" s="9">
        <f>SUM(StateSenatorSenateDistrict32General[[#This Row],[Total Votes by Party]])</f>
        <v>3971</v>
      </c>
    </row>
    <row r="5" spans="1:4" ht="13.8" x14ac:dyDescent="0.3">
      <c r="A5" s="3" t="s">
        <v>0</v>
      </c>
      <c r="B5" s="2">
        <v>9794</v>
      </c>
      <c r="C5" s="8">
        <f>StateSenatorSenateDistrict32General[[#This Row],[Part of Bronx County Vote Results]]</f>
        <v>9794</v>
      </c>
      <c r="D5" s="10"/>
    </row>
    <row r="6" spans="1:4" ht="13.8" x14ac:dyDescent="0.3">
      <c r="A6" s="3" t="s">
        <v>1</v>
      </c>
      <c r="B6" s="2">
        <v>0</v>
      </c>
      <c r="C6" s="8">
        <f>StateSenatorSenateDistrict32General[[#This Row],[Part of Bronx County Vote Results]]</f>
        <v>0</v>
      </c>
      <c r="D6" s="10"/>
    </row>
    <row r="7" spans="1:4" ht="13.8" x14ac:dyDescent="0.3">
      <c r="A7" s="3" t="s">
        <v>6</v>
      </c>
      <c r="B7" s="2">
        <v>141</v>
      </c>
      <c r="C7" s="8">
        <f>StateSenatorSenateDistrict32General[[#This Row],[Part of Bronx County Vote Results]]</f>
        <v>141</v>
      </c>
      <c r="D7" s="10"/>
    </row>
    <row r="8" spans="1:4" ht="13.8" x14ac:dyDescent="0.3">
      <c r="A8" s="11" t="s">
        <v>2</v>
      </c>
      <c r="B8" s="2">
        <f>SUM(StateSenatorSenateDistrict32General[Part of Bronx County Vote Results])</f>
        <v>98034</v>
      </c>
      <c r="C8" s="8">
        <f>SUM(StateSenatorSenateDistrict32General[Total Votes by Party])</f>
        <v>98034</v>
      </c>
      <c r="D8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07A0-949D-41F4-9558-ACAF63081139}">
  <dimension ref="A1:D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193</v>
      </c>
    </row>
    <row r="2" spans="1:4" ht="27.6" x14ac:dyDescent="0.25">
      <c r="A2" s="4" t="s">
        <v>5</v>
      </c>
      <c r="B2" s="5" t="s">
        <v>33</v>
      </c>
      <c r="C2" s="6" t="s">
        <v>3</v>
      </c>
      <c r="D2" s="7" t="s">
        <v>4</v>
      </c>
    </row>
    <row r="3" spans="1:4" ht="13.8" x14ac:dyDescent="0.3">
      <c r="A3" s="1" t="s">
        <v>194</v>
      </c>
      <c r="B3" s="2">
        <v>63207</v>
      </c>
      <c r="C3" s="8">
        <f>StateSenatorSenateDistrict33General[[#This Row],[Part of Bronx County Vote Results]]</f>
        <v>63207</v>
      </c>
      <c r="D3" s="9">
        <f>SUM(StateSenatorSenateDistrict33General[[#This Row],[Total Votes by Party]],C6)</f>
        <v>67268</v>
      </c>
    </row>
    <row r="4" spans="1:4" ht="13.8" x14ac:dyDescent="0.3">
      <c r="A4" s="1" t="s">
        <v>195</v>
      </c>
      <c r="B4" s="2">
        <v>8288</v>
      </c>
      <c r="C4" s="8">
        <f>StateSenatorSenateDistrict33General[[#This Row],[Part of Bronx County Vote Results]]</f>
        <v>8288</v>
      </c>
      <c r="D4" s="9">
        <f>SUM(StateSenatorSenateDistrict33General[[#This Row],[Total Votes by Party]])</f>
        <v>8288</v>
      </c>
    </row>
    <row r="5" spans="1:4" ht="13.8" x14ac:dyDescent="0.3">
      <c r="A5" s="1" t="s">
        <v>196</v>
      </c>
      <c r="B5" s="2">
        <v>890</v>
      </c>
      <c r="C5" s="8">
        <f>StateSenatorSenateDistrict33General[[#This Row],[Part of Bronx County Vote Results]]</f>
        <v>890</v>
      </c>
      <c r="D5" s="9">
        <f>SUM(StateSenatorSenateDistrict33General[[#This Row],[Total Votes by Party]])</f>
        <v>890</v>
      </c>
    </row>
    <row r="6" spans="1:4" ht="13.8" x14ac:dyDescent="0.3">
      <c r="A6" s="1" t="s">
        <v>197</v>
      </c>
      <c r="B6" s="2">
        <v>4061</v>
      </c>
      <c r="C6" s="8">
        <f>StateSenatorSenateDistrict33General[[#This Row],[Part of Bronx County Vote Results]]</f>
        <v>4061</v>
      </c>
      <c r="D6" s="10"/>
    </row>
    <row r="7" spans="1:4" ht="13.8" x14ac:dyDescent="0.3">
      <c r="A7" s="3" t="s">
        <v>0</v>
      </c>
      <c r="B7" s="2">
        <v>4307</v>
      </c>
      <c r="C7" s="8">
        <v>4307</v>
      </c>
      <c r="D7" s="10"/>
    </row>
    <row r="8" spans="1:4" ht="13.8" x14ac:dyDescent="0.3">
      <c r="A8" s="3" t="s">
        <v>1</v>
      </c>
      <c r="B8" s="2">
        <v>0</v>
      </c>
      <c r="C8" s="8">
        <f>StateSenatorSenateDistrict33General[[#This Row],[Part of Bronx County Vote Results]]</f>
        <v>0</v>
      </c>
      <c r="D8" s="10"/>
    </row>
    <row r="9" spans="1:4" ht="13.8" x14ac:dyDescent="0.3">
      <c r="A9" s="3" t="s">
        <v>6</v>
      </c>
      <c r="B9" s="2">
        <v>62</v>
      </c>
      <c r="C9" s="8">
        <f>StateSenatorSenateDistrict33General[[#This Row],[Part of Bronx County Vote Results]]</f>
        <v>62</v>
      </c>
      <c r="D9" s="10"/>
    </row>
    <row r="10" spans="1:4" ht="13.8" x14ac:dyDescent="0.3">
      <c r="A10" s="11" t="s">
        <v>2</v>
      </c>
      <c r="B10" s="2">
        <f>SUM(StateSenatorSenateDistrict33General[Part of Bronx County Vote Results])</f>
        <v>80815</v>
      </c>
      <c r="C10" s="8">
        <f>SUM(StateSenatorSenateDistrict33General[Total Votes by Party])</f>
        <v>80815</v>
      </c>
      <c r="D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B000-1301-473C-B8D7-F92F3B3AC003}">
  <dimension ref="A1:E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24" t="s">
        <v>198</v>
      </c>
    </row>
    <row r="2" spans="1:5" ht="27.6" x14ac:dyDescent="0.25">
      <c r="A2" s="4" t="s">
        <v>5</v>
      </c>
      <c r="B2" s="5" t="s">
        <v>33</v>
      </c>
      <c r="C2" s="5" t="s">
        <v>34</v>
      </c>
      <c r="D2" s="6" t="s">
        <v>3</v>
      </c>
      <c r="E2" s="7" t="s">
        <v>4</v>
      </c>
    </row>
    <row r="3" spans="1:5" ht="13.8" x14ac:dyDescent="0.3">
      <c r="A3" s="1" t="s">
        <v>199</v>
      </c>
      <c r="B3" s="2">
        <v>69816</v>
      </c>
      <c r="C3" s="15">
        <v>6314</v>
      </c>
      <c r="D3" s="8">
        <f>SUM(StateSenatorSenateDistrict34General[[#This Row],[Part of Bronx County Vote Results]:[Part of Westchester County Vote Results]])</f>
        <v>76130</v>
      </c>
      <c r="E3" s="9">
        <f>SUM(StateSenatorSenateDistrict34General[[#This Row],[Total Votes by Party]],D6)</f>
        <v>83730</v>
      </c>
    </row>
    <row r="4" spans="1:5" ht="13.8" x14ac:dyDescent="0.3">
      <c r="A4" s="1" t="s">
        <v>200</v>
      </c>
      <c r="B4" s="2">
        <v>23006</v>
      </c>
      <c r="C4" s="15">
        <v>2628</v>
      </c>
      <c r="D4" s="8">
        <f>SUM(StateSenatorSenateDistrict34General[[#This Row],[Part of Bronx County Vote Results]:[Part of Westchester County Vote Results]])</f>
        <v>25634</v>
      </c>
      <c r="E4" s="9">
        <f>StateSenatorSenateDistrict34General[[#This Row],[Total Votes by Party]]</f>
        <v>25634</v>
      </c>
    </row>
    <row r="5" spans="1:5" ht="13.8" x14ac:dyDescent="0.3">
      <c r="A5" s="1" t="s">
        <v>201</v>
      </c>
      <c r="B5" s="2">
        <v>3442</v>
      </c>
      <c r="C5" s="15">
        <v>387</v>
      </c>
      <c r="D5" s="8">
        <f>SUM(StateSenatorSenateDistrict34General[[#This Row],[Part of Bronx County Vote Results]:[Part of Westchester County Vote Results]])</f>
        <v>3829</v>
      </c>
      <c r="E5" s="9">
        <f>StateSenatorSenateDistrict34General[[#This Row],[Total Votes by Party]]</f>
        <v>3829</v>
      </c>
    </row>
    <row r="6" spans="1:5" ht="13.8" x14ac:dyDescent="0.3">
      <c r="A6" s="1" t="s">
        <v>202</v>
      </c>
      <c r="B6" s="2">
        <v>7113</v>
      </c>
      <c r="C6" s="15">
        <v>487</v>
      </c>
      <c r="D6" s="8">
        <f>SUM(StateSenatorSenateDistrict34General[[#This Row],[Part of Bronx County Vote Results]:[Part of Westchester County Vote Results]])</f>
        <v>7600</v>
      </c>
      <c r="E6" s="10"/>
    </row>
    <row r="7" spans="1:5" ht="13.8" x14ac:dyDescent="0.3">
      <c r="A7" s="3" t="s">
        <v>0</v>
      </c>
      <c r="B7" s="2">
        <v>4545</v>
      </c>
      <c r="C7" s="15"/>
      <c r="D7" s="8">
        <f>SUM(StateSenatorSenateDistrict34General[[#This Row],[Part of Bronx County Vote Results]:[Part of Westchester County Vote Results]])</f>
        <v>4545</v>
      </c>
      <c r="E7" s="10"/>
    </row>
    <row r="8" spans="1:5" ht="13.8" x14ac:dyDescent="0.3">
      <c r="A8" s="3" t="s">
        <v>1</v>
      </c>
      <c r="B8" s="2">
        <v>0</v>
      </c>
      <c r="C8" s="15"/>
      <c r="D8" s="8">
        <f>SUM(StateSenatorSenateDistrict34General[[#This Row],[Part of Bronx County Vote Results]:[Part of Westchester County Vote Results]])</f>
        <v>0</v>
      </c>
      <c r="E8" s="10"/>
    </row>
    <row r="9" spans="1:5" ht="13.8" x14ac:dyDescent="0.3">
      <c r="A9" s="3" t="s">
        <v>6</v>
      </c>
      <c r="B9" s="2">
        <v>107</v>
      </c>
      <c r="C9" s="15">
        <v>4</v>
      </c>
      <c r="D9" s="8">
        <f>SUM(StateSenatorSenateDistrict34General[[#This Row],[Part of Bronx County Vote Results]:[Part of Westchester County Vote Results]])</f>
        <v>111</v>
      </c>
      <c r="E9" s="10"/>
    </row>
    <row r="10" spans="1:5" ht="13.8" x14ac:dyDescent="0.3">
      <c r="A10" s="11" t="s">
        <v>2</v>
      </c>
      <c r="B10" s="2">
        <f>SUM(StateSenatorSenateDistrict34General[Part of Bronx County Vote Results])</f>
        <v>108029</v>
      </c>
      <c r="C10" s="2">
        <f>SUM(StateSenatorSenateDistrict34General[Part of Westchester County Vote Results])</f>
        <v>9820</v>
      </c>
      <c r="D10" s="8">
        <f>SUM(StateSenatorSenateDistrict34General[Total Votes by Party])</f>
        <v>117849</v>
      </c>
      <c r="E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0FF6-A34B-40FE-A963-A8A569F9F44C}">
  <dimension ref="A1:D8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203</v>
      </c>
    </row>
    <row r="2" spans="1:4" ht="27.6" x14ac:dyDescent="0.25">
      <c r="A2" s="4" t="s">
        <v>5</v>
      </c>
      <c r="B2" s="5" t="s">
        <v>34</v>
      </c>
      <c r="C2" s="6" t="s">
        <v>3</v>
      </c>
      <c r="D2" s="7" t="s">
        <v>4</v>
      </c>
    </row>
    <row r="3" spans="1:4" ht="13.8" x14ac:dyDescent="0.3">
      <c r="A3" s="1" t="s">
        <v>204</v>
      </c>
      <c r="B3" s="15">
        <v>93807</v>
      </c>
      <c r="C3" s="8">
        <f>StateSenatorSenateDistrict35General[[#This Row],[Part of Westchester County Vote Results]]</f>
        <v>93807</v>
      </c>
      <c r="D3" s="9">
        <f>SUM(StateSenatorSenateDistrict35General[[#This Row],[Total Votes by Party]],C4)</f>
        <v>103811</v>
      </c>
    </row>
    <row r="4" spans="1:4" ht="13.8" x14ac:dyDescent="0.3">
      <c r="A4" s="1" t="s">
        <v>205</v>
      </c>
      <c r="B4" s="15">
        <v>10004</v>
      </c>
      <c r="C4" s="8">
        <f>StateSenatorSenateDistrict35General[[#This Row],[Part of Westchester County Vote Results]]</f>
        <v>10004</v>
      </c>
      <c r="D4" s="10"/>
    </row>
    <row r="5" spans="1:4" ht="13.8" x14ac:dyDescent="0.3">
      <c r="A5" s="3" t="s">
        <v>0</v>
      </c>
      <c r="B5" s="15"/>
      <c r="C5" s="8">
        <f>StateSenatorSenateDistrict35General[[#This Row],[Part of Westchester County Vote Results]]</f>
        <v>0</v>
      </c>
      <c r="D5" s="10"/>
    </row>
    <row r="6" spans="1:4" ht="13.8" x14ac:dyDescent="0.3">
      <c r="A6" s="3" t="s">
        <v>1</v>
      </c>
      <c r="B6" s="15"/>
      <c r="C6" s="8">
        <f>StateSenatorSenateDistrict35General[[#This Row],[Part of Westchester County Vote Results]]</f>
        <v>0</v>
      </c>
      <c r="D6" s="10"/>
    </row>
    <row r="7" spans="1:4" ht="13.8" x14ac:dyDescent="0.3">
      <c r="A7" s="3" t="s">
        <v>6</v>
      </c>
      <c r="B7" s="15">
        <v>386</v>
      </c>
      <c r="C7" s="8">
        <f>StateSenatorSenateDistrict35General[[#This Row],[Part of Westchester County Vote Results]]</f>
        <v>386</v>
      </c>
      <c r="D7" s="10"/>
    </row>
    <row r="8" spans="1:4" ht="13.8" x14ac:dyDescent="0.3">
      <c r="A8" s="11" t="s">
        <v>2</v>
      </c>
      <c r="B8" s="2">
        <f>SUM(StateSenatorSenateDistrict35General[Part of Westchester County Vote Results])</f>
        <v>104197</v>
      </c>
      <c r="C8" s="8">
        <f>SUM(StateSenatorSenateDistrict35General[Total Votes by Party])</f>
        <v>104197</v>
      </c>
      <c r="D8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4B92-4BD0-464E-9F77-10CCEE7C455A}">
  <dimension ref="A1:E8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24" t="s">
        <v>206</v>
      </c>
    </row>
    <row r="2" spans="1:5" ht="27.6" x14ac:dyDescent="0.25">
      <c r="A2" s="4" t="s">
        <v>5</v>
      </c>
      <c r="B2" s="5" t="s">
        <v>33</v>
      </c>
      <c r="C2" s="5" t="s">
        <v>34</v>
      </c>
      <c r="D2" s="6" t="s">
        <v>3</v>
      </c>
      <c r="E2" s="7" t="s">
        <v>4</v>
      </c>
    </row>
    <row r="3" spans="1:5" ht="13.8" x14ac:dyDescent="0.3">
      <c r="A3" s="1" t="s">
        <v>207</v>
      </c>
      <c r="B3" s="2">
        <v>78637</v>
      </c>
      <c r="C3" s="15">
        <v>19459</v>
      </c>
      <c r="D3" s="8">
        <f>SUM(StateSenatorSenateDistrict36General[[#This Row],[Part of Bronx County Vote Results]:[Part of Westchester County Vote Results]])</f>
        <v>98096</v>
      </c>
      <c r="E3" s="9">
        <f>SUM(StateSenatorSenateDistrict36General[[#This Row],[Total Votes by Party]])</f>
        <v>98096</v>
      </c>
    </row>
    <row r="4" spans="1:5" ht="13.8" x14ac:dyDescent="0.3">
      <c r="A4" s="1" t="s">
        <v>208</v>
      </c>
      <c r="B4" s="2">
        <v>3746</v>
      </c>
      <c r="C4" s="15">
        <v>903</v>
      </c>
      <c r="D4" s="8">
        <f>SUM(StateSenatorSenateDistrict36General[[#This Row],[Part of Bronx County Vote Results]:[Part of Westchester County Vote Results]])</f>
        <v>4649</v>
      </c>
      <c r="E4" s="9">
        <f>SUM(StateSenatorSenateDistrict36General[[#This Row],[Total Votes by Party]])</f>
        <v>4649</v>
      </c>
    </row>
    <row r="5" spans="1:5" ht="13.8" x14ac:dyDescent="0.3">
      <c r="A5" s="3" t="s">
        <v>0</v>
      </c>
      <c r="B5" s="2">
        <v>6337</v>
      </c>
      <c r="C5" s="15"/>
      <c r="D5" s="8">
        <f>SUM(StateSenatorSenateDistrict36General[[#This Row],[Part of Bronx County Vote Results]:[Part of Westchester County Vote Results]])</f>
        <v>6337</v>
      </c>
      <c r="E5" s="10"/>
    </row>
    <row r="6" spans="1:5" ht="13.8" x14ac:dyDescent="0.3">
      <c r="A6" s="3" t="s">
        <v>1</v>
      </c>
      <c r="B6" s="2">
        <v>0</v>
      </c>
      <c r="C6" s="15"/>
      <c r="D6" s="8">
        <f>SUM(StateSenatorSenateDistrict36General[[#This Row],[Part of Bronx County Vote Results]:[Part of Westchester County Vote Results]])</f>
        <v>0</v>
      </c>
      <c r="E6" s="10"/>
    </row>
    <row r="7" spans="1:5" ht="13.8" x14ac:dyDescent="0.3">
      <c r="A7" s="3" t="s">
        <v>6</v>
      </c>
      <c r="B7" s="2">
        <v>45</v>
      </c>
      <c r="C7" s="15">
        <v>4</v>
      </c>
      <c r="D7" s="8">
        <f>SUM(StateSenatorSenateDistrict36General[[#This Row],[Part of Bronx County Vote Results]:[Part of Westchester County Vote Results]])</f>
        <v>49</v>
      </c>
      <c r="E7" s="10"/>
    </row>
    <row r="8" spans="1:5" ht="13.8" x14ac:dyDescent="0.3">
      <c r="A8" s="11" t="s">
        <v>2</v>
      </c>
      <c r="B8" s="2">
        <f>SUM(StateSenatorSenateDistrict36General[Part of Bronx County Vote Results])</f>
        <v>88765</v>
      </c>
      <c r="C8" s="2">
        <f>SUM(StateSenatorSenateDistrict36General[Part of Westchester County Vote Results])</f>
        <v>20366</v>
      </c>
      <c r="D8" s="8">
        <f>SUM(StateSenatorSenateDistrict36General[Total Votes by Party])</f>
        <v>109131</v>
      </c>
      <c r="E8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74FF-C5DB-4D2A-B03B-40292FD8DAF8}">
  <dimension ref="A1:D11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209</v>
      </c>
    </row>
    <row r="2" spans="1:4" ht="27.6" x14ac:dyDescent="0.25">
      <c r="A2" s="4" t="s">
        <v>5</v>
      </c>
      <c r="B2" s="5" t="s">
        <v>34</v>
      </c>
      <c r="C2" s="6" t="s">
        <v>3</v>
      </c>
      <c r="D2" s="7" t="s">
        <v>4</v>
      </c>
    </row>
    <row r="3" spans="1:4" ht="13.8" x14ac:dyDescent="0.3">
      <c r="A3" s="1" t="s">
        <v>210</v>
      </c>
      <c r="B3" s="15">
        <v>84065</v>
      </c>
      <c r="C3" s="8">
        <f>StateSenatorSenateDistrict37General[[#This Row],[Part of Westchester County Vote Results]]</f>
        <v>84065</v>
      </c>
      <c r="D3" s="9">
        <f>SUM(StateSenatorSenateDistrict37General[[#This Row],[Total Votes by Party]],C6,C7)</f>
        <v>90124</v>
      </c>
    </row>
    <row r="4" spans="1:4" ht="13.8" x14ac:dyDescent="0.3">
      <c r="A4" s="1" t="s">
        <v>211</v>
      </c>
      <c r="B4" s="15">
        <v>47880</v>
      </c>
      <c r="C4" s="8">
        <f>StateSenatorSenateDistrict37General[[#This Row],[Part of Westchester County Vote Results]]</f>
        <v>47880</v>
      </c>
      <c r="D4" s="9">
        <f>SUM(StateSenatorSenateDistrict37General[[#This Row],[Total Votes by Party]],C5)</f>
        <v>54026</v>
      </c>
    </row>
    <row r="5" spans="1:4" ht="13.8" x14ac:dyDescent="0.3">
      <c r="A5" s="1" t="s">
        <v>212</v>
      </c>
      <c r="B5" s="15">
        <v>6146</v>
      </c>
      <c r="C5" s="8">
        <f>StateSenatorSenateDistrict37General[[#This Row],[Part of Westchester County Vote Results]]</f>
        <v>6146</v>
      </c>
      <c r="D5" s="10"/>
    </row>
    <row r="6" spans="1:4" ht="13.8" x14ac:dyDescent="0.3">
      <c r="A6" s="1" t="s">
        <v>213</v>
      </c>
      <c r="B6" s="15">
        <v>5831</v>
      </c>
      <c r="C6" s="8">
        <f>StateSenatorSenateDistrict37General[[#This Row],[Part of Westchester County Vote Results]]</f>
        <v>5831</v>
      </c>
      <c r="D6" s="10"/>
    </row>
    <row r="7" spans="1:4" ht="13.8" x14ac:dyDescent="0.3">
      <c r="A7" s="1" t="s">
        <v>214</v>
      </c>
      <c r="B7" s="15">
        <v>228</v>
      </c>
      <c r="C7" s="8">
        <f>StateSenatorSenateDistrict37General[[#This Row],[Part of Westchester County Vote Results]]</f>
        <v>228</v>
      </c>
      <c r="D7" s="10"/>
    </row>
    <row r="8" spans="1:4" ht="13.8" x14ac:dyDescent="0.3">
      <c r="A8" s="3" t="s">
        <v>0</v>
      </c>
      <c r="B8" s="15"/>
      <c r="C8" s="8">
        <f>StateSenatorSenateDistrict37General[[#This Row],[Part of Westchester County Vote Results]]</f>
        <v>0</v>
      </c>
      <c r="D8" s="10"/>
    </row>
    <row r="9" spans="1:4" ht="13.8" x14ac:dyDescent="0.3">
      <c r="A9" s="3" t="s">
        <v>1</v>
      </c>
      <c r="B9" s="15"/>
      <c r="C9" s="8">
        <f>StateSenatorSenateDistrict37General[[#This Row],[Part of Westchester County Vote Results]]</f>
        <v>0</v>
      </c>
      <c r="D9" s="10"/>
    </row>
    <row r="10" spans="1:4" ht="13.8" x14ac:dyDescent="0.3">
      <c r="A10" s="3" t="s">
        <v>6</v>
      </c>
      <c r="B10" s="15">
        <v>35</v>
      </c>
      <c r="C10" s="8">
        <f>StateSenatorSenateDistrict37General[[#This Row],[Part of Westchester County Vote Results]]</f>
        <v>35</v>
      </c>
      <c r="D10" s="10"/>
    </row>
    <row r="11" spans="1:4" ht="13.8" x14ac:dyDescent="0.3">
      <c r="A11" s="11" t="s">
        <v>2</v>
      </c>
      <c r="B11" s="2">
        <f>SUM(StateSenatorSenateDistrict37General[Part of Westchester County Vote Results])</f>
        <v>144185</v>
      </c>
      <c r="C11" s="8">
        <f>SUM(StateSenatorSenateDistrict37General[Total Votes by Party])</f>
        <v>144185</v>
      </c>
      <c r="D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ignoredErrors>
    <ignoredError sqref="D3:D4" calculatedColumn="1"/>
  </ignoredErrors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C8E9-9CD1-4D39-BD06-948589B3E5D2}">
  <dimension ref="A1:E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24" t="s">
        <v>215</v>
      </c>
    </row>
    <row r="2" spans="1:5" ht="27.6" x14ac:dyDescent="0.25">
      <c r="A2" s="4" t="s">
        <v>5</v>
      </c>
      <c r="B2" s="5" t="s">
        <v>216</v>
      </c>
      <c r="C2" s="5" t="s">
        <v>34</v>
      </c>
      <c r="D2" s="6" t="s">
        <v>3</v>
      </c>
      <c r="E2" s="7" t="s">
        <v>4</v>
      </c>
    </row>
    <row r="3" spans="1:5" ht="13.8" x14ac:dyDescent="0.3">
      <c r="A3" s="1" t="s">
        <v>217</v>
      </c>
      <c r="B3" s="15">
        <v>55132</v>
      </c>
      <c r="C3" s="15">
        <v>10575</v>
      </c>
      <c r="D3" s="8">
        <f>SUM(StateSenatorSenateDistrict38General[[#This Row],[Part of Rockland County Vote Results]:[Part of Westchester County Vote Results]])</f>
        <v>65707</v>
      </c>
      <c r="E3" s="9">
        <f>SUM(StateSenatorSenateDistrict38General[[#This Row],[Total Votes by Party]],D5)</f>
        <v>70809</v>
      </c>
    </row>
    <row r="4" spans="1:5" ht="13.8" x14ac:dyDescent="0.3">
      <c r="A4" s="1" t="s">
        <v>218</v>
      </c>
      <c r="B4" s="15">
        <v>55048</v>
      </c>
      <c r="C4" s="15">
        <v>4606</v>
      </c>
      <c r="D4" s="8">
        <f>SUM(StateSenatorSenateDistrict38General[[#This Row],[Part of Rockland County Vote Results]:[Part of Westchester County Vote Results]])</f>
        <v>59654</v>
      </c>
      <c r="E4" s="9">
        <f>SUM(StateSenatorSenateDistrict38General[[#This Row],[Total Votes by Party]],D6)</f>
        <v>60955</v>
      </c>
    </row>
    <row r="5" spans="1:5" ht="13.8" x14ac:dyDescent="0.3">
      <c r="A5" s="1" t="s">
        <v>219</v>
      </c>
      <c r="B5" s="15">
        <v>4213</v>
      </c>
      <c r="C5" s="15">
        <v>889</v>
      </c>
      <c r="D5" s="8">
        <f>SUM(StateSenatorSenateDistrict38General[[#This Row],[Part of Rockland County Vote Results]:[Part of Westchester County Vote Results]])</f>
        <v>5102</v>
      </c>
      <c r="E5" s="10"/>
    </row>
    <row r="6" spans="1:5" ht="13.8" x14ac:dyDescent="0.3">
      <c r="A6" s="1" t="s">
        <v>220</v>
      </c>
      <c r="B6" s="15">
        <v>1281</v>
      </c>
      <c r="C6" s="15">
        <v>20</v>
      </c>
      <c r="D6" s="8">
        <f>SUM(StateSenatorSenateDistrict38General[[#This Row],[Part of Rockland County Vote Results]:[Part of Westchester County Vote Results]])</f>
        <v>1301</v>
      </c>
      <c r="E6" s="10"/>
    </row>
    <row r="7" spans="1:5" ht="13.8" x14ac:dyDescent="0.3">
      <c r="A7" s="3" t="s">
        <v>0</v>
      </c>
      <c r="B7" s="15">
        <v>11458</v>
      </c>
      <c r="C7" s="15"/>
      <c r="D7" s="8">
        <f>SUM(StateSenatorSenateDistrict38General[[#This Row],[Part of Rockland County Vote Results]:[Part of Westchester County Vote Results]])</f>
        <v>11458</v>
      </c>
      <c r="E7" s="10"/>
    </row>
    <row r="8" spans="1:5" ht="13.8" x14ac:dyDescent="0.3">
      <c r="A8" s="3" t="s">
        <v>1</v>
      </c>
      <c r="B8" s="15">
        <v>72</v>
      </c>
      <c r="C8" s="15"/>
      <c r="D8" s="8">
        <f>SUM(StateSenatorSenateDistrict38General[[#This Row],[Part of Rockland County Vote Results]:[Part of Westchester County Vote Results]])</f>
        <v>72</v>
      </c>
      <c r="E8" s="10"/>
    </row>
    <row r="9" spans="1:5" ht="13.8" x14ac:dyDescent="0.3">
      <c r="A9" s="3" t="s">
        <v>6</v>
      </c>
      <c r="B9" s="15">
        <v>120</v>
      </c>
      <c r="C9" s="15">
        <v>9</v>
      </c>
      <c r="D9" s="8">
        <f>SUM(StateSenatorSenateDistrict38General[[#This Row],[Part of Rockland County Vote Results]:[Part of Westchester County Vote Results]])</f>
        <v>129</v>
      </c>
      <c r="E9" s="10"/>
    </row>
    <row r="10" spans="1:5" ht="13.8" x14ac:dyDescent="0.3">
      <c r="A10" s="11" t="s">
        <v>2</v>
      </c>
      <c r="B10" s="15">
        <f>SUM(StateSenatorSenateDistrict38General[Part of Rockland County Vote Results])</f>
        <v>127324</v>
      </c>
      <c r="C10" s="2">
        <f>SUM(StateSenatorSenateDistrict38General[Part of Westchester County Vote Results])</f>
        <v>16099</v>
      </c>
      <c r="D10" s="8">
        <f>SUM(StateSenatorSenateDistrict38General[Total Votes by Party])</f>
        <v>143423</v>
      </c>
      <c r="E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7AF9-FA7A-4357-A288-1A5AA645A615}">
  <dimension ref="A1:F11"/>
  <sheetViews>
    <sheetView zoomScaleNormal="100" zoomScaleSheetLayoutView="100" workbookViewId="0">
      <selection activeCell="B3" sqref="B3:B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24" t="s">
        <v>221</v>
      </c>
    </row>
    <row r="2" spans="1:6" ht="27.6" x14ac:dyDescent="0.25">
      <c r="A2" s="4" t="s">
        <v>5</v>
      </c>
      <c r="B2" s="5" t="s">
        <v>222</v>
      </c>
      <c r="C2" s="5" t="s">
        <v>216</v>
      </c>
      <c r="D2" s="5" t="s">
        <v>223</v>
      </c>
      <c r="E2" s="6" t="s">
        <v>3</v>
      </c>
      <c r="F2" s="7" t="s">
        <v>4</v>
      </c>
    </row>
    <row r="3" spans="1:6" ht="13.8" x14ac:dyDescent="0.3">
      <c r="A3" s="1" t="s">
        <v>224</v>
      </c>
      <c r="B3" s="2">
        <v>50888</v>
      </c>
      <c r="C3" s="15">
        <v>11973</v>
      </c>
      <c r="D3" s="2">
        <v>3897</v>
      </c>
      <c r="E3" s="8">
        <f>SUM(StateSenatorSenateDistrict39General[[#This Row],[Part of Orange County Vote Results]:[Part of Ulster County Vote Results]])</f>
        <v>66758</v>
      </c>
      <c r="F3" s="9">
        <f>SUM(StateSenatorSenateDistrict39General[[#This Row],[Total Votes by Party]],E6,E7)</f>
        <v>72518</v>
      </c>
    </row>
    <row r="4" spans="1:6" ht="13.8" x14ac:dyDescent="0.3">
      <c r="A4" s="1" t="s">
        <v>225</v>
      </c>
      <c r="B4" s="2">
        <v>35640</v>
      </c>
      <c r="C4" s="15">
        <v>8323</v>
      </c>
      <c r="D4" s="2">
        <v>4672</v>
      </c>
      <c r="E4" s="8">
        <f>SUM(StateSenatorSenateDistrict39General[[#This Row],[Part of Orange County Vote Results]:[Part of Ulster County Vote Results]])</f>
        <v>48635</v>
      </c>
      <c r="F4" s="9">
        <f>SUM(StateSenatorSenateDistrict39General[[#This Row],[Total Votes by Party]],E5)</f>
        <v>54598</v>
      </c>
    </row>
    <row r="5" spans="1:6" ht="13.8" x14ac:dyDescent="0.3">
      <c r="A5" s="1" t="s">
        <v>226</v>
      </c>
      <c r="B5" s="2">
        <v>4691</v>
      </c>
      <c r="C5" s="15">
        <v>869</v>
      </c>
      <c r="D5" s="2">
        <v>403</v>
      </c>
      <c r="E5" s="8">
        <f>SUM(StateSenatorSenateDistrict39General[[#This Row],[Part of Orange County Vote Results]:[Part of Ulster County Vote Results]])</f>
        <v>5963</v>
      </c>
      <c r="F5" s="10"/>
    </row>
    <row r="6" spans="1:6" ht="13.8" x14ac:dyDescent="0.3">
      <c r="A6" s="1" t="s">
        <v>227</v>
      </c>
      <c r="B6" s="2">
        <v>3982</v>
      </c>
      <c r="C6" s="15">
        <v>869</v>
      </c>
      <c r="D6" s="2">
        <v>505</v>
      </c>
      <c r="E6" s="8">
        <f>SUM(StateSenatorSenateDistrict39General[[#This Row],[Part of Orange County Vote Results]:[Part of Ulster County Vote Results]])</f>
        <v>5356</v>
      </c>
      <c r="F6" s="10"/>
    </row>
    <row r="7" spans="1:6" ht="13.8" x14ac:dyDescent="0.3">
      <c r="A7" s="1" t="s">
        <v>228</v>
      </c>
      <c r="B7" s="2">
        <v>289</v>
      </c>
      <c r="C7" s="15">
        <v>92</v>
      </c>
      <c r="D7" s="2">
        <v>23</v>
      </c>
      <c r="E7" s="8">
        <f>SUM(StateSenatorSenateDistrict39General[[#This Row],[Part of Orange County Vote Results]:[Part of Ulster County Vote Results]])</f>
        <v>404</v>
      </c>
      <c r="F7" s="10"/>
    </row>
    <row r="8" spans="1:6" ht="13.8" x14ac:dyDescent="0.3">
      <c r="A8" s="3" t="s">
        <v>0</v>
      </c>
      <c r="B8" s="2">
        <v>5304</v>
      </c>
      <c r="C8" s="15">
        <v>1909</v>
      </c>
      <c r="D8" s="2">
        <v>393</v>
      </c>
      <c r="E8" s="8">
        <f>SUM(StateSenatorSenateDistrict39General[[#This Row],[Part of Orange County Vote Results]:[Part of Ulster County Vote Results]])</f>
        <v>7606</v>
      </c>
      <c r="F8" s="10"/>
    </row>
    <row r="9" spans="1:6" ht="13.8" x14ac:dyDescent="0.3">
      <c r="A9" s="3" t="s">
        <v>1</v>
      </c>
      <c r="B9" s="2">
        <v>0</v>
      </c>
      <c r="C9" s="15">
        <v>14</v>
      </c>
      <c r="D9" s="2">
        <v>2</v>
      </c>
      <c r="E9" s="8">
        <f>SUM(StateSenatorSenateDistrict39General[[#This Row],[Part of Orange County Vote Results]:[Part of Ulster County Vote Results]])</f>
        <v>16</v>
      </c>
      <c r="F9" s="10"/>
    </row>
    <row r="10" spans="1:6" ht="13.8" x14ac:dyDescent="0.3">
      <c r="A10" s="3" t="s">
        <v>6</v>
      </c>
      <c r="B10" s="2">
        <v>69</v>
      </c>
      <c r="C10" s="15">
        <v>8</v>
      </c>
      <c r="D10" s="2">
        <v>8</v>
      </c>
      <c r="E10" s="8">
        <f>SUM(StateSenatorSenateDistrict39General[[#This Row],[Part of Orange County Vote Results]:[Part of Ulster County Vote Results]])</f>
        <v>85</v>
      </c>
      <c r="F10" s="10"/>
    </row>
    <row r="11" spans="1:6" ht="13.8" x14ac:dyDescent="0.3">
      <c r="A11" s="11" t="s">
        <v>2</v>
      </c>
      <c r="B11" s="2">
        <f>SUM(StateSenatorSenateDistrict39General[Part of Orange County Vote Results])</f>
        <v>100863</v>
      </c>
      <c r="C11" s="15">
        <f>SUM(StateSenatorSenateDistrict39General[Part of Rockland County Vote Results])</f>
        <v>24057</v>
      </c>
      <c r="D11" s="2">
        <f>SUM(StateSenatorSenateDistrict39General[Part of Ulster County Vote Results])</f>
        <v>9903</v>
      </c>
      <c r="E11" s="8">
        <f>SUM(StateSenatorSenateDistrict39General[Total Votes by Party])</f>
        <v>134823</v>
      </c>
      <c r="F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5AD0-83FB-42E4-AE99-7A8E40CEC53B}">
  <dimension ref="A1:D11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68</v>
      </c>
    </row>
    <row r="2" spans="1:4" ht="24.9" customHeight="1" x14ac:dyDescent="0.25">
      <c r="A2" s="4" t="s">
        <v>5</v>
      </c>
      <c r="B2" s="5" t="s">
        <v>28</v>
      </c>
      <c r="C2" s="6" t="s">
        <v>3</v>
      </c>
      <c r="D2" s="7" t="s">
        <v>4</v>
      </c>
    </row>
    <row r="3" spans="1:4" ht="13.8" x14ac:dyDescent="0.3">
      <c r="A3" s="1" t="s">
        <v>69</v>
      </c>
      <c r="B3" s="15">
        <v>60148</v>
      </c>
      <c r="C3" s="8">
        <f>StateSenatorSenateDistrict4General[[#This Row],[Part of Suffolk County Vote Results]]</f>
        <v>60148</v>
      </c>
      <c r="D3" s="9">
        <f>SUM(StateSenatorSenateDistrict4General[[#This Row],[Total Votes by Party]],C6)</f>
        <v>64007</v>
      </c>
    </row>
    <row r="4" spans="1:4" ht="13.8" x14ac:dyDescent="0.3">
      <c r="A4" s="1" t="s">
        <v>70</v>
      </c>
      <c r="B4" s="15">
        <v>69640</v>
      </c>
      <c r="C4" s="8">
        <f>StateSenatorSenateDistrict4General[[#This Row],[Part of Suffolk County Vote Results]]</f>
        <v>69640</v>
      </c>
      <c r="D4" s="9">
        <f>SUM(StateSenatorSenateDistrict4General[[#This Row],[Total Votes by Party]],C5,C7)</f>
        <v>79565</v>
      </c>
    </row>
    <row r="5" spans="1:4" ht="13.8" x14ac:dyDescent="0.3">
      <c r="A5" s="1" t="s">
        <v>71</v>
      </c>
      <c r="B5" s="15">
        <v>8200</v>
      </c>
      <c r="C5" s="8">
        <f>StateSenatorSenateDistrict4General[[#This Row],[Part of Suffolk County Vote Results]]</f>
        <v>8200</v>
      </c>
      <c r="D5" s="10"/>
    </row>
    <row r="6" spans="1:4" ht="13.8" x14ac:dyDescent="0.3">
      <c r="A6" s="1" t="s">
        <v>72</v>
      </c>
      <c r="B6" s="15">
        <v>3859</v>
      </c>
      <c r="C6" s="8">
        <f>StateSenatorSenateDistrict4General[[#This Row],[Part of Suffolk County Vote Results]]</f>
        <v>3859</v>
      </c>
      <c r="D6" s="10"/>
    </row>
    <row r="7" spans="1:4" ht="13.8" x14ac:dyDescent="0.3">
      <c r="A7" s="1" t="s">
        <v>73</v>
      </c>
      <c r="B7" s="15">
        <v>1725</v>
      </c>
      <c r="C7" s="8">
        <f>StateSenatorSenateDistrict4General[[#This Row],[Part of Suffolk County Vote Results]]</f>
        <v>1725</v>
      </c>
      <c r="D7" s="10"/>
    </row>
    <row r="8" spans="1:4" ht="13.8" x14ac:dyDescent="0.3">
      <c r="A8" s="3" t="s">
        <v>0</v>
      </c>
      <c r="B8" s="15">
        <v>10985</v>
      </c>
      <c r="C8" s="8">
        <f>StateSenatorSenateDistrict4General[[#This Row],[Part of Suffolk County Vote Results]]</f>
        <v>10985</v>
      </c>
      <c r="D8" s="10"/>
    </row>
    <row r="9" spans="1:4" ht="13.8" x14ac:dyDescent="0.3">
      <c r="A9" s="3" t="s">
        <v>1</v>
      </c>
      <c r="B9" s="15">
        <v>100</v>
      </c>
      <c r="C9" s="8">
        <f>StateSenatorSenateDistrict4General[[#This Row],[Part of Suffolk County Vote Results]]</f>
        <v>100</v>
      </c>
      <c r="D9" s="10"/>
    </row>
    <row r="10" spans="1:4" ht="13.8" x14ac:dyDescent="0.3">
      <c r="A10" s="3" t="s">
        <v>6</v>
      </c>
      <c r="B10" s="15">
        <v>30</v>
      </c>
      <c r="C10" s="8">
        <f>StateSenatorSenateDistrict4General[[#This Row],[Part of Suffolk County Vote Results]]</f>
        <v>30</v>
      </c>
      <c r="D10" s="10"/>
    </row>
    <row r="11" spans="1:4" ht="13.8" x14ac:dyDescent="0.3">
      <c r="A11" s="11" t="s">
        <v>2</v>
      </c>
      <c r="B11" s="15">
        <f>SUM(StateSenatorSenateDistrict4General[Part of Suffolk County Vote Results])</f>
        <v>154687</v>
      </c>
      <c r="C11" s="8">
        <f>SUM(StateSenatorSenateDistrict4General[Total Votes by Party])</f>
        <v>154687</v>
      </c>
      <c r="D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0E4D-3E0A-4649-8257-820F3DA386FB}">
  <dimension ref="A1:F12"/>
  <sheetViews>
    <sheetView zoomScaleNormal="100" zoomScaleSheetLayoutView="100" workbookViewId="0">
      <selection activeCell="B3" sqref="B3:B10"/>
    </sheetView>
  </sheetViews>
  <sheetFormatPr defaultRowHeight="13.2" x14ac:dyDescent="0.25"/>
  <cols>
    <col min="1" max="1" width="26.88671875" customWidth="1"/>
    <col min="2" max="6" width="20.5546875" customWidth="1"/>
    <col min="7" max="8" width="23.5546875" customWidth="1"/>
  </cols>
  <sheetData>
    <row r="1" spans="1:6" ht="18" x14ac:dyDescent="0.25">
      <c r="A1" s="24" t="s">
        <v>229</v>
      </c>
    </row>
    <row r="2" spans="1:6" ht="27.6" x14ac:dyDescent="0.25">
      <c r="A2" s="4" t="s">
        <v>5</v>
      </c>
      <c r="B2" s="5" t="s">
        <v>35</v>
      </c>
      <c r="C2" s="5" t="s">
        <v>230</v>
      </c>
      <c r="D2" s="5" t="s">
        <v>34</v>
      </c>
      <c r="E2" s="6" t="s">
        <v>3</v>
      </c>
      <c r="F2" s="7" t="s">
        <v>4</v>
      </c>
    </row>
    <row r="3" spans="1:6" ht="13.8" x14ac:dyDescent="0.3">
      <c r="A3" s="1" t="s">
        <v>231</v>
      </c>
      <c r="B3" s="2">
        <v>4295</v>
      </c>
      <c r="C3" s="2">
        <v>12141</v>
      </c>
      <c r="D3" s="15">
        <v>60976</v>
      </c>
      <c r="E3" s="8">
        <f>SUM(StateSenatorSenateDistrict40General[[#This Row],[Part of Dutchess County Vote Results]:[Part of Westchester County Vote Results]])</f>
        <v>77412</v>
      </c>
      <c r="F3" s="9">
        <f>SUM(StateSenatorSenateDistrict40General[[#This Row],[Total Votes by Party]],E6,E7)</f>
        <v>83817</v>
      </c>
    </row>
    <row r="4" spans="1:6" ht="13.8" x14ac:dyDescent="0.3">
      <c r="A4" s="1" t="s">
        <v>232</v>
      </c>
      <c r="B4" s="2">
        <v>5968</v>
      </c>
      <c r="C4" s="2">
        <v>17895</v>
      </c>
      <c r="D4" s="15">
        <v>46004</v>
      </c>
      <c r="E4" s="8">
        <f>SUM(StateSenatorSenateDistrict40General[[#This Row],[Part of Dutchess County Vote Results]:[Part of Westchester County Vote Results]])</f>
        <v>69867</v>
      </c>
      <c r="F4" s="9">
        <f>SUM(StateSenatorSenateDistrict40General[[#This Row],[Total Votes by Party]],E5,E8)</f>
        <v>77688</v>
      </c>
    </row>
    <row r="5" spans="1:6" ht="13.8" x14ac:dyDescent="0.3">
      <c r="A5" s="1" t="s">
        <v>233</v>
      </c>
      <c r="B5" s="2">
        <v>693</v>
      </c>
      <c r="C5" s="2">
        <v>2120</v>
      </c>
      <c r="D5" s="15">
        <v>4463</v>
      </c>
      <c r="E5" s="8">
        <f>SUM(StateSenatorSenateDistrict40General[[#This Row],[Part of Dutchess County Vote Results]:[Part of Westchester County Vote Results]])</f>
        <v>7276</v>
      </c>
      <c r="F5" s="10"/>
    </row>
    <row r="6" spans="1:6" ht="13.8" x14ac:dyDescent="0.3">
      <c r="A6" s="1" t="s">
        <v>234</v>
      </c>
      <c r="B6" s="2">
        <v>276</v>
      </c>
      <c r="C6" s="2">
        <v>852</v>
      </c>
      <c r="D6" s="15">
        <v>4338</v>
      </c>
      <c r="E6" s="8">
        <f>SUM(StateSenatorSenateDistrict40General[[#This Row],[Part of Dutchess County Vote Results]:[Part of Westchester County Vote Results]])</f>
        <v>5466</v>
      </c>
      <c r="F6" s="10"/>
    </row>
    <row r="7" spans="1:6" ht="13.8" x14ac:dyDescent="0.3">
      <c r="A7" s="1" t="s">
        <v>235</v>
      </c>
      <c r="B7" s="2">
        <v>77</v>
      </c>
      <c r="C7" s="2">
        <v>305</v>
      </c>
      <c r="D7" s="15">
        <v>557</v>
      </c>
      <c r="E7" s="8">
        <f>SUM(StateSenatorSenateDistrict40General[[#This Row],[Part of Dutchess County Vote Results]:[Part of Westchester County Vote Results]])</f>
        <v>939</v>
      </c>
      <c r="F7" s="10"/>
    </row>
    <row r="8" spans="1:6" ht="13.8" x14ac:dyDescent="0.3">
      <c r="A8" s="1" t="s">
        <v>236</v>
      </c>
      <c r="B8" s="2">
        <v>56</v>
      </c>
      <c r="C8" s="2">
        <v>135</v>
      </c>
      <c r="D8" s="15">
        <v>354</v>
      </c>
      <c r="E8" s="8">
        <f>SUM(StateSenatorSenateDistrict40General[[#This Row],[Part of Dutchess County Vote Results]:[Part of Westchester County Vote Results]])</f>
        <v>545</v>
      </c>
      <c r="F8" s="10"/>
    </row>
    <row r="9" spans="1:6" ht="13.8" x14ac:dyDescent="0.3">
      <c r="A9" s="3" t="s">
        <v>0</v>
      </c>
      <c r="B9" s="2">
        <v>537</v>
      </c>
      <c r="C9" s="2">
        <v>1560</v>
      </c>
      <c r="D9" s="15"/>
      <c r="E9" s="8">
        <f>SUM(StateSenatorSenateDistrict40General[[#This Row],[Part of Dutchess County Vote Results]:[Part of Westchester County Vote Results]])</f>
        <v>2097</v>
      </c>
      <c r="F9" s="10"/>
    </row>
    <row r="10" spans="1:6" ht="13.8" x14ac:dyDescent="0.3">
      <c r="A10" s="3" t="s">
        <v>1</v>
      </c>
      <c r="B10" s="2">
        <f>10+2</f>
        <v>12</v>
      </c>
      <c r="C10" s="2">
        <v>0</v>
      </c>
      <c r="D10" s="15"/>
      <c r="E10" s="8">
        <f>SUM(StateSenatorSenateDistrict40General[[#This Row],[Part of Dutchess County Vote Results]:[Part of Westchester County Vote Results]])</f>
        <v>12</v>
      </c>
      <c r="F10" s="10"/>
    </row>
    <row r="11" spans="1:6" ht="13.8" x14ac:dyDescent="0.3">
      <c r="A11" s="3" t="s">
        <v>6</v>
      </c>
      <c r="B11" s="2">
        <v>2</v>
      </c>
      <c r="C11" s="2">
        <v>17</v>
      </c>
      <c r="D11" s="15">
        <v>30</v>
      </c>
      <c r="E11" s="8">
        <f>SUM(StateSenatorSenateDistrict40General[[#This Row],[Part of Dutchess County Vote Results]:[Part of Westchester County Vote Results]])</f>
        <v>49</v>
      </c>
      <c r="F11" s="10"/>
    </row>
    <row r="12" spans="1:6" ht="13.8" x14ac:dyDescent="0.3">
      <c r="A12" s="11" t="s">
        <v>2</v>
      </c>
      <c r="B12" s="2">
        <f>SUM(StateSenatorSenateDistrict40General[Part of Dutchess County Vote Results])</f>
        <v>11916</v>
      </c>
      <c r="C12" s="2">
        <f>SUM(StateSenatorSenateDistrict40General[Part of Putnam County Vote Results])</f>
        <v>35025</v>
      </c>
      <c r="D12" s="2">
        <f>SUM(StateSenatorSenateDistrict40General[Part of Westchester County Vote Results])</f>
        <v>116722</v>
      </c>
      <c r="E12" s="8">
        <f>SUM(StateSenatorSenateDistrict40General[Total Votes by Party])</f>
        <v>163663</v>
      </c>
      <c r="F12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A331-D29B-458D-A54F-8E867523E0C6}">
  <dimension ref="A1:E13"/>
  <sheetViews>
    <sheetView workbookViewId="0">
      <selection activeCell="B3" sqref="B3:B10"/>
    </sheetView>
  </sheetViews>
  <sheetFormatPr defaultRowHeight="13.2" x14ac:dyDescent="0.25"/>
  <cols>
    <col min="1" max="1" width="27.88671875" customWidth="1"/>
    <col min="2" max="5" width="20.5546875" customWidth="1"/>
    <col min="6" max="7" width="23.5546875" customWidth="1"/>
  </cols>
  <sheetData>
    <row r="1" spans="1:5" ht="18" x14ac:dyDescent="0.25">
      <c r="A1" s="24" t="s">
        <v>237</v>
      </c>
    </row>
    <row r="2" spans="1:5" ht="27.6" x14ac:dyDescent="0.25">
      <c r="A2" s="4" t="s">
        <v>5</v>
      </c>
      <c r="B2" s="5" t="s">
        <v>35</v>
      </c>
      <c r="C2" s="5" t="s">
        <v>230</v>
      </c>
      <c r="D2" s="6" t="s">
        <v>3</v>
      </c>
      <c r="E2" s="7" t="s">
        <v>4</v>
      </c>
    </row>
    <row r="3" spans="1:5" ht="13.8" x14ac:dyDescent="0.3">
      <c r="A3" s="1" t="s">
        <v>238</v>
      </c>
      <c r="B3" s="2">
        <v>58552</v>
      </c>
      <c r="C3" s="2">
        <v>8370</v>
      </c>
      <c r="D3" s="8">
        <f>SUM(StateSenatorSenateDistrict41General[[#This Row],[Part of Dutchess County Vote Results]:[Part of Putnam County Vote Results]])</f>
        <v>66922</v>
      </c>
      <c r="E3" s="9">
        <f>SUM(StateSenatorSenateDistrict41General[[#This Row],[Total Votes by Party]],D6,D8)</f>
        <v>73288</v>
      </c>
    </row>
    <row r="4" spans="1:5" ht="13.8" x14ac:dyDescent="0.3">
      <c r="A4" s="1" t="s">
        <v>239</v>
      </c>
      <c r="B4" s="2">
        <v>60776</v>
      </c>
      <c r="C4" s="2">
        <v>8686</v>
      </c>
      <c r="D4" s="8">
        <f>SUM(StateSenatorSenateDistrict41General[[#This Row],[Part of Dutchess County Vote Results]:[Part of Putnam County Vote Results]])</f>
        <v>69462</v>
      </c>
      <c r="E4" s="9">
        <f>SUM(StateSenatorSenateDistrict41General[[#This Row],[Total Votes by Party]],D5,D7,D9)</f>
        <v>81080</v>
      </c>
    </row>
    <row r="5" spans="1:5" ht="13.8" x14ac:dyDescent="0.3">
      <c r="A5" s="1" t="s">
        <v>240</v>
      </c>
      <c r="B5" s="2">
        <v>7808</v>
      </c>
      <c r="C5" s="2">
        <v>1213</v>
      </c>
      <c r="D5" s="8">
        <f>SUM(StateSenatorSenateDistrict41General[[#This Row],[Part of Dutchess County Vote Results]:[Part of Putnam County Vote Results]])</f>
        <v>9021</v>
      </c>
      <c r="E5" s="10"/>
    </row>
    <row r="6" spans="1:5" ht="13.8" x14ac:dyDescent="0.3">
      <c r="A6" s="1" t="s">
        <v>241</v>
      </c>
      <c r="B6" s="2">
        <v>5221</v>
      </c>
      <c r="C6" s="2">
        <v>937</v>
      </c>
      <c r="D6" s="8">
        <f>SUM(StateSenatorSenateDistrict41General[[#This Row],[Part of Dutchess County Vote Results]:[Part of Putnam County Vote Results]])</f>
        <v>6158</v>
      </c>
      <c r="E6" s="10"/>
    </row>
    <row r="7" spans="1:5" ht="13.8" x14ac:dyDescent="0.3">
      <c r="A7" s="1" t="s">
        <v>242</v>
      </c>
      <c r="B7" s="2">
        <v>1915</v>
      </c>
      <c r="C7" s="2">
        <v>227</v>
      </c>
      <c r="D7" s="8">
        <f>SUM(StateSenatorSenateDistrict41General[[#This Row],[Part of Dutchess County Vote Results]:[Part of Putnam County Vote Results]])</f>
        <v>2142</v>
      </c>
      <c r="E7" s="10"/>
    </row>
    <row r="8" spans="1:5" ht="13.8" x14ac:dyDescent="0.3">
      <c r="A8" s="1" t="s">
        <v>243</v>
      </c>
      <c r="B8" s="2">
        <v>178</v>
      </c>
      <c r="C8" s="2">
        <v>30</v>
      </c>
      <c r="D8" s="8">
        <f>SUM(StateSenatorSenateDistrict41General[[#This Row],[Part of Dutchess County Vote Results]:[Part of Putnam County Vote Results]])</f>
        <v>208</v>
      </c>
      <c r="E8" s="10"/>
    </row>
    <row r="9" spans="1:5" ht="13.8" x14ac:dyDescent="0.3">
      <c r="A9" s="1" t="s">
        <v>244</v>
      </c>
      <c r="B9" s="2">
        <v>417</v>
      </c>
      <c r="C9" s="2">
        <v>38</v>
      </c>
      <c r="D9" s="8">
        <f>SUM(StateSenatorSenateDistrict41General[[#This Row],[Part of Dutchess County Vote Results]:[Part of Putnam County Vote Results]])</f>
        <v>455</v>
      </c>
      <c r="E9" s="10"/>
    </row>
    <row r="10" spans="1:5" ht="13.8" x14ac:dyDescent="0.3">
      <c r="A10" s="3" t="s">
        <v>0</v>
      </c>
      <c r="B10" s="2">
        <v>4399</v>
      </c>
      <c r="C10" s="2">
        <v>785</v>
      </c>
      <c r="D10" s="8">
        <f>SUM(StateSenatorSenateDistrict41General[[#This Row],[Part of Dutchess County Vote Results]:[Part of Putnam County Vote Results]])</f>
        <v>5184</v>
      </c>
      <c r="E10" s="10"/>
    </row>
    <row r="11" spans="1:5" ht="13.8" x14ac:dyDescent="0.3">
      <c r="A11" s="3" t="s">
        <v>1</v>
      </c>
      <c r="B11" s="2">
        <f>17+155</f>
        <v>172</v>
      </c>
      <c r="C11" s="2">
        <v>0</v>
      </c>
      <c r="D11" s="8">
        <f>SUM(StateSenatorSenateDistrict41General[[#This Row],[Part of Dutchess County Vote Results]:[Part of Putnam County Vote Results]])</f>
        <v>172</v>
      </c>
      <c r="E11" s="10"/>
    </row>
    <row r="12" spans="1:5" ht="13.8" x14ac:dyDescent="0.3">
      <c r="A12" s="3" t="s">
        <v>6</v>
      </c>
      <c r="B12" s="2">
        <v>11</v>
      </c>
      <c r="C12" s="2">
        <v>7</v>
      </c>
      <c r="D12" s="8">
        <f>SUM(StateSenatorSenateDistrict41General[[#This Row],[Part of Dutchess County Vote Results]:[Part of Putnam County Vote Results]])</f>
        <v>18</v>
      </c>
      <c r="E12" s="10"/>
    </row>
    <row r="13" spans="1:5" ht="13.8" x14ac:dyDescent="0.3">
      <c r="A13" s="11" t="s">
        <v>2</v>
      </c>
      <c r="B13" s="2">
        <f>SUM(StateSenatorSenateDistrict41General[Part of Dutchess County Vote Results])</f>
        <v>139449</v>
      </c>
      <c r="C13" s="2">
        <f>SUM(StateSenatorSenateDistrict41General[Part of Putnam County Vote Results])</f>
        <v>20293</v>
      </c>
      <c r="D13" s="8">
        <f>SUM(StateSenatorSenateDistrict41General[Total Votes by Party])</f>
        <v>159742</v>
      </c>
      <c r="E13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C08F-1F4F-4BFB-884B-E68AA7FD2E07}">
  <dimension ref="A1:G12"/>
  <sheetViews>
    <sheetView zoomScaleNormal="100" zoomScaleSheetLayoutView="100" workbookViewId="0">
      <selection activeCell="B3" sqref="B3:B10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18" x14ac:dyDescent="0.25">
      <c r="A1" s="24" t="s">
        <v>245</v>
      </c>
    </row>
    <row r="2" spans="1:7" ht="27.6" x14ac:dyDescent="0.25">
      <c r="A2" s="4" t="s">
        <v>5</v>
      </c>
      <c r="B2" s="5" t="s">
        <v>39</v>
      </c>
      <c r="C2" s="5" t="s">
        <v>246</v>
      </c>
      <c r="D2" s="5" t="s">
        <v>222</v>
      </c>
      <c r="E2" s="5" t="s">
        <v>223</v>
      </c>
      <c r="F2" s="6" t="s">
        <v>3</v>
      </c>
      <c r="G2" s="7" t="s">
        <v>4</v>
      </c>
    </row>
    <row r="3" spans="1:7" ht="13.8" x14ac:dyDescent="0.3">
      <c r="A3" s="1" t="s">
        <v>247</v>
      </c>
      <c r="B3" s="15">
        <v>13714</v>
      </c>
      <c r="C3" s="2">
        <v>2359</v>
      </c>
      <c r="D3" s="2">
        <v>31278</v>
      </c>
      <c r="E3" s="2">
        <v>12443</v>
      </c>
      <c r="F3" s="8">
        <f>SUM(StateSenatorSenateDistrict42General[[#This Row],[Sullivan County Vote Results]:[Part of Ulster County Vote Results]])</f>
        <v>59794</v>
      </c>
      <c r="G3" s="9">
        <f>SUM(StateSenatorSenateDistrict42General[[#This Row],[Total Votes by Party]],F6,F8)</f>
        <v>66376</v>
      </c>
    </row>
    <row r="4" spans="1:7" ht="13.8" x14ac:dyDescent="0.3">
      <c r="A4" s="1" t="s">
        <v>248</v>
      </c>
      <c r="B4" s="15">
        <v>15934</v>
      </c>
      <c r="C4" s="2">
        <v>4130</v>
      </c>
      <c r="D4" s="2">
        <v>31146</v>
      </c>
      <c r="E4" s="2">
        <v>8782</v>
      </c>
      <c r="F4" s="8">
        <f>SUM(StateSenatorSenateDistrict42General[[#This Row],[Sullivan County Vote Results]:[Part of Ulster County Vote Results]])</f>
        <v>59992</v>
      </c>
      <c r="G4" s="9">
        <f>SUM(StateSenatorSenateDistrict42General[[#This Row],[Total Votes by Party]],F5,F7)</f>
        <v>67745</v>
      </c>
    </row>
    <row r="5" spans="1:7" ht="13.8" x14ac:dyDescent="0.3">
      <c r="A5" s="1" t="s">
        <v>249</v>
      </c>
      <c r="B5" s="15">
        <v>1540</v>
      </c>
      <c r="C5" s="2">
        <v>208</v>
      </c>
      <c r="D5" s="2">
        <v>3702</v>
      </c>
      <c r="E5" s="2">
        <v>859</v>
      </c>
      <c r="F5" s="8">
        <f>SUM(StateSenatorSenateDistrict42General[[#This Row],[Sullivan County Vote Results]:[Part of Ulster County Vote Results]])</f>
        <v>6309</v>
      </c>
      <c r="G5" s="10"/>
    </row>
    <row r="6" spans="1:7" ht="13.8" x14ac:dyDescent="0.3">
      <c r="A6" s="1" t="s">
        <v>250</v>
      </c>
      <c r="B6" s="15">
        <v>1529</v>
      </c>
      <c r="C6" s="2">
        <v>254</v>
      </c>
      <c r="D6" s="2">
        <v>2046</v>
      </c>
      <c r="E6" s="2">
        <v>2481</v>
      </c>
      <c r="F6" s="8">
        <f>SUM(StateSenatorSenateDistrict42General[[#This Row],[Sullivan County Vote Results]:[Part of Ulster County Vote Results]])</f>
        <v>6310</v>
      </c>
      <c r="G6" s="10"/>
    </row>
    <row r="7" spans="1:7" ht="13.8" x14ac:dyDescent="0.3">
      <c r="A7" s="1" t="s">
        <v>251</v>
      </c>
      <c r="B7" s="15">
        <v>461</v>
      </c>
      <c r="C7" s="2">
        <v>82</v>
      </c>
      <c r="D7" s="2">
        <v>647</v>
      </c>
      <c r="E7" s="2">
        <v>254</v>
      </c>
      <c r="F7" s="8">
        <f>SUM(StateSenatorSenateDistrict42General[[#This Row],[Sullivan County Vote Results]:[Part of Ulster County Vote Results]])</f>
        <v>1444</v>
      </c>
      <c r="G7" s="10"/>
    </row>
    <row r="8" spans="1:7" ht="13.8" x14ac:dyDescent="0.3">
      <c r="A8" s="1" t="s">
        <v>252</v>
      </c>
      <c r="B8" s="15">
        <v>80</v>
      </c>
      <c r="C8" s="2">
        <v>23</v>
      </c>
      <c r="D8" s="2">
        <v>110</v>
      </c>
      <c r="E8" s="2">
        <v>59</v>
      </c>
      <c r="F8" s="8">
        <f>SUM(StateSenatorSenateDistrict42General[[#This Row],[Sullivan County Vote Results]:[Part of Ulster County Vote Results]])</f>
        <v>272</v>
      </c>
      <c r="G8" s="10"/>
    </row>
    <row r="9" spans="1:7" ht="13.8" x14ac:dyDescent="0.3">
      <c r="A9" s="3" t="s">
        <v>0</v>
      </c>
      <c r="B9" s="15">
        <v>1830</v>
      </c>
      <c r="C9" s="2">
        <v>302</v>
      </c>
      <c r="D9" s="2">
        <v>3491</v>
      </c>
      <c r="E9" s="2">
        <v>730</v>
      </c>
      <c r="F9" s="8">
        <f>SUM(StateSenatorSenateDistrict42General[[#This Row],[Sullivan County Vote Results]:[Part of Ulster County Vote Results]])</f>
        <v>6353</v>
      </c>
      <c r="G9" s="10"/>
    </row>
    <row r="10" spans="1:7" ht="13.8" x14ac:dyDescent="0.3">
      <c r="A10" s="3" t="s">
        <v>1</v>
      </c>
      <c r="B10" s="15">
        <v>36</v>
      </c>
      <c r="C10" s="2">
        <v>0</v>
      </c>
      <c r="D10" s="2">
        <v>0</v>
      </c>
      <c r="E10" s="2">
        <v>13</v>
      </c>
      <c r="F10" s="8">
        <f>SUM(StateSenatorSenateDistrict42General[[#This Row],[Sullivan County Vote Results]:[Part of Ulster County Vote Results]])</f>
        <v>49</v>
      </c>
      <c r="G10" s="10"/>
    </row>
    <row r="11" spans="1:7" ht="13.8" x14ac:dyDescent="0.3">
      <c r="A11" s="3" t="s">
        <v>6</v>
      </c>
      <c r="B11" s="15">
        <v>8</v>
      </c>
      <c r="C11" s="2">
        <v>1</v>
      </c>
      <c r="D11" s="2">
        <v>22</v>
      </c>
      <c r="E11" s="2">
        <v>12</v>
      </c>
      <c r="F11" s="8">
        <f>SUM(StateSenatorSenateDistrict42General[[#This Row],[Sullivan County Vote Results]:[Part of Ulster County Vote Results]])</f>
        <v>43</v>
      </c>
      <c r="G11" s="10"/>
    </row>
    <row r="12" spans="1:7" ht="13.8" x14ac:dyDescent="0.3">
      <c r="A12" s="11" t="s">
        <v>2</v>
      </c>
      <c r="B12" s="2">
        <f>SUM(StateSenatorSenateDistrict42General[Sullivan County Vote Results])</f>
        <v>35132</v>
      </c>
      <c r="C12" s="2">
        <f>SUM(StateSenatorSenateDistrict42General[Part of Delaware County Vote Results])</f>
        <v>7359</v>
      </c>
      <c r="D12" s="2">
        <f>SUM(StateSenatorSenateDistrict42General[Part of Orange County Vote Results])</f>
        <v>72442</v>
      </c>
      <c r="E12" s="2">
        <f>SUM(StateSenatorSenateDistrict42General[Part of Ulster County Vote Results])</f>
        <v>25633</v>
      </c>
      <c r="F12" s="8">
        <f>SUM(StateSenatorSenateDistrict42General[Total Votes by Party])</f>
        <v>140566</v>
      </c>
      <c r="G12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9863-715F-4E93-BC8B-85BAF2062171}">
  <dimension ref="A1:G11"/>
  <sheetViews>
    <sheetView zoomScaleNormal="100" zoomScaleSheetLayoutView="100" workbookViewId="0">
      <selection activeCell="B3" sqref="B3:B10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18" x14ac:dyDescent="0.25">
      <c r="A1" s="24" t="s">
        <v>253</v>
      </c>
    </row>
    <row r="2" spans="1:7" ht="27.6" x14ac:dyDescent="0.25">
      <c r="A2" s="4" t="s">
        <v>5</v>
      </c>
      <c r="B2" s="5" t="s">
        <v>36</v>
      </c>
      <c r="C2" s="5" t="s">
        <v>40</v>
      </c>
      <c r="D2" s="5" t="s">
        <v>41</v>
      </c>
      <c r="E2" s="5" t="s">
        <v>254</v>
      </c>
      <c r="F2" s="6" t="s">
        <v>3</v>
      </c>
      <c r="G2" s="7" t="s">
        <v>4</v>
      </c>
    </row>
    <row r="3" spans="1:7" ht="13.8" x14ac:dyDescent="0.3">
      <c r="A3" s="1" t="s">
        <v>255</v>
      </c>
      <c r="B3" s="2">
        <v>16235</v>
      </c>
      <c r="C3" s="2">
        <v>23818</v>
      </c>
      <c r="D3" s="2">
        <v>28280</v>
      </c>
      <c r="E3" s="2">
        <v>824</v>
      </c>
      <c r="F3" s="8">
        <f>SUM(StateSenatorSenateDistrict43General[[#This Row],[Columbia County Vote Results]:[Part of Washington County Vote Results]])</f>
        <v>69157</v>
      </c>
      <c r="G3" s="9">
        <f>SUM(StateSenatorSenateDistrict43General[[#This Row],[Total Votes by Party]],F6)</f>
        <v>77425</v>
      </c>
    </row>
    <row r="4" spans="1:7" ht="13.8" x14ac:dyDescent="0.3">
      <c r="A4" s="1" t="s">
        <v>256</v>
      </c>
      <c r="B4" s="2">
        <v>13727</v>
      </c>
      <c r="C4" s="2">
        <v>28916</v>
      </c>
      <c r="D4" s="2">
        <v>30216</v>
      </c>
      <c r="E4" s="2">
        <v>1283</v>
      </c>
      <c r="F4" s="8">
        <f>SUM(StateSenatorSenateDistrict43General[[#This Row],[Columbia County Vote Results]:[Part of Washington County Vote Results]])</f>
        <v>74142</v>
      </c>
      <c r="G4" s="9">
        <f>SUM(StateSenatorSenateDistrict43General[[#This Row],[Total Votes by Party]],F5,F7)</f>
        <v>86146</v>
      </c>
    </row>
    <row r="5" spans="1:7" ht="13.8" x14ac:dyDescent="0.3">
      <c r="A5" s="1" t="s">
        <v>257</v>
      </c>
      <c r="B5" s="2">
        <v>1450</v>
      </c>
      <c r="C5" s="2">
        <v>3965</v>
      </c>
      <c r="D5" s="2">
        <v>3350</v>
      </c>
      <c r="E5" s="2">
        <v>179</v>
      </c>
      <c r="F5" s="8">
        <f>SUM(StateSenatorSenateDistrict43General[[#This Row],[Columbia County Vote Results]:[Part of Washington County Vote Results]])</f>
        <v>8944</v>
      </c>
      <c r="G5" s="10"/>
    </row>
    <row r="6" spans="1:7" ht="13.8" x14ac:dyDescent="0.3">
      <c r="A6" s="1" t="s">
        <v>258</v>
      </c>
      <c r="B6" s="2">
        <v>2532</v>
      </c>
      <c r="C6" s="2">
        <v>2989</v>
      </c>
      <c r="D6" s="2">
        <v>2626</v>
      </c>
      <c r="E6" s="2">
        <v>121</v>
      </c>
      <c r="F6" s="8">
        <f>SUM(StateSenatorSenateDistrict43General[[#This Row],[Columbia County Vote Results]:[Part of Washington County Vote Results]])</f>
        <v>8268</v>
      </c>
      <c r="G6" s="10"/>
    </row>
    <row r="7" spans="1:7" ht="13.8" x14ac:dyDescent="0.3">
      <c r="A7" s="1" t="s">
        <v>259</v>
      </c>
      <c r="B7" s="2">
        <v>576</v>
      </c>
      <c r="C7" s="2">
        <v>1333</v>
      </c>
      <c r="D7" s="2">
        <v>1119</v>
      </c>
      <c r="E7" s="2">
        <v>32</v>
      </c>
      <c r="F7" s="8">
        <f>SUM(StateSenatorSenateDistrict43General[[#This Row],[Columbia County Vote Results]:[Part of Washington County Vote Results]])</f>
        <v>3060</v>
      </c>
      <c r="G7" s="10"/>
    </row>
    <row r="8" spans="1:7" ht="13.8" x14ac:dyDescent="0.3">
      <c r="A8" s="3" t="s">
        <v>0</v>
      </c>
      <c r="B8" s="2">
        <v>1083</v>
      </c>
      <c r="C8" s="2">
        <v>2490</v>
      </c>
      <c r="D8" s="2">
        <v>2780</v>
      </c>
      <c r="E8" s="2">
        <v>77</v>
      </c>
      <c r="F8" s="8">
        <f>SUM(StateSenatorSenateDistrict43General[[#This Row],[Columbia County Vote Results]:[Part of Washington County Vote Results]])</f>
        <v>6430</v>
      </c>
      <c r="G8" s="10"/>
    </row>
    <row r="9" spans="1:7" ht="13.8" x14ac:dyDescent="0.3">
      <c r="A9" s="3" t="s">
        <v>1</v>
      </c>
      <c r="B9" s="2">
        <v>19</v>
      </c>
      <c r="C9" s="2">
        <v>0</v>
      </c>
      <c r="D9" s="2">
        <v>15</v>
      </c>
      <c r="E9" s="2">
        <v>0</v>
      </c>
      <c r="F9" s="8">
        <f>SUM(StateSenatorSenateDistrict43General[[#This Row],[Columbia County Vote Results]:[Part of Washington County Vote Results]])</f>
        <v>34</v>
      </c>
      <c r="G9" s="10"/>
    </row>
    <row r="10" spans="1:7" ht="13.8" x14ac:dyDescent="0.3">
      <c r="A10" s="3" t="s">
        <v>6</v>
      </c>
      <c r="B10" s="2">
        <v>13</v>
      </c>
      <c r="C10" s="2">
        <v>14</v>
      </c>
      <c r="D10" s="2">
        <v>25</v>
      </c>
      <c r="E10" s="2">
        <v>1</v>
      </c>
      <c r="F10" s="8">
        <f>SUM(StateSenatorSenateDistrict43General[[#This Row],[Columbia County Vote Results]:[Part of Washington County Vote Results]])</f>
        <v>53</v>
      </c>
      <c r="G10" s="10"/>
    </row>
    <row r="11" spans="1:7" ht="13.8" x14ac:dyDescent="0.3">
      <c r="A11" s="11" t="s">
        <v>2</v>
      </c>
      <c r="B11" s="2">
        <f>SUM(StateSenatorSenateDistrict43General[Columbia County Vote Results])</f>
        <v>35635</v>
      </c>
      <c r="C11" s="2">
        <f>SUM(StateSenatorSenateDistrict43General[Part of Rensselaer County Vote Results])</f>
        <v>63525</v>
      </c>
      <c r="D11" s="2">
        <f>SUM(StateSenatorSenateDistrict43General[Part of Saratoga County Vote Results])</f>
        <v>68411</v>
      </c>
      <c r="E11" s="2">
        <f>SUM(StateSenatorSenateDistrict43General[Part of Washington County Vote Results])</f>
        <v>2517</v>
      </c>
      <c r="F11" s="8">
        <f>SUM(StateSenatorSenateDistrict43General[Total Votes by Party])</f>
        <v>170088</v>
      </c>
      <c r="G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6441-5099-45F9-812B-DFB0DBD329A8}">
  <dimension ref="A1:E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24" t="s">
        <v>260</v>
      </c>
    </row>
    <row r="2" spans="1:5" ht="27.6" x14ac:dyDescent="0.25">
      <c r="A2" s="4" t="s">
        <v>5</v>
      </c>
      <c r="B2" s="5" t="s">
        <v>261</v>
      </c>
      <c r="C2" s="5" t="s">
        <v>40</v>
      </c>
      <c r="D2" s="6" t="s">
        <v>3</v>
      </c>
      <c r="E2" s="7" t="s">
        <v>4</v>
      </c>
    </row>
    <row r="3" spans="1:5" ht="13.8" x14ac:dyDescent="0.3">
      <c r="A3" s="1" t="s">
        <v>262</v>
      </c>
      <c r="B3" s="2">
        <v>70921</v>
      </c>
      <c r="C3" s="2">
        <v>9334</v>
      </c>
      <c r="D3" s="8">
        <f>SUM(StateSenatorSenateDistrict44General[[#This Row],[Part of Albany County Vote Results]:[Part of Rensselaer County Vote Results]])</f>
        <v>80255</v>
      </c>
      <c r="E3" s="9">
        <f>SUM(StateSenatorSenateDistrict44General[[#This Row],[Total Votes by Party]],D5,D6)</f>
        <v>93015</v>
      </c>
    </row>
    <row r="4" spans="1:5" ht="13.8" x14ac:dyDescent="0.3">
      <c r="A4" s="1" t="s">
        <v>263</v>
      </c>
      <c r="B4" s="2">
        <v>30080</v>
      </c>
      <c r="C4" s="2">
        <v>4189</v>
      </c>
      <c r="D4" s="8">
        <f>SUM(StateSenatorSenateDistrict44General[[#This Row],[Part of Albany County Vote Results]:[Part of Rensselaer County Vote Results]])</f>
        <v>34269</v>
      </c>
      <c r="E4" s="9">
        <f>SUM(StateSenatorSenateDistrict44General[[#This Row],[Total Votes by Party]])</f>
        <v>34269</v>
      </c>
    </row>
    <row r="5" spans="1:5" ht="13.8" x14ac:dyDescent="0.3">
      <c r="A5" s="1" t="s">
        <v>264</v>
      </c>
      <c r="B5" s="2">
        <v>8653</v>
      </c>
      <c r="C5" s="2">
        <v>1491</v>
      </c>
      <c r="D5" s="8">
        <f>SUM(StateSenatorSenateDistrict44General[[#This Row],[Part of Albany County Vote Results]:[Part of Rensselaer County Vote Results]])</f>
        <v>10144</v>
      </c>
      <c r="E5" s="10"/>
    </row>
    <row r="6" spans="1:5" ht="13.8" x14ac:dyDescent="0.3">
      <c r="A6" s="1" t="s">
        <v>265</v>
      </c>
      <c r="B6" s="2">
        <v>2159</v>
      </c>
      <c r="C6" s="2">
        <v>457</v>
      </c>
      <c r="D6" s="8">
        <f>SUM(StateSenatorSenateDistrict44General[[#This Row],[Part of Albany County Vote Results]:[Part of Rensselaer County Vote Results]])</f>
        <v>2616</v>
      </c>
      <c r="E6" s="10"/>
    </row>
    <row r="7" spans="1:5" ht="13.8" x14ac:dyDescent="0.3">
      <c r="A7" s="3" t="s">
        <v>0</v>
      </c>
      <c r="B7" s="2">
        <v>5464</v>
      </c>
      <c r="C7" s="2">
        <v>957</v>
      </c>
      <c r="D7" s="8">
        <f>SUM(StateSenatorSenateDistrict44General[[#This Row],[Part of Albany County Vote Results]:[Part of Rensselaer County Vote Results]])</f>
        <v>6421</v>
      </c>
      <c r="E7" s="10"/>
    </row>
    <row r="8" spans="1:5" ht="13.8" x14ac:dyDescent="0.3">
      <c r="A8" s="3" t="s">
        <v>1</v>
      </c>
      <c r="B8" s="2">
        <v>38</v>
      </c>
      <c r="C8" s="2">
        <v>0</v>
      </c>
      <c r="D8" s="8">
        <f>SUM(StateSenatorSenateDistrict44General[[#This Row],[Part of Albany County Vote Results]:[Part of Rensselaer County Vote Results]])</f>
        <v>38</v>
      </c>
      <c r="E8" s="10"/>
    </row>
    <row r="9" spans="1:5" ht="13.8" x14ac:dyDescent="0.3">
      <c r="A9" s="3" t="s">
        <v>6</v>
      </c>
      <c r="B9" s="2">
        <v>146</v>
      </c>
      <c r="C9" s="2">
        <v>9</v>
      </c>
      <c r="D9" s="8">
        <f>SUM(StateSenatorSenateDistrict44General[[#This Row],[Part of Albany County Vote Results]:[Part of Rensselaer County Vote Results]])</f>
        <v>155</v>
      </c>
      <c r="E9" s="10"/>
    </row>
    <row r="10" spans="1:5" ht="13.8" x14ac:dyDescent="0.3">
      <c r="A10" s="11" t="s">
        <v>2</v>
      </c>
      <c r="B10" s="2">
        <f>SUM(StateSenatorSenateDistrict44General[Part of Albany County Vote Results])</f>
        <v>117461</v>
      </c>
      <c r="C10" s="2">
        <f>SUM(StateSenatorSenateDistrict44General[Part of Rensselaer County Vote Results])</f>
        <v>16437</v>
      </c>
      <c r="D10" s="8">
        <f>SUM(StateSenatorSenateDistrict44General[Total Votes by Party])</f>
        <v>133898</v>
      </c>
      <c r="E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FFD8-EEEA-4233-B23D-AC5D641B7BD2}">
  <dimension ref="A1:I11"/>
  <sheetViews>
    <sheetView zoomScaleNormal="100" zoomScaleSheetLayoutView="100" workbookViewId="0">
      <selection activeCell="B3" sqref="B3:B10"/>
    </sheetView>
  </sheetViews>
  <sheetFormatPr defaultRowHeight="13.2" x14ac:dyDescent="0.25"/>
  <cols>
    <col min="1" max="1" width="25.5546875" customWidth="1"/>
    <col min="2" max="9" width="20.5546875" customWidth="1"/>
    <col min="10" max="11" width="23.5546875" customWidth="1"/>
  </cols>
  <sheetData>
    <row r="1" spans="1:9" ht="18" x14ac:dyDescent="0.25">
      <c r="A1" s="24" t="s">
        <v>266</v>
      </c>
    </row>
    <row r="2" spans="1:9" ht="27.6" x14ac:dyDescent="0.25">
      <c r="A2" s="4" t="s">
        <v>5</v>
      </c>
      <c r="B2" s="5" t="s">
        <v>42</v>
      </c>
      <c r="C2" s="5" t="s">
        <v>43</v>
      </c>
      <c r="D2" s="5" t="s">
        <v>44</v>
      </c>
      <c r="E2" s="5" t="s">
        <v>47</v>
      </c>
      <c r="F2" s="5" t="s">
        <v>267</v>
      </c>
      <c r="G2" s="5" t="s">
        <v>254</v>
      </c>
      <c r="H2" s="6" t="s">
        <v>3</v>
      </c>
      <c r="I2" s="7" t="s">
        <v>4</v>
      </c>
    </row>
    <row r="3" spans="1:9" ht="13.8" x14ac:dyDescent="0.3">
      <c r="A3" s="1" t="s">
        <v>268</v>
      </c>
      <c r="B3" s="2">
        <v>16077</v>
      </c>
      <c r="C3" s="2">
        <v>7354</v>
      </c>
      <c r="D3" s="2">
        <v>7816</v>
      </c>
      <c r="E3" s="2">
        <v>11809</v>
      </c>
      <c r="F3" s="2">
        <v>1015</v>
      </c>
      <c r="G3" s="2">
        <v>7848</v>
      </c>
      <c r="H3" s="8">
        <f>SUM(StateSenatorSenateDistrict45General[[#This Row],[Clinton County Vote Results]:[Part of Washington County Vote Results]])</f>
        <v>51919</v>
      </c>
      <c r="I3" s="9">
        <f>SUM(StateSenatorSenateDistrict45General[[#This Row],[Total Votes by Party]],H6)</f>
        <v>56925</v>
      </c>
    </row>
    <row r="4" spans="1:9" ht="13.8" x14ac:dyDescent="0.3">
      <c r="A4" s="1" t="s">
        <v>269</v>
      </c>
      <c r="B4" s="2">
        <v>14857</v>
      </c>
      <c r="C4" s="2">
        <v>9591</v>
      </c>
      <c r="D4" s="2">
        <v>9233</v>
      </c>
      <c r="E4" s="2">
        <v>19585</v>
      </c>
      <c r="F4" s="2">
        <v>1849</v>
      </c>
      <c r="G4" s="2">
        <v>14476</v>
      </c>
      <c r="H4" s="8">
        <f>SUM(StateSenatorSenateDistrict45General[[#This Row],[Clinton County Vote Results]:[Part of Washington County Vote Results]])</f>
        <v>69591</v>
      </c>
      <c r="I4" s="9">
        <f>SUM(StateSenatorSenateDistrict45General[[#This Row],[Total Votes by Party]],H5,H7)</f>
        <v>78130</v>
      </c>
    </row>
    <row r="5" spans="1:9" ht="13.8" x14ac:dyDescent="0.3">
      <c r="A5" s="1" t="s">
        <v>270</v>
      </c>
      <c r="B5" s="2">
        <v>1269</v>
      </c>
      <c r="C5" s="2">
        <v>753</v>
      </c>
      <c r="D5" s="2">
        <v>683</v>
      </c>
      <c r="E5" s="2">
        <v>2003</v>
      </c>
      <c r="F5" s="2">
        <v>155</v>
      </c>
      <c r="G5" s="2">
        <v>1466</v>
      </c>
      <c r="H5" s="8">
        <f>SUM(StateSenatorSenateDistrict45General[[#This Row],[Clinton County Vote Results]:[Part of Washington County Vote Results]])</f>
        <v>6329</v>
      </c>
      <c r="I5" s="10"/>
    </row>
    <row r="6" spans="1:9" ht="13.8" x14ac:dyDescent="0.3">
      <c r="A6" s="1" t="s">
        <v>271</v>
      </c>
      <c r="B6" s="2">
        <v>1632</v>
      </c>
      <c r="C6" s="2">
        <v>638</v>
      </c>
      <c r="D6" s="2">
        <v>702</v>
      </c>
      <c r="E6" s="2">
        <v>1190</v>
      </c>
      <c r="F6" s="2">
        <v>102</v>
      </c>
      <c r="G6" s="2">
        <v>742</v>
      </c>
      <c r="H6" s="8">
        <f>SUM(StateSenatorSenateDistrict45General[[#This Row],[Clinton County Vote Results]:[Part of Washington County Vote Results]])</f>
        <v>5006</v>
      </c>
      <c r="I6" s="10"/>
    </row>
    <row r="7" spans="1:9" ht="13.8" x14ac:dyDescent="0.3">
      <c r="A7" s="1" t="s">
        <v>272</v>
      </c>
      <c r="B7" s="2">
        <v>512</v>
      </c>
      <c r="C7" s="2">
        <v>270</v>
      </c>
      <c r="D7" s="2">
        <v>239</v>
      </c>
      <c r="E7" s="2">
        <v>757</v>
      </c>
      <c r="F7" s="2">
        <v>42</v>
      </c>
      <c r="G7" s="2">
        <v>390</v>
      </c>
      <c r="H7" s="8">
        <f>SUM(StateSenatorSenateDistrict45General[[#This Row],[Clinton County Vote Results]:[Part of Washington County Vote Results]])</f>
        <v>2210</v>
      </c>
      <c r="I7" s="10"/>
    </row>
    <row r="8" spans="1:9" ht="13.8" x14ac:dyDescent="0.3">
      <c r="A8" s="3" t="s">
        <v>0</v>
      </c>
      <c r="B8" s="2">
        <v>898</v>
      </c>
      <c r="C8" s="2">
        <v>850</v>
      </c>
      <c r="D8" s="2">
        <v>668</v>
      </c>
      <c r="E8" s="2">
        <v>896</v>
      </c>
      <c r="F8" s="2">
        <v>310</v>
      </c>
      <c r="G8" s="2">
        <v>804</v>
      </c>
      <c r="H8" s="8">
        <f>SUM(StateSenatorSenateDistrict45General[[#This Row],[Clinton County Vote Results]:[Part of Washington County Vote Results]])</f>
        <v>4426</v>
      </c>
      <c r="I8" s="10"/>
    </row>
    <row r="9" spans="1:9" ht="13.8" x14ac:dyDescent="0.3">
      <c r="A9" s="3" t="s">
        <v>1</v>
      </c>
      <c r="B9" s="2">
        <v>9</v>
      </c>
      <c r="C9" s="2">
        <v>10</v>
      </c>
      <c r="D9" s="2">
        <v>3</v>
      </c>
      <c r="E9" s="2">
        <v>15</v>
      </c>
      <c r="F9" s="2">
        <v>0</v>
      </c>
      <c r="G9" s="2">
        <v>6</v>
      </c>
      <c r="H9" s="8">
        <f>SUM(StateSenatorSenateDistrict45General[[#This Row],[Clinton County Vote Results]:[Part of Washington County Vote Results]])</f>
        <v>43</v>
      </c>
      <c r="I9" s="10"/>
    </row>
    <row r="10" spans="1:9" ht="13.8" x14ac:dyDescent="0.3">
      <c r="A10" s="3" t="s">
        <v>6</v>
      </c>
      <c r="B10" s="2">
        <v>19</v>
      </c>
      <c r="C10" s="2">
        <v>4</v>
      </c>
      <c r="D10" s="2">
        <v>3</v>
      </c>
      <c r="E10" s="2">
        <v>22</v>
      </c>
      <c r="F10" s="2">
        <v>1</v>
      </c>
      <c r="G10" s="2">
        <v>5</v>
      </c>
      <c r="H10" s="8">
        <f>SUM(StateSenatorSenateDistrict45General[[#This Row],[Clinton County Vote Results]:[Part of Washington County Vote Results]])</f>
        <v>54</v>
      </c>
      <c r="I10" s="10"/>
    </row>
    <row r="11" spans="1:9" ht="13.8" x14ac:dyDescent="0.3">
      <c r="A11" s="11" t="s">
        <v>2</v>
      </c>
      <c r="B11" s="2">
        <f>SUM(StateSenatorSenateDistrict45General[Clinton County Vote Results])</f>
        <v>35273</v>
      </c>
      <c r="C11" s="2">
        <f>SUM(StateSenatorSenateDistrict45General[Essex County Vote Results])</f>
        <v>19470</v>
      </c>
      <c r="D11" s="2">
        <f>SUM(StateSenatorSenateDistrict45General[Franklin County Vote Results])</f>
        <v>19347</v>
      </c>
      <c r="E11" s="2">
        <f>SUM(StateSenatorSenateDistrict45General[Warren County Vote Results])</f>
        <v>36277</v>
      </c>
      <c r="F11" s="2">
        <f>SUM(StateSenatorSenateDistrict45General[Part of St. Lawrence County Vote Results])</f>
        <v>3474</v>
      </c>
      <c r="G11" s="2">
        <f>SUM(StateSenatorSenateDistrict45General[Part of Washington County Vote Results])</f>
        <v>25737</v>
      </c>
      <c r="H11" s="8">
        <f>SUM(StateSenatorSenateDistrict45General[Total Votes by Party])</f>
        <v>139578</v>
      </c>
      <c r="I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83A9-210F-4D66-BBEB-8926AF501828}">
  <dimension ref="A1:H12"/>
  <sheetViews>
    <sheetView topLeftCell="A2" workbookViewId="0">
      <selection activeCell="B3" sqref="B3:B10"/>
    </sheetView>
  </sheetViews>
  <sheetFormatPr defaultRowHeight="13.2" x14ac:dyDescent="0.25"/>
  <cols>
    <col min="1" max="1" width="25.5546875" customWidth="1"/>
    <col min="2" max="8" width="20.5546875" customWidth="1"/>
    <col min="9" max="10" width="23.5546875" customWidth="1"/>
  </cols>
  <sheetData>
    <row r="1" spans="1:8" ht="18" x14ac:dyDescent="0.25">
      <c r="A1" s="24" t="s">
        <v>273</v>
      </c>
    </row>
    <row r="2" spans="1:8" ht="27.6" x14ac:dyDescent="0.25">
      <c r="A2" s="4" t="s">
        <v>5</v>
      </c>
      <c r="B2" s="5" t="s">
        <v>37</v>
      </c>
      <c r="C2" s="5" t="s">
        <v>274</v>
      </c>
      <c r="D2" s="5" t="s">
        <v>261</v>
      </c>
      <c r="E2" s="5" t="s">
        <v>275</v>
      </c>
      <c r="F2" s="5" t="s">
        <v>223</v>
      </c>
      <c r="G2" s="6" t="s">
        <v>3</v>
      </c>
      <c r="H2" s="7" t="s">
        <v>4</v>
      </c>
    </row>
    <row r="3" spans="1:8" ht="13.8" x14ac:dyDescent="0.3">
      <c r="A3" s="1" t="s">
        <v>276</v>
      </c>
      <c r="B3" s="2">
        <v>8370</v>
      </c>
      <c r="C3" s="14">
        <v>6818</v>
      </c>
      <c r="D3" s="2">
        <v>16758</v>
      </c>
      <c r="E3" s="2">
        <v>8396</v>
      </c>
      <c r="F3" s="2">
        <v>27825</v>
      </c>
      <c r="G3" s="8">
        <f>SUM(StateSenatorSenateDistrict46General[[#This Row],[Greene County Vote Results]:[Part of Ulster County Vote Results]])</f>
        <v>68167</v>
      </c>
      <c r="H3" s="9">
        <f>SUM(StateSenatorSenateDistrict46General[[#This Row],[Total Votes by Party]],G6)</f>
        <v>78102</v>
      </c>
    </row>
    <row r="4" spans="1:8" ht="13.8" x14ac:dyDescent="0.3">
      <c r="A4" s="1" t="s">
        <v>277</v>
      </c>
      <c r="B4" s="2">
        <v>12948</v>
      </c>
      <c r="C4" s="14">
        <v>11076</v>
      </c>
      <c r="D4" s="2">
        <v>14257</v>
      </c>
      <c r="E4" s="2">
        <v>10173</v>
      </c>
      <c r="F4" s="2">
        <v>15773</v>
      </c>
      <c r="G4" s="8">
        <f>SUM(StateSenatorSenateDistrict46General[[#This Row],[Greene County Vote Results]:[Part of Ulster County Vote Results]])</f>
        <v>64227</v>
      </c>
      <c r="H4" s="9">
        <f>SUM(StateSenatorSenateDistrict46General[[#This Row],[Total Votes by Party]],G5,G8)</f>
        <v>75034</v>
      </c>
    </row>
    <row r="5" spans="1:8" ht="13.8" x14ac:dyDescent="0.3">
      <c r="A5" s="1" t="s">
        <v>278</v>
      </c>
      <c r="B5" s="2">
        <v>1533</v>
      </c>
      <c r="C5" s="14">
        <v>1290</v>
      </c>
      <c r="D5" s="2">
        <v>2161</v>
      </c>
      <c r="E5" s="2">
        <v>1900</v>
      </c>
      <c r="F5" s="2">
        <v>1854</v>
      </c>
      <c r="G5" s="8">
        <f>SUM(StateSenatorSenateDistrict46General[[#This Row],[Greene County Vote Results]:[Part of Ulster County Vote Results]])</f>
        <v>8738</v>
      </c>
      <c r="H5" s="10"/>
    </row>
    <row r="6" spans="1:8" ht="13.8" x14ac:dyDescent="0.3">
      <c r="A6" s="1" t="s">
        <v>279</v>
      </c>
      <c r="B6" s="2">
        <v>1173</v>
      </c>
      <c r="C6" s="14">
        <v>638</v>
      </c>
      <c r="D6" s="2">
        <v>1806</v>
      </c>
      <c r="E6" s="2">
        <v>791</v>
      </c>
      <c r="F6" s="2">
        <v>5527</v>
      </c>
      <c r="G6" s="8">
        <f>SUM(StateSenatorSenateDistrict46General[[#This Row],[Greene County Vote Results]:[Part of Ulster County Vote Results]])</f>
        <v>9935</v>
      </c>
      <c r="H6" s="10"/>
    </row>
    <row r="7" spans="1:8" ht="13.8" x14ac:dyDescent="0.3">
      <c r="A7" s="1" t="s">
        <v>280</v>
      </c>
      <c r="B7" s="2">
        <v>182</v>
      </c>
      <c r="C7" s="14">
        <v>157</v>
      </c>
      <c r="D7" s="2">
        <v>308</v>
      </c>
      <c r="E7" s="2">
        <v>167</v>
      </c>
      <c r="F7" s="2">
        <v>466</v>
      </c>
      <c r="G7" s="8">
        <f>SUM(StateSenatorSenateDistrict46General[[#This Row],[Greene County Vote Results]:[Part of Ulster County Vote Results]])</f>
        <v>1280</v>
      </c>
      <c r="H7" s="9">
        <f>SUM(StateSenatorSenateDistrict46General[[#This Row],[Total Votes by Party]])</f>
        <v>1280</v>
      </c>
    </row>
    <row r="8" spans="1:8" ht="13.8" x14ac:dyDescent="0.3">
      <c r="A8" s="1" t="s">
        <v>281</v>
      </c>
      <c r="B8" s="2">
        <v>311</v>
      </c>
      <c r="C8" s="14">
        <v>278</v>
      </c>
      <c r="D8" s="2">
        <v>551</v>
      </c>
      <c r="E8" s="2">
        <v>392</v>
      </c>
      <c r="F8" s="2">
        <v>537</v>
      </c>
      <c r="G8" s="8">
        <f>SUM(StateSenatorSenateDistrict46General[[#This Row],[Greene County Vote Results]:[Part of Ulster County Vote Results]])</f>
        <v>2069</v>
      </c>
      <c r="H8" s="10"/>
    </row>
    <row r="9" spans="1:8" ht="13.8" x14ac:dyDescent="0.3">
      <c r="A9" s="3" t="s">
        <v>0</v>
      </c>
      <c r="B9" s="2">
        <v>696</v>
      </c>
      <c r="C9" s="14">
        <v>974</v>
      </c>
      <c r="D9" s="2">
        <v>896</v>
      </c>
      <c r="E9" s="2">
        <v>1080</v>
      </c>
      <c r="F9" s="2">
        <v>1494</v>
      </c>
      <c r="G9" s="8">
        <f>SUM(StateSenatorSenateDistrict46General[[#This Row],[Greene County Vote Results]:[Part of Ulster County Vote Results]])</f>
        <v>5140</v>
      </c>
      <c r="H9" s="10"/>
    </row>
    <row r="10" spans="1:8" ht="13.8" x14ac:dyDescent="0.3">
      <c r="A10" s="3" t="s">
        <v>1</v>
      </c>
      <c r="B10" s="2">
        <v>25</v>
      </c>
      <c r="C10" s="14">
        <v>8</v>
      </c>
      <c r="D10" s="2">
        <v>13</v>
      </c>
      <c r="E10" s="2">
        <v>23</v>
      </c>
      <c r="F10" s="2">
        <v>38</v>
      </c>
      <c r="G10" s="8">
        <f>SUM(StateSenatorSenateDistrict46General[[#This Row],[Greene County Vote Results]:[Part of Ulster County Vote Results]])</f>
        <v>107</v>
      </c>
      <c r="H10" s="10"/>
    </row>
    <row r="11" spans="1:8" ht="13.8" x14ac:dyDescent="0.3">
      <c r="A11" s="3" t="s">
        <v>6</v>
      </c>
      <c r="B11" s="2">
        <v>17</v>
      </c>
      <c r="C11" s="14">
        <v>7</v>
      </c>
      <c r="D11" s="2">
        <v>31</v>
      </c>
      <c r="E11" s="2">
        <v>19</v>
      </c>
      <c r="F11" s="2">
        <v>36</v>
      </c>
      <c r="G11" s="8">
        <f>SUM(StateSenatorSenateDistrict46General[[#This Row],[Greene County Vote Results]:[Part of Ulster County Vote Results]])</f>
        <v>110</v>
      </c>
      <c r="H11" s="10"/>
    </row>
    <row r="12" spans="1:8" ht="13.8" x14ac:dyDescent="0.3">
      <c r="A12" s="11" t="s">
        <v>2</v>
      </c>
      <c r="B12" s="2">
        <f>SUM(StateSenatorSenateDistrict46General[Greene County Vote Results])</f>
        <v>25255</v>
      </c>
      <c r="C12" s="14">
        <f>SUM(StateSenatorSenateDistrict46General[Montgomery County Vote Results])</f>
        <v>21246</v>
      </c>
      <c r="D12" s="2">
        <f>SUM(StateSenatorSenateDistrict46General[Part of Albany County Vote Results])</f>
        <v>36781</v>
      </c>
      <c r="E12" s="2">
        <f>SUM(StateSenatorSenateDistrict46General[Part of Schenectady County Vote Results])</f>
        <v>22941</v>
      </c>
      <c r="F12" s="2">
        <f>SUM(StateSenatorSenateDistrict46General[Part of Ulster County Vote Results])</f>
        <v>53550</v>
      </c>
      <c r="G12" s="8">
        <f>SUM(StateSenatorSenateDistrict46General[Total Votes by Party])</f>
        <v>159773</v>
      </c>
      <c r="H12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5119-A2DC-4049-AF54-3F23FE12E949}">
  <dimension ref="A1:F9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24" t="s">
        <v>282</v>
      </c>
    </row>
    <row r="2" spans="1:6" ht="27.6" x14ac:dyDescent="0.25">
      <c r="A2" s="4" t="s">
        <v>5</v>
      </c>
      <c r="B2" s="5" t="s">
        <v>8</v>
      </c>
      <c r="C2" s="5" t="s">
        <v>283</v>
      </c>
      <c r="D2" s="5" t="s">
        <v>267</v>
      </c>
      <c r="E2" s="6" t="s">
        <v>3</v>
      </c>
      <c r="F2" s="7" t="s">
        <v>4</v>
      </c>
    </row>
    <row r="3" spans="1:6" ht="13.8" x14ac:dyDescent="0.3">
      <c r="A3" s="1" t="s">
        <v>284</v>
      </c>
      <c r="B3" s="2">
        <v>9417</v>
      </c>
      <c r="C3" s="2">
        <v>60449</v>
      </c>
      <c r="D3" s="2">
        <v>10196</v>
      </c>
      <c r="E3" s="8">
        <f>SUM(StateSenatorSenateDistrict47General[[#This Row],[Lewis County Vote Results]:[Part of St. Lawrence County Vote Results]])</f>
        <v>80062</v>
      </c>
      <c r="F3" s="9">
        <f>SUM(StateSenatorSenateDistrict47General[[#This Row],[Total Votes by Party]],E4,E5)</f>
        <v>99923</v>
      </c>
    </row>
    <row r="4" spans="1:6" ht="13.8" x14ac:dyDescent="0.3">
      <c r="A4" s="1" t="s">
        <v>285</v>
      </c>
      <c r="B4" s="2">
        <v>1020</v>
      </c>
      <c r="C4" s="2">
        <v>7750</v>
      </c>
      <c r="D4" s="2">
        <v>1280</v>
      </c>
      <c r="E4" s="8">
        <f>SUM(StateSenatorSenateDistrict47General[[#This Row],[Lewis County Vote Results]:[Part of St. Lawrence County Vote Results]])</f>
        <v>10050</v>
      </c>
      <c r="F4" s="10"/>
    </row>
    <row r="5" spans="1:6" ht="13.8" x14ac:dyDescent="0.3">
      <c r="A5" s="1" t="s">
        <v>286</v>
      </c>
      <c r="B5" s="2">
        <v>586</v>
      </c>
      <c r="C5" s="2">
        <v>7918</v>
      </c>
      <c r="D5" s="2">
        <v>1307</v>
      </c>
      <c r="E5" s="8">
        <f>SUM(StateSenatorSenateDistrict47General[[#This Row],[Lewis County Vote Results]:[Part of St. Lawrence County Vote Results]])</f>
        <v>9811</v>
      </c>
      <c r="F5" s="10"/>
    </row>
    <row r="6" spans="1:6" ht="13.8" x14ac:dyDescent="0.3">
      <c r="A6" s="3" t="s">
        <v>0</v>
      </c>
      <c r="B6" s="2">
        <v>1966</v>
      </c>
      <c r="C6" s="2">
        <v>19110</v>
      </c>
      <c r="D6" s="2">
        <v>5584</v>
      </c>
      <c r="E6" s="8">
        <f>SUM(StateSenatorSenateDistrict47General[[#This Row],[Lewis County Vote Results]:[Part of St. Lawrence County Vote Results]])</f>
        <v>26660</v>
      </c>
      <c r="F6" s="10"/>
    </row>
    <row r="7" spans="1:6" ht="13.8" x14ac:dyDescent="0.3">
      <c r="A7" s="3" t="s">
        <v>1</v>
      </c>
      <c r="B7" s="2">
        <v>3</v>
      </c>
      <c r="C7" s="2">
        <v>5</v>
      </c>
      <c r="D7" s="2">
        <v>2</v>
      </c>
      <c r="E7" s="8">
        <f>SUM(StateSenatorSenateDistrict47General[[#This Row],[Lewis County Vote Results]:[Part of St. Lawrence County Vote Results]])</f>
        <v>10</v>
      </c>
      <c r="F7" s="10"/>
    </row>
    <row r="8" spans="1:6" ht="13.8" x14ac:dyDescent="0.3">
      <c r="A8" s="3" t="s">
        <v>6</v>
      </c>
      <c r="B8" s="2">
        <v>44</v>
      </c>
      <c r="C8" s="2">
        <v>308</v>
      </c>
      <c r="D8" s="2">
        <v>87</v>
      </c>
      <c r="E8" s="8">
        <f>SUM(StateSenatorSenateDistrict47General[[#This Row],[Lewis County Vote Results]:[Part of St. Lawrence County Vote Results]])</f>
        <v>439</v>
      </c>
      <c r="F8" s="10"/>
    </row>
    <row r="9" spans="1:6" ht="13.8" x14ac:dyDescent="0.3">
      <c r="A9" s="11" t="s">
        <v>2</v>
      </c>
      <c r="B9" s="2">
        <f>SUM(StateSenatorSenateDistrict47General[Lewis County Vote Results])</f>
        <v>13036</v>
      </c>
      <c r="C9" s="2">
        <f>SUM(StateSenatorSenateDistrict47General[Part of Oneida County Vote Results])</f>
        <v>95540</v>
      </c>
      <c r="D9" s="2">
        <f>SUM(StateSenatorSenateDistrict47General[Part of St. Lawrence County Vote Results])</f>
        <v>18456</v>
      </c>
      <c r="E9" s="8">
        <f>SUM(StateSenatorSenateDistrict47General[Total Votes by Party])</f>
        <v>127032</v>
      </c>
      <c r="F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8945-65F0-4665-9874-8AF5F9BBF6E8}">
  <dimension ref="A1:F9"/>
  <sheetViews>
    <sheetView topLeftCell="A2" workbookViewId="0">
      <selection activeCell="B3" sqref="B3:B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24" t="s">
        <v>287</v>
      </c>
    </row>
    <row r="2" spans="1:6" ht="27.6" x14ac:dyDescent="0.25">
      <c r="A2" s="4" t="s">
        <v>5</v>
      </c>
      <c r="B2" s="5" t="s">
        <v>7</v>
      </c>
      <c r="C2" s="5" t="s">
        <v>9</v>
      </c>
      <c r="D2" s="5" t="s">
        <v>267</v>
      </c>
      <c r="E2" s="6" t="s">
        <v>3</v>
      </c>
      <c r="F2" s="7" t="s">
        <v>4</v>
      </c>
    </row>
    <row r="3" spans="1:6" ht="13.8" x14ac:dyDescent="0.3">
      <c r="A3" s="1" t="s">
        <v>288</v>
      </c>
      <c r="B3" s="2">
        <v>29744</v>
      </c>
      <c r="C3" s="2">
        <v>35052</v>
      </c>
      <c r="D3" s="2">
        <v>15377</v>
      </c>
      <c r="E3" s="8">
        <f>SUM(StateSenatorSenateDistrict48General[[#This Row],[Jefferson County Vote Results]:[Part of St. Lawrence County Vote Results]])</f>
        <v>80173</v>
      </c>
      <c r="F3" s="9">
        <f>SUM(StateSenatorSenateDistrict48General[[#This Row],[Total Votes by Party]],E4,E5)</f>
        <v>98311</v>
      </c>
    </row>
    <row r="4" spans="1:6" ht="13.8" x14ac:dyDescent="0.3">
      <c r="A4" s="1" t="s">
        <v>289</v>
      </c>
      <c r="B4" s="2">
        <v>3503</v>
      </c>
      <c r="C4" s="2">
        <v>5192</v>
      </c>
      <c r="D4" s="2">
        <v>1884</v>
      </c>
      <c r="E4" s="8">
        <f>SUM(StateSenatorSenateDistrict48General[[#This Row],[Jefferson County Vote Results]:[Part of St. Lawrence County Vote Results]])</f>
        <v>10579</v>
      </c>
      <c r="F4" s="10"/>
    </row>
    <row r="5" spans="1:6" ht="13.8" x14ac:dyDescent="0.3">
      <c r="A5" s="1" t="s">
        <v>290</v>
      </c>
      <c r="B5" s="2">
        <v>2586</v>
      </c>
      <c r="C5" s="2">
        <v>3320</v>
      </c>
      <c r="D5" s="2">
        <v>1653</v>
      </c>
      <c r="E5" s="8">
        <f>SUM(StateSenatorSenateDistrict48General[[#This Row],[Jefferson County Vote Results]:[Part of St. Lawrence County Vote Results]])</f>
        <v>7559</v>
      </c>
      <c r="F5" s="10"/>
    </row>
    <row r="6" spans="1:6" ht="13.8" x14ac:dyDescent="0.3">
      <c r="A6" s="3" t="s">
        <v>0</v>
      </c>
      <c r="B6" s="2">
        <v>8027</v>
      </c>
      <c r="C6" s="2">
        <v>10790</v>
      </c>
      <c r="D6" s="2">
        <v>4373</v>
      </c>
      <c r="E6" s="8">
        <f>SUM(StateSenatorSenateDistrict48General[[#This Row],[Jefferson County Vote Results]:[Part of St. Lawrence County Vote Results]])</f>
        <v>23190</v>
      </c>
      <c r="F6" s="10"/>
    </row>
    <row r="7" spans="1:6" ht="13.8" x14ac:dyDescent="0.3">
      <c r="A7" s="3" t="s">
        <v>1</v>
      </c>
      <c r="B7" s="2">
        <v>11</v>
      </c>
      <c r="C7" s="2">
        <v>11</v>
      </c>
      <c r="D7" s="2">
        <v>4</v>
      </c>
      <c r="E7" s="8">
        <f>SUM(StateSenatorSenateDistrict48General[[#This Row],[Jefferson County Vote Results]:[Part of St. Lawrence County Vote Results]])</f>
        <v>26</v>
      </c>
      <c r="F7" s="10"/>
    </row>
    <row r="8" spans="1:6" ht="13.8" x14ac:dyDescent="0.3">
      <c r="A8" s="3" t="s">
        <v>6</v>
      </c>
      <c r="B8" s="2">
        <v>181</v>
      </c>
      <c r="C8" s="2">
        <v>390</v>
      </c>
      <c r="D8" s="2">
        <v>87</v>
      </c>
      <c r="E8" s="8">
        <f>SUM(StateSenatorSenateDistrict48General[[#This Row],[Jefferson County Vote Results]:[Part of St. Lawrence County Vote Results]])</f>
        <v>658</v>
      </c>
      <c r="F8" s="10"/>
    </row>
    <row r="9" spans="1:6" ht="13.8" x14ac:dyDescent="0.3">
      <c r="A9" s="11" t="s">
        <v>2</v>
      </c>
      <c r="B9" s="2">
        <f>SUM(StateSenatorSenateDistrict48General[Jefferson County Vote Results])</f>
        <v>44052</v>
      </c>
      <c r="C9" s="2">
        <f>SUM(StateSenatorSenateDistrict48General[Oswego County Vote Results])</f>
        <v>54755</v>
      </c>
      <c r="D9" s="2">
        <f>SUM(StateSenatorSenateDistrict48General[Part of St. Lawrence County Vote Results])</f>
        <v>23378</v>
      </c>
      <c r="E9" s="8">
        <f>SUM(StateSenatorSenateDistrict48General[Total Votes by Party])</f>
        <v>122185</v>
      </c>
      <c r="F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E9C-3E5F-4FD3-A760-58F06BF51719}">
  <dimension ref="A1:H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8" width="20.5546875" customWidth="1"/>
    <col min="9" max="10" width="23.5546875" customWidth="1"/>
  </cols>
  <sheetData>
    <row r="1" spans="1:8" ht="18" x14ac:dyDescent="0.25">
      <c r="A1" s="24" t="s">
        <v>291</v>
      </c>
    </row>
    <row r="2" spans="1:8" ht="27.6" x14ac:dyDescent="0.25">
      <c r="A2" s="4" t="s">
        <v>5</v>
      </c>
      <c r="B2" s="5" t="s">
        <v>45</v>
      </c>
      <c r="C2" s="5" t="s">
        <v>46</v>
      </c>
      <c r="D2" s="5" t="s">
        <v>48</v>
      </c>
      <c r="E2" s="5" t="s">
        <v>41</v>
      </c>
      <c r="F2" s="5" t="s">
        <v>275</v>
      </c>
      <c r="G2" s="6" t="s">
        <v>3</v>
      </c>
      <c r="H2" s="7" t="s">
        <v>4</v>
      </c>
    </row>
    <row r="3" spans="1:8" ht="13.8" x14ac:dyDescent="0.3">
      <c r="A3" s="1" t="s">
        <v>292</v>
      </c>
      <c r="B3" s="2">
        <v>5073</v>
      </c>
      <c r="C3" s="2">
        <v>763</v>
      </c>
      <c r="D3" s="2">
        <v>1382</v>
      </c>
      <c r="E3" s="2">
        <v>22190</v>
      </c>
      <c r="F3" s="2">
        <v>23373</v>
      </c>
      <c r="G3" s="8">
        <f>SUM(StateSenatorSenateDistrict49General[[#This Row],[Fulton County Vote Results]:[Part of Schenectady County Vote Results]])</f>
        <v>52781</v>
      </c>
      <c r="H3" s="9">
        <f>SUM(StateSenatorSenateDistrict49General[[#This Row],[Total Votes by Party]])</f>
        <v>52781</v>
      </c>
    </row>
    <row r="4" spans="1:8" ht="13.8" x14ac:dyDescent="0.3">
      <c r="A4" s="1" t="s">
        <v>293</v>
      </c>
      <c r="B4" s="2">
        <v>15553</v>
      </c>
      <c r="C4" s="2">
        <v>2290</v>
      </c>
      <c r="D4" s="2">
        <v>3835</v>
      </c>
      <c r="E4" s="2">
        <v>34874</v>
      </c>
      <c r="F4" s="2">
        <v>21852</v>
      </c>
      <c r="G4" s="8">
        <f>SUM(StateSenatorSenateDistrict49General[[#This Row],[Fulton County Vote Results]:[Part of Schenectady County Vote Results]])</f>
        <v>78404</v>
      </c>
      <c r="H4" s="9">
        <f>SUM(StateSenatorSenateDistrict49General[[#This Row],[Total Votes by Party]],G5,G6)</f>
        <v>91935</v>
      </c>
    </row>
    <row r="5" spans="1:8" ht="13.8" x14ac:dyDescent="0.3">
      <c r="A5" s="1" t="s">
        <v>294</v>
      </c>
      <c r="B5" s="2">
        <v>1531</v>
      </c>
      <c r="C5" s="2">
        <v>219</v>
      </c>
      <c r="D5" s="2">
        <v>327</v>
      </c>
      <c r="E5" s="2">
        <v>4429</v>
      </c>
      <c r="F5" s="2">
        <v>3476</v>
      </c>
      <c r="G5" s="8">
        <f>SUM(StateSenatorSenateDistrict49General[[#This Row],[Fulton County Vote Results]:[Part of Schenectady County Vote Results]])</f>
        <v>9982</v>
      </c>
      <c r="H5" s="10"/>
    </row>
    <row r="6" spans="1:8" ht="13.8" x14ac:dyDescent="0.3">
      <c r="A6" s="1" t="s">
        <v>295</v>
      </c>
      <c r="B6" s="2">
        <v>401</v>
      </c>
      <c r="C6" s="2">
        <v>52</v>
      </c>
      <c r="D6" s="2">
        <v>49</v>
      </c>
      <c r="E6" s="2">
        <v>1729</v>
      </c>
      <c r="F6" s="2">
        <v>1318</v>
      </c>
      <c r="G6" s="8">
        <f>SUM(StateSenatorSenateDistrict49General[[#This Row],[Fulton County Vote Results]:[Part of Schenectady County Vote Results]])</f>
        <v>3549</v>
      </c>
      <c r="H6" s="10"/>
    </row>
    <row r="7" spans="1:8" ht="13.8" x14ac:dyDescent="0.3">
      <c r="A7" s="3" t="s">
        <v>0</v>
      </c>
      <c r="B7" s="2">
        <v>1500</v>
      </c>
      <c r="C7" s="2">
        <v>165</v>
      </c>
      <c r="D7" s="2">
        <v>568</v>
      </c>
      <c r="E7" s="2">
        <v>1892</v>
      </c>
      <c r="F7" s="2">
        <v>2114</v>
      </c>
      <c r="G7" s="8">
        <f>SUM(StateSenatorSenateDistrict49General[[#This Row],[Fulton County Vote Results]:[Part of Schenectady County Vote Results]])</f>
        <v>6239</v>
      </c>
      <c r="H7" s="10"/>
    </row>
    <row r="8" spans="1:8" ht="13.8" x14ac:dyDescent="0.3">
      <c r="A8" s="3" t="s">
        <v>1</v>
      </c>
      <c r="B8" s="2">
        <v>4</v>
      </c>
      <c r="C8" s="2">
        <v>0</v>
      </c>
      <c r="D8" s="2">
        <v>5</v>
      </c>
      <c r="E8" s="2">
        <v>11</v>
      </c>
      <c r="F8" s="2">
        <v>31</v>
      </c>
      <c r="G8" s="8">
        <f>SUM(StateSenatorSenateDistrict49General[[#This Row],[Fulton County Vote Results]:[Part of Schenectady County Vote Results]])</f>
        <v>51</v>
      </c>
      <c r="H8" s="10"/>
    </row>
    <row r="9" spans="1:8" ht="13.8" x14ac:dyDescent="0.3">
      <c r="A9" s="3" t="s">
        <v>6</v>
      </c>
      <c r="B9" s="2">
        <v>10</v>
      </c>
      <c r="C9" s="2">
        <v>0</v>
      </c>
      <c r="D9" s="2">
        <v>2</v>
      </c>
      <c r="E9" s="2">
        <v>20</v>
      </c>
      <c r="F9" s="2">
        <v>41</v>
      </c>
      <c r="G9" s="8">
        <f>SUM(StateSenatorSenateDistrict49General[[#This Row],[Fulton County Vote Results]:[Part of Schenectady County Vote Results]])</f>
        <v>73</v>
      </c>
      <c r="H9" s="10"/>
    </row>
    <row r="10" spans="1:8" ht="13.8" x14ac:dyDescent="0.3">
      <c r="A10" s="11" t="s">
        <v>2</v>
      </c>
      <c r="B10" s="2">
        <f>SUM(StateSenatorSenateDistrict49General[Fulton County Vote Results])</f>
        <v>24072</v>
      </c>
      <c r="C10" s="2">
        <f>SUM(StateSenatorSenateDistrict49General[Hamilton County Vote Results])</f>
        <v>3489</v>
      </c>
      <c r="D10" s="2">
        <f>SUM(StateSenatorSenateDistrict49General[Part of Herkimer County Vote Results])</f>
        <v>6168</v>
      </c>
      <c r="E10" s="2">
        <f>SUM(StateSenatorSenateDistrict49General[Part of Saratoga County Vote Results])</f>
        <v>65145</v>
      </c>
      <c r="F10" s="2">
        <f>SUM(StateSenatorSenateDistrict49General[Part of Schenectady County Vote Results])</f>
        <v>52205</v>
      </c>
      <c r="G10" s="8">
        <f>SUM(StateSenatorSenateDistrict49General[Total Votes by Party])</f>
        <v>151079</v>
      </c>
      <c r="H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D7D2-FA3D-4DC1-99E7-8234ECAF0CAB}">
  <dimension ref="A1:E13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4" t="s">
        <v>74</v>
      </c>
    </row>
    <row r="2" spans="1:5" ht="27.6" x14ac:dyDescent="0.25">
      <c r="A2" s="4" t="s">
        <v>5</v>
      </c>
      <c r="B2" s="5" t="s">
        <v>29</v>
      </c>
      <c r="C2" s="5" t="s">
        <v>28</v>
      </c>
      <c r="D2" s="6" t="s">
        <v>3</v>
      </c>
      <c r="E2" s="7" t="s">
        <v>4</v>
      </c>
    </row>
    <row r="3" spans="1:5" ht="13.8" x14ac:dyDescent="0.3">
      <c r="A3" s="1" t="s">
        <v>75</v>
      </c>
      <c r="B3" s="15">
        <v>43682</v>
      </c>
      <c r="C3" s="15">
        <v>40351</v>
      </c>
      <c r="D3" s="8">
        <f>SUM(StateSenatorSenateDistrict5General[[#This Row],[Part of Nassau County Vote Results]:[Part of Suffolk County Vote Results]])</f>
        <v>84033</v>
      </c>
      <c r="E3" s="9">
        <f>SUM(StateSenatorSenateDistrict5General[[#This Row],[Total Votes by Party]],D9)</f>
        <v>84374</v>
      </c>
    </row>
    <row r="4" spans="1:5" ht="13.8" x14ac:dyDescent="0.3">
      <c r="A4" s="1" t="s">
        <v>76</v>
      </c>
      <c r="B4" s="15">
        <v>36572</v>
      </c>
      <c r="C4" s="15">
        <v>35238</v>
      </c>
      <c r="D4" s="8">
        <f>SUM(StateSenatorSenateDistrict5General[[#This Row],[Part of Nassau County Vote Results]:[Part of Suffolk County Vote Results]])</f>
        <v>71810</v>
      </c>
      <c r="E4" s="9">
        <f>SUM(StateSenatorSenateDistrict5General[[#This Row],[Total Votes by Party]],D5,D7,D8)</f>
        <v>81239</v>
      </c>
    </row>
    <row r="5" spans="1:5" ht="13.8" x14ac:dyDescent="0.3">
      <c r="A5" s="1" t="s">
        <v>77</v>
      </c>
      <c r="B5" s="15">
        <v>3173</v>
      </c>
      <c r="C5" s="15">
        <v>4191</v>
      </c>
      <c r="D5" s="8">
        <f>SUM(StateSenatorSenateDistrict5General[[#This Row],[Part of Nassau County Vote Results]:[Part of Suffolk County Vote Results]])</f>
        <v>7364</v>
      </c>
      <c r="E5" s="10"/>
    </row>
    <row r="6" spans="1:5" ht="13.8" x14ac:dyDescent="0.3">
      <c r="A6" s="1" t="s">
        <v>78</v>
      </c>
      <c r="B6" s="15">
        <v>794</v>
      </c>
      <c r="C6" s="15">
        <v>1034</v>
      </c>
      <c r="D6" s="8">
        <f>SUM(StateSenatorSenateDistrict5General[[#This Row],[Part of Nassau County Vote Results]:[Part of Suffolk County Vote Results]])</f>
        <v>1828</v>
      </c>
      <c r="E6" s="9">
        <f>SUM(StateSenatorSenateDistrict5General[[#This Row],[Total Votes by Party]])</f>
        <v>1828</v>
      </c>
    </row>
    <row r="7" spans="1:5" ht="13.8" x14ac:dyDescent="0.3">
      <c r="A7" s="1" t="s">
        <v>79</v>
      </c>
      <c r="B7" s="15">
        <v>311</v>
      </c>
      <c r="C7" s="15">
        <v>429</v>
      </c>
      <c r="D7" s="8">
        <f>SUM(StateSenatorSenateDistrict5General[[#This Row],[Part of Nassau County Vote Results]:[Part of Suffolk County Vote Results]])</f>
        <v>740</v>
      </c>
      <c r="E7" s="10"/>
    </row>
    <row r="8" spans="1:5" ht="13.8" x14ac:dyDescent="0.3">
      <c r="A8" s="1" t="s">
        <v>80</v>
      </c>
      <c r="B8" s="15">
        <v>551</v>
      </c>
      <c r="C8" s="15">
        <v>774</v>
      </c>
      <c r="D8" s="8">
        <f>SUM(StateSenatorSenateDistrict5General[[#This Row],[Part of Nassau County Vote Results]:[Part of Suffolk County Vote Results]])</f>
        <v>1325</v>
      </c>
      <c r="E8" s="10"/>
    </row>
    <row r="9" spans="1:5" ht="13.8" x14ac:dyDescent="0.3">
      <c r="A9" s="1" t="s">
        <v>81</v>
      </c>
      <c r="B9" s="15">
        <v>138</v>
      </c>
      <c r="C9" s="15">
        <v>203</v>
      </c>
      <c r="D9" s="8">
        <f>SUM(StateSenatorSenateDistrict5General[[#This Row],[Part of Nassau County Vote Results]:[Part of Suffolk County Vote Results]])</f>
        <v>341</v>
      </c>
      <c r="E9" s="10"/>
    </row>
    <row r="10" spans="1:5" ht="13.8" x14ac:dyDescent="0.3">
      <c r="A10" s="3" t="s">
        <v>0</v>
      </c>
      <c r="B10" s="15">
        <v>7603</v>
      </c>
      <c r="C10" s="15">
        <v>4979</v>
      </c>
      <c r="D10" s="8">
        <f>SUM(StateSenatorSenateDistrict5General[[#This Row],[Part of Nassau County Vote Results]:[Part of Suffolk County Vote Results]])</f>
        <v>12582</v>
      </c>
      <c r="E10" s="10"/>
    </row>
    <row r="11" spans="1:5" ht="13.8" x14ac:dyDescent="0.3">
      <c r="A11" s="3" t="s">
        <v>1</v>
      </c>
      <c r="B11" s="15">
        <v>60</v>
      </c>
      <c r="C11" s="15">
        <v>36</v>
      </c>
      <c r="D11" s="8">
        <f>SUM(StateSenatorSenateDistrict5General[[#This Row],[Part of Nassau County Vote Results]:[Part of Suffolk County Vote Results]])</f>
        <v>96</v>
      </c>
      <c r="E11" s="10"/>
    </row>
    <row r="12" spans="1:5" ht="13.8" x14ac:dyDescent="0.3">
      <c r="A12" s="3" t="s">
        <v>6</v>
      </c>
      <c r="B12" s="15">
        <v>25</v>
      </c>
      <c r="C12" s="15">
        <v>12</v>
      </c>
      <c r="D12" s="8">
        <f>SUM(StateSenatorSenateDistrict5General[[#This Row],[Part of Nassau County Vote Results]:[Part of Suffolk County Vote Results]])</f>
        <v>37</v>
      </c>
      <c r="E12" s="10"/>
    </row>
    <row r="13" spans="1:5" ht="13.8" x14ac:dyDescent="0.3">
      <c r="A13" s="11" t="s">
        <v>2</v>
      </c>
      <c r="B13" s="15">
        <f>SUM(StateSenatorSenateDistrict5General[Part of Nassau County Vote Results])</f>
        <v>92909</v>
      </c>
      <c r="C13" s="15">
        <f>SUM(StateSenatorSenateDistrict5General[Part of Suffolk County Vote Results])</f>
        <v>87247</v>
      </c>
      <c r="D13" s="8">
        <f>SUM(StateSenatorSenateDistrict5General[Total Votes by Party])</f>
        <v>180156</v>
      </c>
      <c r="E13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960C-18E3-4AC0-BFCC-24735244A9A4}">
  <dimension ref="A1:E11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24" t="s">
        <v>296</v>
      </c>
    </row>
    <row r="2" spans="1:5" ht="27.6" x14ac:dyDescent="0.25">
      <c r="A2" s="4" t="s">
        <v>5</v>
      </c>
      <c r="B2" s="5" t="s">
        <v>297</v>
      </c>
      <c r="C2" s="5" t="s">
        <v>298</v>
      </c>
      <c r="D2" s="6" t="s">
        <v>3</v>
      </c>
      <c r="E2" s="7" t="s">
        <v>4</v>
      </c>
    </row>
    <row r="3" spans="1:5" ht="13.8" x14ac:dyDescent="0.3">
      <c r="A3" s="1" t="s">
        <v>299</v>
      </c>
      <c r="B3" s="15">
        <v>5116</v>
      </c>
      <c r="C3" s="15">
        <v>71967</v>
      </c>
      <c r="D3" s="8">
        <f>SUM(StateSenatorSenateDistrict50General[[#This Row],[Part of Cayuga County Vote Results]:[Part of Onondaga County Vote Results]])</f>
        <v>77083</v>
      </c>
      <c r="E3" s="9">
        <f>SUM(StateSenatorSenateDistrict50General[[#This Row],[Total Votes by Party]],D6)</f>
        <v>82955</v>
      </c>
    </row>
    <row r="4" spans="1:5" ht="13.8" x14ac:dyDescent="0.3">
      <c r="A4" s="1" t="s">
        <v>300</v>
      </c>
      <c r="B4" s="15">
        <v>5917</v>
      </c>
      <c r="C4" s="15">
        <v>56871</v>
      </c>
      <c r="D4" s="8">
        <f>SUM(StateSenatorSenateDistrict50General[[#This Row],[Part of Cayuga County Vote Results]:[Part of Onondaga County Vote Results]])</f>
        <v>62788</v>
      </c>
      <c r="E4" s="9">
        <f>SUM(StateSenatorSenateDistrict50General[[#This Row],[Total Votes by Party]],D5,D7)</f>
        <v>74873</v>
      </c>
    </row>
    <row r="5" spans="1:5" ht="13.8" x14ac:dyDescent="0.3">
      <c r="A5" s="1" t="s">
        <v>301</v>
      </c>
      <c r="B5" s="15">
        <v>809</v>
      </c>
      <c r="C5" s="15">
        <v>8976</v>
      </c>
      <c r="D5" s="8">
        <f>SUM(StateSenatorSenateDistrict50General[[#This Row],[Part of Cayuga County Vote Results]:[Part of Onondaga County Vote Results]])</f>
        <v>9785</v>
      </c>
      <c r="E5" s="10"/>
    </row>
    <row r="6" spans="1:5" ht="13.8" x14ac:dyDescent="0.3">
      <c r="A6" s="1" t="s">
        <v>302</v>
      </c>
      <c r="B6" s="15">
        <v>422</v>
      </c>
      <c r="C6" s="15">
        <v>5450</v>
      </c>
      <c r="D6" s="8">
        <f>SUM(StateSenatorSenateDistrict50General[[#This Row],[Part of Cayuga County Vote Results]:[Part of Onondaga County Vote Results]])</f>
        <v>5872</v>
      </c>
      <c r="E6" s="10"/>
    </row>
    <row r="7" spans="1:5" ht="13.8" x14ac:dyDescent="0.3">
      <c r="A7" s="1" t="s">
        <v>303</v>
      </c>
      <c r="B7" s="15">
        <v>165</v>
      </c>
      <c r="C7" s="15">
        <v>2135</v>
      </c>
      <c r="D7" s="8">
        <f>SUM(StateSenatorSenateDistrict50General[[#This Row],[Part of Cayuga County Vote Results]:[Part of Onondaga County Vote Results]])</f>
        <v>2300</v>
      </c>
      <c r="E7" s="10"/>
    </row>
    <row r="8" spans="1:5" ht="13.8" x14ac:dyDescent="0.3">
      <c r="A8" s="3" t="s">
        <v>0</v>
      </c>
      <c r="B8" s="15">
        <v>939</v>
      </c>
      <c r="C8" s="15">
        <v>4292</v>
      </c>
      <c r="D8" s="8">
        <f>SUM(StateSenatorSenateDistrict50General[[#This Row],[Part of Cayuga County Vote Results]:[Part of Onondaga County Vote Results]])</f>
        <v>5231</v>
      </c>
      <c r="E8" s="10"/>
    </row>
    <row r="9" spans="1:5" ht="13.8" x14ac:dyDescent="0.3">
      <c r="A9" s="3" t="s">
        <v>1</v>
      </c>
      <c r="B9" s="15">
        <v>4</v>
      </c>
      <c r="C9" s="15">
        <v>8</v>
      </c>
      <c r="D9" s="8">
        <f>SUM(StateSenatorSenateDistrict50General[[#This Row],[Part of Cayuga County Vote Results]:[Part of Onondaga County Vote Results]])</f>
        <v>12</v>
      </c>
      <c r="E9" s="10"/>
    </row>
    <row r="10" spans="1:5" ht="13.8" x14ac:dyDescent="0.3">
      <c r="A10" s="3" t="s">
        <v>6</v>
      </c>
      <c r="B10" s="15">
        <v>2</v>
      </c>
      <c r="C10" s="15">
        <v>48</v>
      </c>
      <c r="D10" s="8">
        <f>SUM(StateSenatorSenateDistrict50General[[#This Row],[Part of Cayuga County Vote Results]:[Part of Onondaga County Vote Results]])</f>
        <v>50</v>
      </c>
      <c r="E10" s="10"/>
    </row>
    <row r="11" spans="1:5" ht="13.8" x14ac:dyDescent="0.3">
      <c r="A11" s="11" t="s">
        <v>2</v>
      </c>
      <c r="B11" s="2">
        <f>SUM(StateSenatorSenateDistrict50General[Part of Cayuga County Vote Results])</f>
        <v>13374</v>
      </c>
      <c r="C11" s="15">
        <f>SUM(StateSenatorSenateDistrict50General[Part of Onondaga County Vote Results])</f>
        <v>149747</v>
      </c>
      <c r="D11" s="8">
        <f>SUM(StateSenatorSenateDistrict50General[Total Votes by Party])</f>
        <v>163121</v>
      </c>
      <c r="E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324B-5AE5-4360-9504-D9DF69BD10EF}">
  <dimension ref="A1:L10"/>
  <sheetViews>
    <sheetView workbookViewId="0">
      <pane xSplit="1" topLeftCell="B1" activePane="topRight" state="frozen"/>
      <selection activeCell="B3" sqref="B3:B10"/>
      <selection pane="topRight" activeCell="B3" sqref="B3:B10"/>
    </sheetView>
  </sheetViews>
  <sheetFormatPr defaultRowHeight="13.2" x14ac:dyDescent="0.25"/>
  <cols>
    <col min="1" max="1" width="25.5546875" customWidth="1"/>
    <col min="2" max="12" width="20.5546875" customWidth="1"/>
    <col min="13" max="14" width="23.5546875" customWidth="1"/>
  </cols>
  <sheetData>
    <row r="1" spans="1:12" ht="18" x14ac:dyDescent="0.25">
      <c r="A1" s="24" t="s">
        <v>304</v>
      </c>
    </row>
    <row r="2" spans="1:12" ht="27.6" x14ac:dyDescent="0.25">
      <c r="A2" s="4" t="s">
        <v>5</v>
      </c>
      <c r="B2" s="5" t="s">
        <v>12</v>
      </c>
      <c r="C2" s="5" t="s">
        <v>14</v>
      </c>
      <c r="D2" s="5" t="s">
        <v>38</v>
      </c>
      <c r="E2" s="5" t="s">
        <v>297</v>
      </c>
      <c r="F2" s="5" t="s">
        <v>305</v>
      </c>
      <c r="G2" s="5" t="s">
        <v>246</v>
      </c>
      <c r="H2" s="5" t="s">
        <v>48</v>
      </c>
      <c r="I2" s="5" t="s">
        <v>306</v>
      </c>
      <c r="J2" s="5" t="s">
        <v>223</v>
      </c>
      <c r="K2" s="6" t="s">
        <v>3</v>
      </c>
      <c r="L2" s="7" t="s">
        <v>4</v>
      </c>
    </row>
    <row r="3" spans="1:12" ht="13.8" x14ac:dyDescent="0.3">
      <c r="A3" s="1" t="s">
        <v>307</v>
      </c>
      <c r="B3" s="2">
        <v>9681</v>
      </c>
      <c r="C3" s="2">
        <v>11679</v>
      </c>
      <c r="D3" s="2">
        <v>6257</v>
      </c>
      <c r="E3" s="15">
        <v>2324</v>
      </c>
      <c r="F3" s="2">
        <v>1951</v>
      </c>
      <c r="G3" s="2">
        <v>5750</v>
      </c>
      <c r="H3" s="2">
        <v>7088</v>
      </c>
      <c r="I3" s="15">
        <v>8601</v>
      </c>
      <c r="J3" s="2">
        <v>5354</v>
      </c>
      <c r="K3" s="8">
        <f>SUM(StateSenatorSenateDistrict51General[[#This Row],[Cortland County Vote Results]:[Part of Ulster County Vote Results]])</f>
        <v>58685</v>
      </c>
      <c r="L3" s="9">
        <f>SUM(StateSenatorSenateDistrict51General[[#This Row],[Total Votes by Party]])</f>
        <v>58685</v>
      </c>
    </row>
    <row r="4" spans="1:12" ht="13.8" x14ac:dyDescent="0.3">
      <c r="A4" s="1" t="s">
        <v>308</v>
      </c>
      <c r="B4" s="2">
        <v>9769</v>
      </c>
      <c r="C4" s="2">
        <v>13755</v>
      </c>
      <c r="D4" s="2">
        <v>8062</v>
      </c>
      <c r="E4" s="15">
        <v>3132</v>
      </c>
      <c r="F4" s="2">
        <v>3806</v>
      </c>
      <c r="G4" s="2">
        <v>6735</v>
      </c>
      <c r="H4" s="2">
        <v>12715</v>
      </c>
      <c r="I4" s="15">
        <v>4639</v>
      </c>
      <c r="J4" s="2">
        <v>2916</v>
      </c>
      <c r="K4" s="8">
        <f>SUM(StateSenatorSenateDistrict51General[[#This Row],[Cortland County Vote Results]:[Part of Ulster County Vote Results]])</f>
        <v>65529</v>
      </c>
      <c r="L4" s="9">
        <f>SUM(StateSenatorSenateDistrict51General[[#This Row],[Total Votes by Party]],K5,K6)</f>
        <v>72997</v>
      </c>
    </row>
    <row r="5" spans="1:12" ht="13.8" x14ac:dyDescent="0.3">
      <c r="A5" s="1" t="s">
        <v>309</v>
      </c>
      <c r="B5" s="2">
        <v>811</v>
      </c>
      <c r="C5" s="2">
        <v>936</v>
      </c>
      <c r="D5" s="2">
        <v>789</v>
      </c>
      <c r="E5" s="15">
        <v>339</v>
      </c>
      <c r="F5" s="2">
        <v>266</v>
      </c>
      <c r="G5" s="2">
        <v>412</v>
      </c>
      <c r="H5" s="2">
        <v>1171</v>
      </c>
      <c r="I5" s="15">
        <v>388</v>
      </c>
      <c r="J5" s="2">
        <v>335</v>
      </c>
      <c r="K5" s="8">
        <f>SUM(StateSenatorSenateDistrict51General[[#This Row],[Cortland County Vote Results]:[Part of Ulster County Vote Results]])</f>
        <v>5447</v>
      </c>
      <c r="L5" s="10"/>
    </row>
    <row r="6" spans="1:12" ht="13.8" x14ac:dyDescent="0.3">
      <c r="A6" s="1" t="s">
        <v>310</v>
      </c>
      <c r="B6" s="2">
        <v>403</v>
      </c>
      <c r="C6" s="2">
        <v>437</v>
      </c>
      <c r="D6" s="2">
        <v>158</v>
      </c>
      <c r="E6" s="15">
        <v>75</v>
      </c>
      <c r="F6" s="2">
        <v>120</v>
      </c>
      <c r="G6" s="2">
        <v>185</v>
      </c>
      <c r="H6" s="2">
        <v>309</v>
      </c>
      <c r="I6" s="15">
        <v>236</v>
      </c>
      <c r="J6" s="2">
        <v>98</v>
      </c>
      <c r="K6" s="8">
        <f>SUM(StateSenatorSenateDistrict51General[[#This Row],[Cortland County Vote Results]:[Part of Ulster County Vote Results]])</f>
        <v>2021</v>
      </c>
      <c r="L6" s="10"/>
    </row>
    <row r="7" spans="1:12" ht="13.8" x14ac:dyDescent="0.3">
      <c r="A7" s="3" t="s">
        <v>0</v>
      </c>
      <c r="B7" s="2">
        <v>1219</v>
      </c>
      <c r="C7" s="2">
        <v>1182</v>
      </c>
      <c r="D7" s="2">
        <v>535</v>
      </c>
      <c r="E7" s="15">
        <v>472</v>
      </c>
      <c r="F7" s="2">
        <v>437</v>
      </c>
      <c r="G7" s="2">
        <v>476</v>
      </c>
      <c r="H7" s="2">
        <v>2085</v>
      </c>
      <c r="I7" s="15">
        <v>690</v>
      </c>
      <c r="J7" s="2">
        <v>361</v>
      </c>
      <c r="K7" s="8">
        <f>SUM(StateSenatorSenateDistrict51General[[#This Row],[Cortland County Vote Results]:[Part of Ulster County Vote Results]])</f>
        <v>7457</v>
      </c>
      <c r="L7" s="10"/>
    </row>
    <row r="8" spans="1:12" ht="13.8" x14ac:dyDescent="0.3">
      <c r="A8" s="3" t="s">
        <v>1</v>
      </c>
      <c r="B8" s="2">
        <v>3</v>
      </c>
      <c r="C8" s="2">
        <v>2</v>
      </c>
      <c r="D8" s="2">
        <v>5</v>
      </c>
      <c r="E8" s="15">
        <v>2</v>
      </c>
      <c r="F8" s="2">
        <v>2</v>
      </c>
      <c r="G8" s="2">
        <v>0</v>
      </c>
      <c r="H8" s="2">
        <v>21</v>
      </c>
      <c r="I8" s="15">
        <v>7</v>
      </c>
      <c r="J8" s="2">
        <v>1</v>
      </c>
      <c r="K8" s="8">
        <f>SUM(StateSenatorSenateDistrict51General[[#This Row],[Cortland County Vote Results]:[Part of Ulster County Vote Results]])</f>
        <v>43</v>
      </c>
      <c r="L8" s="10"/>
    </row>
    <row r="9" spans="1:12" ht="12" customHeight="1" x14ac:dyDescent="0.3">
      <c r="A9" s="3" t="s">
        <v>6</v>
      </c>
      <c r="B9" s="2">
        <v>6</v>
      </c>
      <c r="C9" s="2">
        <v>130</v>
      </c>
      <c r="D9" s="2">
        <v>4</v>
      </c>
      <c r="E9" s="15">
        <v>5</v>
      </c>
      <c r="F9" s="2">
        <v>6</v>
      </c>
      <c r="G9" s="2">
        <v>13</v>
      </c>
      <c r="H9" s="2">
        <v>3</v>
      </c>
      <c r="I9" s="15">
        <v>5</v>
      </c>
      <c r="J9" s="2">
        <v>8</v>
      </c>
      <c r="K9" s="8">
        <f>SUM(StateSenatorSenateDistrict51General[[#This Row],[Cortland County Vote Results]:[Part of Ulster County Vote Results]])</f>
        <v>180</v>
      </c>
      <c r="L9" s="10"/>
    </row>
    <row r="10" spans="1:12" ht="13.8" x14ac:dyDescent="0.3">
      <c r="A10" s="11" t="s">
        <v>2</v>
      </c>
      <c r="B10" s="2">
        <f>SUM(StateSenatorSenateDistrict51General[Cortland County Vote Results])</f>
        <v>21892</v>
      </c>
      <c r="C10" s="2">
        <f>SUM(StateSenatorSenateDistrict51General[Otsego County Vote Results])</f>
        <v>28121</v>
      </c>
      <c r="D10" s="2">
        <f>SUM(StateSenatorSenateDistrict51General[Schoharie County Vote Results])</f>
        <v>15810</v>
      </c>
      <c r="E10" s="2">
        <f>SUM(StateSenatorSenateDistrict51General[Part of Cayuga County Vote Results])</f>
        <v>6349</v>
      </c>
      <c r="F10" s="2">
        <f>SUM(StateSenatorSenateDistrict51General[Part of Chenango County Vote Results])</f>
        <v>6588</v>
      </c>
      <c r="G10" s="2">
        <f>SUM(StateSenatorSenateDistrict51General[Part of Delaware County Vote Results])</f>
        <v>13571</v>
      </c>
      <c r="H10" s="2">
        <f>SUM(StateSenatorSenateDistrict51General[Part of Herkimer County Vote Results])</f>
        <v>23392</v>
      </c>
      <c r="I10" s="2">
        <f>SUM(StateSenatorSenateDistrict51General[Part of Tompkins County Vote Results])</f>
        <v>14566</v>
      </c>
      <c r="J10" s="2">
        <f>SUM(StateSenatorSenateDistrict51General[Part of Ulster County Vote Results])</f>
        <v>9073</v>
      </c>
      <c r="K10" s="8">
        <f>SUM(StateSenatorSenateDistrict51General[Total Votes by Party])</f>
        <v>139362</v>
      </c>
      <c r="L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BD6C9-65D7-4824-923E-327A54444348}">
  <dimension ref="A1:G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18" x14ac:dyDescent="0.25">
      <c r="A1" s="24" t="s">
        <v>311</v>
      </c>
    </row>
    <row r="2" spans="1:7" ht="27.6" x14ac:dyDescent="0.25">
      <c r="A2" s="4" t="s">
        <v>5</v>
      </c>
      <c r="B2" s="5" t="s">
        <v>10</v>
      </c>
      <c r="C2" s="5" t="s">
        <v>16</v>
      </c>
      <c r="D2" s="5" t="s">
        <v>305</v>
      </c>
      <c r="E2" s="5" t="s">
        <v>246</v>
      </c>
      <c r="F2" s="6" t="s">
        <v>3</v>
      </c>
      <c r="G2" s="7" t="s">
        <v>4</v>
      </c>
    </row>
    <row r="3" spans="1:7" ht="13.8" x14ac:dyDescent="0.3">
      <c r="A3" s="1" t="s">
        <v>312</v>
      </c>
      <c r="B3" s="2">
        <v>52784</v>
      </c>
      <c r="C3" s="15">
        <v>16224</v>
      </c>
      <c r="D3" s="2">
        <v>10188</v>
      </c>
      <c r="E3" s="2">
        <v>1546</v>
      </c>
      <c r="F3" s="8">
        <f>SUM(StateSenatorSenateDistrict52General[[#This Row],[Broome County Vote Results]:[Part of Delaware County Vote Results]])</f>
        <v>80742</v>
      </c>
      <c r="G3" s="9">
        <f>SUM(StateSenatorSenateDistrict52General[[#This Row],[Total Votes by Party]],F4,F6)</f>
        <v>96052</v>
      </c>
    </row>
    <row r="4" spans="1:7" ht="13.8" x14ac:dyDescent="0.3">
      <c r="A4" s="1" t="s">
        <v>313</v>
      </c>
      <c r="B4" s="2">
        <v>4665</v>
      </c>
      <c r="C4" s="15">
        <v>1288</v>
      </c>
      <c r="D4" s="2">
        <v>835</v>
      </c>
      <c r="E4" s="2">
        <v>88</v>
      </c>
      <c r="F4" s="8">
        <f>SUM(StateSenatorSenateDistrict52General[[#This Row],[Broome County Vote Results]:[Part of Delaware County Vote Results]])</f>
        <v>6876</v>
      </c>
      <c r="G4" s="10"/>
    </row>
    <row r="5" spans="1:7" ht="13.8" x14ac:dyDescent="0.3">
      <c r="A5" s="1" t="s">
        <v>314</v>
      </c>
      <c r="B5" s="2">
        <v>9772</v>
      </c>
      <c r="C5" s="15">
        <v>2524</v>
      </c>
      <c r="D5" s="2">
        <v>1387</v>
      </c>
      <c r="E5" s="2">
        <v>120</v>
      </c>
      <c r="F5" s="8">
        <f>SUM(StateSenatorSenateDistrict52General[[#This Row],[Broome County Vote Results]:[Part of Delaware County Vote Results]])</f>
        <v>13803</v>
      </c>
      <c r="G5" s="9">
        <f>SUM(StateSenatorSenateDistrict52General[[#This Row],[Total Votes by Party]])</f>
        <v>13803</v>
      </c>
    </row>
    <row r="6" spans="1:7" ht="13.8" x14ac:dyDescent="0.3">
      <c r="A6" s="1" t="s">
        <v>315</v>
      </c>
      <c r="B6" s="2">
        <v>6154</v>
      </c>
      <c r="C6" s="15">
        <v>1278</v>
      </c>
      <c r="D6" s="2">
        <v>917</v>
      </c>
      <c r="E6" s="2">
        <v>85</v>
      </c>
      <c r="F6" s="8">
        <f>SUM(StateSenatorSenateDistrict52General[[#This Row],[Broome County Vote Results]:[Part of Delaware County Vote Results]])</f>
        <v>8434</v>
      </c>
      <c r="G6" s="10"/>
    </row>
    <row r="7" spans="1:7" ht="13.8" x14ac:dyDescent="0.3">
      <c r="A7" s="3" t="s">
        <v>0</v>
      </c>
      <c r="B7" s="2">
        <v>19268</v>
      </c>
      <c r="C7" s="15">
        <v>3646</v>
      </c>
      <c r="D7" s="2">
        <v>2359</v>
      </c>
      <c r="E7" s="2">
        <v>302</v>
      </c>
      <c r="F7" s="8">
        <f>SUM(StateSenatorSenateDistrict52General[[#This Row],[Broome County Vote Results]:[Part of Delaware County Vote Results]])</f>
        <v>25575</v>
      </c>
      <c r="G7" s="10"/>
    </row>
    <row r="8" spans="1:7" ht="13.8" x14ac:dyDescent="0.3">
      <c r="A8" s="3" t="s">
        <v>1</v>
      </c>
      <c r="B8" s="2">
        <v>63</v>
      </c>
      <c r="C8" s="15">
        <v>9</v>
      </c>
      <c r="D8" s="2">
        <v>5</v>
      </c>
      <c r="E8" s="2">
        <v>0</v>
      </c>
      <c r="F8" s="8">
        <f>SUM(StateSenatorSenateDistrict52General[[#This Row],[Broome County Vote Results]:[Part of Delaware County Vote Results]])</f>
        <v>77</v>
      </c>
      <c r="G8" s="10"/>
    </row>
    <row r="9" spans="1:7" ht="13.8" x14ac:dyDescent="0.3">
      <c r="A9" s="3" t="s">
        <v>6</v>
      </c>
      <c r="B9" s="2">
        <v>752</v>
      </c>
      <c r="C9" s="15">
        <f>111+53</f>
        <v>164</v>
      </c>
      <c r="D9" s="2">
        <v>94</v>
      </c>
      <c r="E9" s="2">
        <v>3</v>
      </c>
      <c r="F9" s="8">
        <f>SUM(StateSenatorSenateDistrict52General[[#This Row],[Broome County Vote Results]:[Part of Delaware County Vote Results]])</f>
        <v>1013</v>
      </c>
      <c r="G9" s="10"/>
    </row>
    <row r="10" spans="1:7" ht="13.8" x14ac:dyDescent="0.3">
      <c r="A10" s="11" t="s">
        <v>2</v>
      </c>
      <c r="B10" s="2">
        <f>SUM(StateSenatorSenateDistrict52General[Broome County Vote Results])</f>
        <v>93458</v>
      </c>
      <c r="C10" s="2">
        <f>SUM(StateSenatorSenateDistrict52General[Tioga County Vote Results])</f>
        <v>25133</v>
      </c>
      <c r="D10" s="2">
        <f>SUM(StateSenatorSenateDistrict52General[Part of Chenango County Vote Results])</f>
        <v>15785</v>
      </c>
      <c r="E10" s="2">
        <f>SUM(StateSenatorSenateDistrict52General[Part of Delaware County Vote Results])</f>
        <v>2144</v>
      </c>
      <c r="F10" s="8">
        <f>SUM(StateSenatorSenateDistrict52General[Total Votes by Party])</f>
        <v>136520</v>
      </c>
      <c r="G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4BB8-3623-4EC2-8D6B-3F264FEB8473}">
  <dimension ref="A1:F13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24" t="s">
        <v>316</v>
      </c>
    </row>
    <row r="2" spans="1:6" ht="27.6" x14ac:dyDescent="0.25">
      <c r="A2" s="4" t="s">
        <v>5</v>
      </c>
      <c r="B2" s="5" t="s">
        <v>13</v>
      </c>
      <c r="C2" s="5" t="s">
        <v>283</v>
      </c>
      <c r="D2" s="5" t="s">
        <v>298</v>
      </c>
      <c r="E2" s="6" t="s">
        <v>3</v>
      </c>
      <c r="F2" s="7" t="s">
        <v>4</v>
      </c>
    </row>
    <row r="3" spans="1:6" ht="13.8" x14ac:dyDescent="0.3">
      <c r="A3" s="1" t="s">
        <v>317</v>
      </c>
      <c r="B3" s="2">
        <v>11938</v>
      </c>
      <c r="C3" s="2">
        <v>2729</v>
      </c>
      <c r="D3" s="15">
        <v>46978</v>
      </c>
      <c r="E3" s="8">
        <f>SUM(StateSenatorSenateDistrict53General[[#This Row],[Madison County Vote Results]:[Part of Onondaga County Vote Results]])</f>
        <v>61645</v>
      </c>
      <c r="F3" s="9">
        <f>SUM(StateSenatorSenateDistrict53General[[#This Row],[Total Votes by Party]],E6)</f>
        <v>66643</v>
      </c>
    </row>
    <row r="4" spans="1:6" ht="13.8" x14ac:dyDescent="0.3">
      <c r="A4" s="1" t="s">
        <v>318</v>
      </c>
      <c r="B4" s="2">
        <v>16929</v>
      </c>
      <c r="C4" s="2">
        <v>2218</v>
      </c>
      <c r="D4" s="15">
        <v>26334</v>
      </c>
      <c r="E4" s="8">
        <f>SUM(StateSenatorSenateDistrict53General[[#This Row],[Madison County Vote Results]:[Part of Onondaga County Vote Results]])</f>
        <v>45481</v>
      </c>
      <c r="F4" s="9">
        <f>SUM(StateSenatorSenateDistrict53General[[#This Row],[Total Votes by Party]],E5,E8,E9)</f>
        <v>53734</v>
      </c>
    </row>
    <row r="5" spans="1:6" ht="13.8" x14ac:dyDescent="0.3">
      <c r="A5" s="1" t="s">
        <v>319</v>
      </c>
      <c r="B5" s="2">
        <v>1624</v>
      </c>
      <c r="C5" s="2">
        <v>242</v>
      </c>
      <c r="D5" s="15">
        <v>4203</v>
      </c>
      <c r="E5" s="8">
        <f>SUM(StateSenatorSenateDistrict53General[[#This Row],[Madison County Vote Results]:[Part of Onondaga County Vote Results]])</f>
        <v>6069</v>
      </c>
      <c r="F5" s="10"/>
    </row>
    <row r="6" spans="1:6" ht="13.8" x14ac:dyDescent="0.3">
      <c r="A6" s="1" t="s">
        <v>320</v>
      </c>
      <c r="B6" s="2">
        <v>1011</v>
      </c>
      <c r="C6" s="2">
        <v>284</v>
      </c>
      <c r="D6" s="15">
        <v>3703</v>
      </c>
      <c r="E6" s="8">
        <f>SUM(StateSenatorSenateDistrict53General[[#This Row],[Madison County Vote Results]:[Part of Onondaga County Vote Results]])</f>
        <v>4998</v>
      </c>
      <c r="F6" s="10"/>
    </row>
    <row r="7" spans="1:6" ht="13.8" x14ac:dyDescent="0.3">
      <c r="A7" s="1" t="s">
        <v>321</v>
      </c>
      <c r="B7" s="2">
        <v>394</v>
      </c>
      <c r="C7" s="2">
        <v>60</v>
      </c>
      <c r="D7" s="15">
        <v>792</v>
      </c>
      <c r="E7" s="8">
        <f>SUM(StateSenatorSenateDistrict53General[[#This Row],[Madison County Vote Results]:[Part of Onondaga County Vote Results]])</f>
        <v>1246</v>
      </c>
      <c r="F7" s="9">
        <f>SUM(StateSenatorSenateDistrict53General[[#This Row],[Total Votes by Party]])</f>
        <v>1246</v>
      </c>
    </row>
    <row r="8" spans="1:6" ht="13.8" x14ac:dyDescent="0.3">
      <c r="A8" s="3" t="s">
        <v>322</v>
      </c>
      <c r="B8" s="2">
        <v>657</v>
      </c>
      <c r="C8" s="2">
        <v>59</v>
      </c>
      <c r="D8" s="15">
        <v>1366</v>
      </c>
      <c r="E8" s="8">
        <f>SUM(StateSenatorSenateDistrict53General[[#This Row],[Madison County Vote Results]:[Part of Onondaga County Vote Results]])</f>
        <v>2082</v>
      </c>
      <c r="F8" s="12"/>
    </row>
    <row r="9" spans="1:6" ht="13.8" x14ac:dyDescent="0.3">
      <c r="A9" s="1" t="s">
        <v>323</v>
      </c>
      <c r="B9" s="2">
        <v>24</v>
      </c>
      <c r="C9" s="2">
        <v>4</v>
      </c>
      <c r="D9" s="15">
        <v>74</v>
      </c>
      <c r="E9" s="8">
        <f>SUM(StateSenatorSenateDistrict53General[[#This Row],[Madison County Vote Results]:[Part of Onondaga County Vote Results]])</f>
        <v>102</v>
      </c>
      <c r="F9" s="10"/>
    </row>
    <row r="10" spans="1:6" ht="13.8" x14ac:dyDescent="0.3">
      <c r="A10" s="3" t="s">
        <v>0</v>
      </c>
      <c r="B10" s="2">
        <v>1558</v>
      </c>
      <c r="C10" s="2">
        <v>462</v>
      </c>
      <c r="D10" s="15">
        <v>3649</v>
      </c>
      <c r="E10" s="8">
        <f>SUM(StateSenatorSenateDistrict53General[[#This Row],[Madison County Vote Results]:[Part of Onondaga County Vote Results]])</f>
        <v>5669</v>
      </c>
      <c r="F10" s="10"/>
    </row>
    <row r="11" spans="1:6" ht="13.8" x14ac:dyDescent="0.3">
      <c r="A11" s="3" t="s">
        <v>1</v>
      </c>
      <c r="B11" s="2">
        <v>1</v>
      </c>
      <c r="C11" s="2">
        <v>0</v>
      </c>
      <c r="D11" s="15">
        <v>13</v>
      </c>
      <c r="E11" s="8">
        <f>SUM(StateSenatorSenateDistrict53General[[#This Row],[Madison County Vote Results]:[Part of Onondaga County Vote Results]])</f>
        <v>14</v>
      </c>
      <c r="F11" s="10"/>
    </row>
    <row r="12" spans="1:6" ht="13.8" x14ac:dyDescent="0.3">
      <c r="A12" s="3" t="s">
        <v>6</v>
      </c>
      <c r="B12" s="2">
        <v>8</v>
      </c>
      <c r="C12" s="2">
        <v>3</v>
      </c>
      <c r="D12" s="15">
        <v>41</v>
      </c>
      <c r="E12" s="8">
        <f>SUM(StateSenatorSenateDistrict53General[[#This Row],[Madison County Vote Results]:[Part of Onondaga County Vote Results]])</f>
        <v>52</v>
      </c>
      <c r="F12" s="10"/>
    </row>
    <row r="13" spans="1:6" ht="13.8" x14ac:dyDescent="0.3">
      <c r="A13" s="11" t="s">
        <v>2</v>
      </c>
      <c r="B13" s="2">
        <f>SUM(StateSenatorSenateDistrict53General[Madison County Vote Results])</f>
        <v>34144</v>
      </c>
      <c r="C13" s="2">
        <f>SUM(StateSenatorSenateDistrict53General[Part of Oneida County Vote Results])</f>
        <v>6061</v>
      </c>
      <c r="D13" s="15">
        <f>SUM(StateSenatorSenateDistrict53General[Part of Onondaga County Vote Results])</f>
        <v>87153</v>
      </c>
      <c r="E13" s="8">
        <f>SUM(StateSenatorSenateDistrict53General[Total Votes by Party])</f>
        <v>127358</v>
      </c>
      <c r="F13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55CA-4495-4C68-8977-8C9E98551930}">
  <dimension ref="A1:I11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9" width="20.5546875" customWidth="1"/>
    <col min="10" max="11" width="23.5546875" customWidth="1"/>
  </cols>
  <sheetData>
    <row r="1" spans="1:9" ht="18" x14ac:dyDescent="0.25">
      <c r="A1" s="24" t="s">
        <v>324</v>
      </c>
    </row>
    <row r="2" spans="1:9" ht="27.6" x14ac:dyDescent="0.25">
      <c r="A2" s="4" t="s">
        <v>5</v>
      </c>
      <c r="B2" s="5" t="s">
        <v>17</v>
      </c>
      <c r="C2" s="5" t="s">
        <v>19</v>
      </c>
      <c r="D2" s="5" t="s">
        <v>297</v>
      </c>
      <c r="E2" s="5" t="s">
        <v>50</v>
      </c>
      <c r="F2" s="5" t="s">
        <v>49</v>
      </c>
      <c r="G2" s="5" t="s">
        <v>306</v>
      </c>
      <c r="H2" s="6" t="s">
        <v>3</v>
      </c>
      <c r="I2" s="7" t="s">
        <v>4</v>
      </c>
    </row>
    <row r="3" spans="1:9" ht="13.8" x14ac:dyDescent="0.3">
      <c r="A3" s="1" t="s">
        <v>325</v>
      </c>
      <c r="B3" s="2">
        <v>5346</v>
      </c>
      <c r="C3" s="2">
        <v>12403</v>
      </c>
      <c r="D3" s="15">
        <v>5346</v>
      </c>
      <c r="E3" s="2">
        <v>10843</v>
      </c>
      <c r="F3" s="15">
        <v>14069</v>
      </c>
      <c r="G3" s="15">
        <v>3775</v>
      </c>
      <c r="H3" s="8">
        <f>SUM(StateSenatorSenateDistrict54General[[#This Row],[Seneca County Vote Results]:[Part of Tompkins County Vote Results]])</f>
        <v>51782</v>
      </c>
      <c r="I3" s="9">
        <f>SUM(StateSenatorSenateDistrict54General[[#This Row],[Total Votes by Party]])</f>
        <v>51782</v>
      </c>
    </row>
    <row r="4" spans="1:9" ht="13.8" x14ac:dyDescent="0.3">
      <c r="A4" s="1" t="s">
        <v>326</v>
      </c>
      <c r="B4" s="2">
        <v>8680</v>
      </c>
      <c r="C4" s="2">
        <v>25080</v>
      </c>
      <c r="D4" s="15">
        <v>8680</v>
      </c>
      <c r="E4" s="2">
        <v>12787</v>
      </c>
      <c r="F4" s="15">
        <v>19754</v>
      </c>
      <c r="G4" s="15">
        <v>2012</v>
      </c>
      <c r="H4" s="8">
        <f>SUM(StateSenatorSenateDistrict54General[[#This Row],[Seneca County Vote Results]:[Part of Tompkins County Vote Results]])</f>
        <v>76993</v>
      </c>
      <c r="I4" s="9">
        <f>SUM(StateSenatorSenateDistrict54General[[#This Row],[Total Votes by Party]],H5,H6,H7)</f>
        <v>91262</v>
      </c>
    </row>
    <row r="5" spans="1:9" ht="13.8" x14ac:dyDescent="0.3">
      <c r="A5" s="1" t="s">
        <v>327</v>
      </c>
      <c r="B5" s="2">
        <v>1192</v>
      </c>
      <c r="C5" s="2">
        <v>4132</v>
      </c>
      <c r="D5" s="15">
        <v>1192</v>
      </c>
      <c r="E5" s="2">
        <v>2115</v>
      </c>
      <c r="F5" s="15">
        <v>2741</v>
      </c>
      <c r="G5" s="15">
        <v>141</v>
      </c>
      <c r="H5" s="8">
        <f>SUM(StateSenatorSenateDistrict54General[[#This Row],[Seneca County Vote Results]:[Part of Tompkins County Vote Results]])</f>
        <v>11513</v>
      </c>
      <c r="I5" s="10"/>
    </row>
    <row r="6" spans="1:9" ht="13.8" x14ac:dyDescent="0.3">
      <c r="A6" s="1" t="s">
        <v>328</v>
      </c>
      <c r="B6" s="2">
        <v>245</v>
      </c>
      <c r="C6" s="2">
        <v>678</v>
      </c>
      <c r="D6" s="15">
        <v>245</v>
      </c>
      <c r="E6" s="2">
        <v>464</v>
      </c>
      <c r="F6" s="15">
        <v>845</v>
      </c>
      <c r="G6" s="15">
        <v>126</v>
      </c>
      <c r="H6" s="8">
        <f>SUM(StateSenatorSenateDistrict54General[[#This Row],[Seneca County Vote Results]:[Part of Tompkins County Vote Results]])</f>
        <v>2603</v>
      </c>
      <c r="I6" s="10"/>
    </row>
    <row r="7" spans="1:9" ht="13.8" x14ac:dyDescent="0.3">
      <c r="A7" s="1" t="s">
        <v>329</v>
      </c>
      <c r="B7" s="2">
        <v>13</v>
      </c>
      <c r="C7" s="2">
        <v>31</v>
      </c>
      <c r="D7" s="15">
        <v>13</v>
      </c>
      <c r="E7" s="2">
        <v>26</v>
      </c>
      <c r="F7" s="15">
        <v>61</v>
      </c>
      <c r="G7" s="15">
        <v>9</v>
      </c>
      <c r="H7" s="8">
        <f>SUM(StateSenatorSenateDistrict54General[[#This Row],[Seneca County Vote Results]:[Part of Tompkins County Vote Results]])</f>
        <v>153</v>
      </c>
      <c r="I7" s="10"/>
    </row>
    <row r="8" spans="1:9" ht="13.8" x14ac:dyDescent="0.3">
      <c r="A8" s="3" t="s">
        <v>0</v>
      </c>
      <c r="B8" s="2">
        <v>1549</v>
      </c>
      <c r="C8" s="2">
        <v>2679</v>
      </c>
      <c r="D8" s="15">
        <v>1549</v>
      </c>
      <c r="E8" s="2">
        <v>1767</v>
      </c>
      <c r="F8" s="15">
        <v>2084</v>
      </c>
      <c r="G8" s="15">
        <v>310</v>
      </c>
      <c r="H8" s="8">
        <f>SUM(StateSenatorSenateDistrict54General[[#This Row],[Seneca County Vote Results]:[Part of Tompkins County Vote Results]])</f>
        <v>9938</v>
      </c>
      <c r="I8" s="10"/>
    </row>
    <row r="9" spans="1:9" ht="13.8" x14ac:dyDescent="0.3">
      <c r="A9" s="3" t="s">
        <v>1</v>
      </c>
      <c r="B9" s="2">
        <v>8</v>
      </c>
      <c r="C9" s="2">
        <v>17</v>
      </c>
      <c r="D9" s="15">
        <v>8</v>
      </c>
      <c r="E9" s="2">
        <v>10</v>
      </c>
      <c r="F9" s="15">
        <v>11</v>
      </c>
      <c r="G9" s="15">
        <v>0</v>
      </c>
      <c r="H9" s="8">
        <f>SUM(StateSenatorSenateDistrict54General[[#This Row],[Seneca County Vote Results]:[Part of Tompkins County Vote Results]])</f>
        <v>54</v>
      </c>
      <c r="I9" s="10"/>
    </row>
    <row r="10" spans="1:9" ht="13.8" x14ac:dyDescent="0.3">
      <c r="A10" s="3" t="s">
        <v>6</v>
      </c>
      <c r="B10" s="2">
        <v>4</v>
      </c>
      <c r="C10" s="2">
        <v>11</v>
      </c>
      <c r="D10" s="15">
        <v>4</v>
      </c>
      <c r="E10" s="2">
        <v>6</v>
      </c>
      <c r="F10" s="15">
        <v>14</v>
      </c>
      <c r="G10" s="15">
        <v>3</v>
      </c>
      <c r="H10" s="8">
        <f>SUM(StateSenatorSenateDistrict54General[[#This Row],[Seneca County Vote Results]:[Part of Tompkins County Vote Results]])</f>
        <v>42</v>
      </c>
      <c r="I10" s="10"/>
    </row>
    <row r="11" spans="1:9" ht="13.8" x14ac:dyDescent="0.3">
      <c r="A11" s="11" t="s">
        <v>2</v>
      </c>
      <c r="B11" s="2">
        <f>SUM(StateSenatorSenateDistrict54General[Seneca County Vote Results])</f>
        <v>17037</v>
      </c>
      <c r="C11" s="2">
        <f>SUM(StateSenatorSenateDistrict54General[Wayne County Vote Results])</f>
        <v>45031</v>
      </c>
      <c r="D11" s="2">
        <f>SUM(StateSenatorSenateDistrict54General[Part of Cayuga County Vote Results])</f>
        <v>17037</v>
      </c>
      <c r="E11" s="2">
        <f>SUM(StateSenatorSenateDistrict54General[Part of Monroe County Vote Results])</f>
        <v>28018</v>
      </c>
      <c r="F11" s="15">
        <f>SUM(StateSenatorSenateDistrict54General[Part of Ontario County Vote Results])</f>
        <v>39579</v>
      </c>
      <c r="G11" s="2">
        <f>SUM(StateSenatorSenateDistrict54General[Part of Tompkins County Vote Results])</f>
        <v>6376</v>
      </c>
      <c r="H11" s="8">
        <f>SUM(StateSenatorSenateDistrict54General[Total Votes by Party])</f>
        <v>153078</v>
      </c>
      <c r="I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9956-4A26-4D76-BAFC-DBBEC3EFDD87}">
  <dimension ref="A1:E12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18" x14ac:dyDescent="0.25">
      <c r="A1" s="24" t="s">
        <v>330</v>
      </c>
    </row>
    <row r="2" spans="1:5" ht="27.6" x14ac:dyDescent="0.25">
      <c r="A2" s="4" t="s">
        <v>5</v>
      </c>
      <c r="B2" s="5" t="s">
        <v>50</v>
      </c>
      <c r="C2" s="5" t="s">
        <v>49</v>
      </c>
      <c r="D2" s="6" t="s">
        <v>3</v>
      </c>
      <c r="E2" s="7" t="s">
        <v>4</v>
      </c>
    </row>
    <row r="3" spans="1:5" ht="13.8" x14ac:dyDescent="0.3">
      <c r="A3" s="1" t="s">
        <v>331</v>
      </c>
      <c r="B3" s="2">
        <v>75912</v>
      </c>
      <c r="C3" s="2">
        <v>7646</v>
      </c>
      <c r="D3" s="8">
        <f>SUM(StateSenatorSenateDistrict55General[[#This Row],[Part of Monroe County Vote Results]:[Part of Ontario County Vote Results]])</f>
        <v>83558</v>
      </c>
      <c r="E3" s="9">
        <f>SUM(StateSenatorSenateDistrict55General[[#This Row],[Total Votes by Party]],D6)</f>
        <v>90435</v>
      </c>
    </row>
    <row r="4" spans="1:5" ht="13.8" x14ac:dyDescent="0.3">
      <c r="A4" s="1" t="s">
        <v>332</v>
      </c>
      <c r="B4" s="2">
        <v>46274</v>
      </c>
      <c r="C4" s="2">
        <v>9805</v>
      </c>
      <c r="D4" s="8">
        <f>SUM(StateSenatorSenateDistrict55General[[#This Row],[Part of Monroe County Vote Results]:[Part of Ontario County Vote Results]])</f>
        <v>56079</v>
      </c>
      <c r="E4" s="9">
        <f>SUM(StateSenatorSenateDistrict55General[[#This Row],[Total Votes by Party]],D5,D7,D8)</f>
        <v>67122</v>
      </c>
    </row>
    <row r="5" spans="1:5" ht="13.8" x14ac:dyDescent="0.3">
      <c r="A5" s="1" t="s">
        <v>333</v>
      </c>
      <c r="B5" s="2">
        <v>7373</v>
      </c>
      <c r="C5" s="2">
        <v>1406</v>
      </c>
      <c r="D5" s="8">
        <f>SUM(StateSenatorSenateDistrict55General[[#This Row],[Part of Monroe County Vote Results]:[Part of Ontario County Vote Results]])</f>
        <v>8779</v>
      </c>
      <c r="E5" s="10"/>
    </row>
    <row r="6" spans="1:5" ht="13.8" x14ac:dyDescent="0.3">
      <c r="A6" s="1" t="s">
        <v>334</v>
      </c>
      <c r="B6" s="2">
        <v>6363</v>
      </c>
      <c r="C6" s="2">
        <v>514</v>
      </c>
      <c r="D6" s="8">
        <f>SUM(StateSenatorSenateDistrict55General[[#This Row],[Part of Monroe County Vote Results]:[Part of Ontario County Vote Results]])</f>
        <v>6877</v>
      </c>
      <c r="E6" s="10"/>
    </row>
    <row r="7" spans="1:5" ht="13.8" x14ac:dyDescent="0.3">
      <c r="A7" s="1" t="s">
        <v>335</v>
      </c>
      <c r="B7" s="2">
        <v>1878</v>
      </c>
      <c r="C7" s="2">
        <v>244</v>
      </c>
      <c r="D7" s="8">
        <f>SUM(StateSenatorSenateDistrict55General[[#This Row],[Part of Monroe County Vote Results]:[Part of Ontario County Vote Results]])</f>
        <v>2122</v>
      </c>
      <c r="E7" s="10"/>
    </row>
    <row r="8" spans="1:5" ht="13.8" x14ac:dyDescent="0.3">
      <c r="A8" s="3" t="s">
        <v>336</v>
      </c>
      <c r="B8" s="2">
        <v>126</v>
      </c>
      <c r="C8" s="2">
        <v>16</v>
      </c>
      <c r="D8" s="8">
        <f>SUM(StateSenatorSenateDistrict55General[[#This Row],[Part of Monroe County Vote Results]:[Part of Ontario County Vote Results]])</f>
        <v>142</v>
      </c>
      <c r="E8" s="12"/>
    </row>
    <row r="9" spans="1:5" ht="13.8" x14ac:dyDescent="0.3">
      <c r="A9" s="3" t="s">
        <v>0</v>
      </c>
      <c r="B9" s="2">
        <v>7158</v>
      </c>
      <c r="C9" s="2">
        <v>845</v>
      </c>
      <c r="D9" s="8">
        <f>SUM(StateSenatorSenateDistrict55General[[#This Row],[Part of Monroe County Vote Results]:[Part of Ontario County Vote Results]])</f>
        <v>8003</v>
      </c>
      <c r="E9" s="10"/>
    </row>
    <row r="10" spans="1:5" ht="13.8" x14ac:dyDescent="0.3">
      <c r="A10" s="3" t="s">
        <v>1</v>
      </c>
      <c r="B10" s="2">
        <v>46</v>
      </c>
      <c r="C10" s="2">
        <v>27</v>
      </c>
      <c r="D10" s="8">
        <f>SUM(StateSenatorSenateDistrict55General[[#This Row],[Part of Monroe County Vote Results]:[Part of Ontario County Vote Results]])</f>
        <v>73</v>
      </c>
      <c r="E10" s="10"/>
    </row>
    <row r="11" spans="1:5" ht="13.8" x14ac:dyDescent="0.3">
      <c r="A11" s="3" t="s">
        <v>6</v>
      </c>
      <c r="B11" s="2">
        <v>54</v>
      </c>
      <c r="C11" s="2">
        <v>3</v>
      </c>
      <c r="D11" s="8">
        <f>SUM(StateSenatorSenateDistrict55General[[#This Row],[Part of Monroe County Vote Results]:[Part of Ontario County Vote Results]])</f>
        <v>57</v>
      </c>
      <c r="E11" s="10"/>
    </row>
    <row r="12" spans="1:5" ht="13.8" x14ac:dyDescent="0.3">
      <c r="A12" s="11" t="s">
        <v>2</v>
      </c>
      <c r="B12" s="2">
        <f>SUM(StateSenatorSenateDistrict55General[Part of Monroe County Vote Results])</f>
        <v>145184</v>
      </c>
      <c r="C12" s="2">
        <f>SUM(StateSenatorSenateDistrict55General[Part of Ontario County Vote Results])</f>
        <v>20506</v>
      </c>
      <c r="D12" s="8">
        <f>SUM(StateSenatorSenateDistrict55General[Total Votes by Party])</f>
        <v>165690</v>
      </c>
      <c r="E12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3572-00C3-4DBE-92BF-E34D9939D1A9}">
  <dimension ref="A1:D11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337</v>
      </c>
    </row>
    <row r="2" spans="1:4" ht="27.6" x14ac:dyDescent="0.25">
      <c r="A2" s="4" t="s">
        <v>5</v>
      </c>
      <c r="B2" s="5" t="s">
        <v>50</v>
      </c>
      <c r="C2" s="6" t="s">
        <v>3</v>
      </c>
      <c r="D2" s="7" t="s">
        <v>4</v>
      </c>
    </row>
    <row r="3" spans="1:4" ht="13.8" x14ac:dyDescent="0.3">
      <c r="A3" s="1" t="s">
        <v>338</v>
      </c>
      <c r="B3" s="2">
        <v>64491</v>
      </c>
      <c r="C3" s="8">
        <f>StateSenatorSenateDistrict56General[[#This Row],[Part of Monroe County Vote Results]]</f>
        <v>64491</v>
      </c>
      <c r="D3" s="9">
        <f>SUM(StateSenatorSenateDistrict56General[[#This Row],[Total Votes by Party]],C6)</f>
        <v>69951</v>
      </c>
    </row>
    <row r="4" spans="1:4" ht="13.8" x14ac:dyDescent="0.3">
      <c r="A4" s="1" t="s">
        <v>339</v>
      </c>
      <c r="B4" s="2">
        <v>46137</v>
      </c>
      <c r="C4" s="8">
        <f>StateSenatorSenateDistrict56General[[#This Row],[Part of Monroe County Vote Results]]</f>
        <v>46137</v>
      </c>
      <c r="D4" s="9">
        <f>SUM(StateSenatorSenateDistrict56General[[#This Row],[Total Votes by Party]],C5,C7)</f>
        <v>55355</v>
      </c>
    </row>
    <row r="5" spans="1:4" ht="13.8" x14ac:dyDescent="0.3">
      <c r="A5" s="1" t="s">
        <v>340</v>
      </c>
      <c r="B5" s="2">
        <v>7572</v>
      </c>
      <c r="C5" s="8">
        <f>StateSenatorSenateDistrict56General[[#This Row],[Part of Monroe County Vote Results]]</f>
        <v>7572</v>
      </c>
      <c r="D5" s="10"/>
    </row>
    <row r="6" spans="1:4" ht="13.8" x14ac:dyDescent="0.3">
      <c r="A6" s="1" t="s">
        <v>341</v>
      </c>
      <c r="B6" s="2">
        <v>5460</v>
      </c>
      <c r="C6" s="8">
        <f>StateSenatorSenateDistrict56General[[#This Row],[Part of Monroe County Vote Results]]</f>
        <v>5460</v>
      </c>
      <c r="D6" s="10"/>
    </row>
    <row r="7" spans="1:4" ht="13.8" x14ac:dyDescent="0.3">
      <c r="A7" s="1" t="s">
        <v>342</v>
      </c>
      <c r="B7" s="2">
        <v>1646</v>
      </c>
      <c r="C7" s="8">
        <f>StateSenatorSenateDistrict56General[[#This Row],[Part of Monroe County Vote Results]]</f>
        <v>1646</v>
      </c>
      <c r="D7" s="10"/>
    </row>
    <row r="8" spans="1:4" ht="13.8" x14ac:dyDescent="0.3">
      <c r="A8" s="3" t="s">
        <v>0</v>
      </c>
      <c r="B8" s="2">
        <v>8843</v>
      </c>
      <c r="C8" s="8">
        <f>StateSenatorSenateDistrict56General[[#This Row],[Part of Monroe County Vote Results]]</f>
        <v>8843</v>
      </c>
      <c r="D8" s="10"/>
    </row>
    <row r="9" spans="1:4" ht="13.8" x14ac:dyDescent="0.3">
      <c r="A9" s="3" t="s">
        <v>1</v>
      </c>
      <c r="B9" s="2">
        <v>90</v>
      </c>
      <c r="C9" s="8">
        <f>StateSenatorSenateDistrict56General[[#This Row],[Part of Monroe County Vote Results]]</f>
        <v>90</v>
      </c>
      <c r="D9" s="10"/>
    </row>
    <row r="10" spans="1:4" ht="13.8" x14ac:dyDescent="0.3">
      <c r="A10" s="3" t="s">
        <v>6</v>
      </c>
      <c r="B10" s="2">
        <v>214</v>
      </c>
      <c r="C10" s="8">
        <f>StateSenatorSenateDistrict56General[[#This Row],[Part of Monroe County Vote Results]]</f>
        <v>214</v>
      </c>
      <c r="D10" s="10"/>
    </row>
    <row r="11" spans="1:4" ht="13.8" x14ac:dyDescent="0.3">
      <c r="A11" s="11" t="s">
        <v>2</v>
      </c>
      <c r="B11" s="2">
        <f>SUM(StateSenatorSenateDistrict56General[Part of Monroe County Vote Results])</f>
        <v>134453</v>
      </c>
      <c r="C11" s="8">
        <f>SUM(StateSenatorSenateDistrict56General[Total Votes by Party])</f>
        <v>134453</v>
      </c>
      <c r="D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0A3F-387E-4EA8-919A-6B87C1516459}">
  <dimension ref="A1:G12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18" x14ac:dyDescent="0.25">
      <c r="A1" s="24" t="s">
        <v>343</v>
      </c>
    </row>
    <row r="2" spans="1:7" ht="27.6" x14ac:dyDescent="0.25">
      <c r="A2" s="4" t="s">
        <v>5</v>
      </c>
      <c r="B2" s="5" t="s">
        <v>21</v>
      </c>
      <c r="C2" s="5" t="s">
        <v>22</v>
      </c>
      <c r="D2" s="5" t="s">
        <v>23</v>
      </c>
      <c r="E2" s="5" t="s">
        <v>344</v>
      </c>
      <c r="F2" s="6" t="s">
        <v>3</v>
      </c>
      <c r="G2" s="7" t="s">
        <v>4</v>
      </c>
    </row>
    <row r="3" spans="1:7" ht="13.8" x14ac:dyDescent="0.3">
      <c r="A3" s="1" t="s">
        <v>345</v>
      </c>
      <c r="B3" s="2">
        <v>4535</v>
      </c>
      <c r="C3" s="2">
        <v>8759</v>
      </c>
      <c r="D3" s="2">
        <v>15174</v>
      </c>
      <c r="E3" s="2">
        <v>3498</v>
      </c>
      <c r="F3" s="8">
        <f>SUM(StateSenatorSenateDistrict57General[[#This Row],[Allegany County Vote Results]:[Part of Livingston County Vote Results]])</f>
        <v>31966</v>
      </c>
      <c r="G3" s="9">
        <f>SUM(StateSenatorSenateDistrict57General[[#This Row],[Total Votes by Party]],F6)</f>
        <v>34713</v>
      </c>
    </row>
    <row r="4" spans="1:7" ht="13.8" x14ac:dyDescent="0.3">
      <c r="A4" s="1" t="s">
        <v>346</v>
      </c>
      <c r="B4" s="2">
        <v>13345</v>
      </c>
      <c r="C4" s="2">
        <v>20278</v>
      </c>
      <c r="D4" s="2">
        <v>34584</v>
      </c>
      <c r="E4" s="2">
        <v>7583</v>
      </c>
      <c r="F4" s="8">
        <f>SUM(StateSenatorSenateDistrict57General[[#This Row],[Allegany County Vote Results]:[Part of Livingston County Vote Results]])</f>
        <v>75790</v>
      </c>
      <c r="G4" s="9">
        <f>SUM(StateSenatorSenateDistrict57General[[#This Row],[Total Votes by Party]],F5,F7,F8)</f>
        <v>87934</v>
      </c>
    </row>
    <row r="5" spans="1:7" ht="13.8" x14ac:dyDescent="0.3">
      <c r="A5" s="1" t="s">
        <v>347</v>
      </c>
      <c r="B5" s="2">
        <v>1098</v>
      </c>
      <c r="C5" s="2">
        <v>2119</v>
      </c>
      <c r="D5" s="2">
        <v>4391</v>
      </c>
      <c r="E5" s="2">
        <v>958</v>
      </c>
      <c r="F5" s="8">
        <f>SUM(StateSenatorSenateDistrict57General[[#This Row],[Allegany County Vote Results]:[Part of Livingston County Vote Results]])</f>
        <v>8566</v>
      </c>
      <c r="G5" s="10"/>
    </row>
    <row r="6" spans="1:7" ht="13.8" x14ac:dyDescent="0.3">
      <c r="A6" s="3" t="s">
        <v>348</v>
      </c>
      <c r="B6" s="2">
        <v>402</v>
      </c>
      <c r="C6" s="2">
        <v>767</v>
      </c>
      <c r="D6" s="2">
        <v>1284</v>
      </c>
      <c r="E6" s="2">
        <v>294</v>
      </c>
      <c r="F6" s="8">
        <f>SUM(StateSenatorSenateDistrict57General[[#This Row],[Allegany County Vote Results]:[Part of Livingston County Vote Results]])</f>
        <v>2747</v>
      </c>
      <c r="G6" s="12"/>
    </row>
    <row r="7" spans="1:7" ht="13.8" x14ac:dyDescent="0.3">
      <c r="A7" s="3" t="s">
        <v>349</v>
      </c>
      <c r="B7" s="2">
        <v>225</v>
      </c>
      <c r="C7" s="2">
        <v>366</v>
      </c>
      <c r="D7" s="2">
        <v>644</v>
      </c>
      <c r="E7" s="2">
        <v>139</v>
      </c>
      <c r="F7" s="8">
        <f>SUM(StateSenatorSenateDistrict57General[[#This Row],[Allegany County Vote Results]:[Part of Livingston County Vote Results]])</f>
        <v>1374</v>
      </c>
      <c r="G7" s="12"/>
    </row>
    <row r="8" spans="1:7" ht="13.8" x14ac:dyDescent="0.3">
      <c r="A8" s="1" t="s">
        <v>350</v>
      </c>
      <c r="B8" s="2">
        <v>226</v>
      </c>
      <c r="C8" s="2">
        <v>502</v>
      </c>
      <c r="D8" s="2">
        <v>1305</v>
      </c>
      <c r="E8" s="2">
        <v>171</v>
      </c>
      <c r="F8" s="8">
        <f>SUM(StateSenatorSenateDistrict57General[[#This Row],[Allegany County Vote Results]:[Part of Livingston County Vote Results]])</f>
        <v>2204</v>
      </c>
      <c r="G8" s="10"/>
    </row>
    <row r="9" spans="1:7" ht="13.8" x14ac:dyDescent="0.3">
      <c r="A9" s="3" t="s">
        <v>0</v>
      </c>
      <c r="B9" s="2">
        <v>1053</v>
      </c>
      <c r="C9" s="2">
        <v>2119</v>
      </c>
      <c r="D9" s="2">
        <v>2221</v>
      </c>
      <c r="E9" s="2">
        <v>1178</v>
      </c>
      <c r="F9" s="8">
        <f>SUM(StateSenatorSenateDistrict57General[[#This Row],[Allegany County Vote Results]:[Part of Livingston County Vote Results]])</f>
        <v>6571</v>
      </c>
      <c r="G9" s="10"/>
    </row>
    <row r="10" spans="1:7" ht="13.8" x14ac:dyDescent="0.3">
      <c r="A10" s="3" t="s">
        <v>1</v>
      </c>
      <c r="B10" s="2">
        <v>4</v>
      </c>
      <c r="C10" s="2">
        <v>23</v>
      </c>
      <c r="D10" s="2">
        <v>29</v>
      </c>
      <c r="E10" s="2">
        <v>4</v>
      </c>
      <c r="F10" s="8">
        <f>SUM(StateSenatorSenateDistrict57General[[#This Row],[Allegany County Vote Results]:[Part of Livingston County Vote Results]])</f>
        <v>60</v>
      </c>
      <c r="G10" s="10"/>
    </row>
    <row r="11" spans="1:7" ht="13.8" x14ac:dyDescent="0.3">
      <c r="A11" s="3" t="s">
        <v>6</v>
      </c>
      <c r="B11" s="2">
        <v>7</v>
      </c>
      <c r="C11" s="2">
        <v>5</v>
      </c>
      <c r="D11" s="2">
        <v>17</v>
      </c>
      <c r="E11" s="2">
        <v>2</v>
      </c>
      <c r="F11" s="8">
        <f>SUM(StateSenatorSenateDistrict57General[[#This Row],[Allegany County Vote Results]:[Part of Livingston County Vote Results]])</f>
        <v>31</v>
      </c>
      <c r="G11" s="10"/>
    </row>
    <row r="12" spans="1:7" ht="13.8" x14ac:dyDescent="0.3">
      <c r="A12" s="11" t="s">
        <v>2</v>
      </c>
      <c r="B12" s="2">
        <f>SUM(StateSenatorSenateDistrict57General[Allegany County Vote Results])</f>
        <v>20895</v>
      </c>
      <c r="C12" s="2">
        <f>SUM(StateSenatorSenateDistrict57General[Cattaraugus County Vote Results])</f>
        <v>34938</v>
      </c>
      <c r="D12" s="2">
        <f>SUM(StateSenatorSenateDistrict57General[Chautauqua County Vote Results])</f>
        <v>59649</v>
      </c>
      <c r="E12" s="2">
        <f>SUM(StateSenatorSenateDistrict57General[Part of Livingston County Vote Results])</f>
        <v>13827</v>
      </c>
      <c r="F12" s="8">
        <f>SUM(StateSenatorSenateDistrict57General[Total Votes by Party])</f>
        <v>129309</v>
      </c>
      <c r="G12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DC3B-98C9-47F2-847C-7254079A5B63}">
  <dimension ref="A1:H12"/>
  <sheetViews>
    <sheetView workbookViewId="0">
      <pane xSplit="1" topLeftCell="B1" activePane="topRight" state="frozen"/>
      <selection activeCell="B3" sqref="B3:B10"/>
      <selection pane="topRight" activeCell="B3" sqref="B3:B10"/>
    </sheetView>
  </sheetViews>
  <sheetFormatPr defaultRowHeight="13.2" x14ac:dyDescent="0.25"/>
  <cols>
    <col min="1" max="1" width="25.5546875" customWidth="1"/>
    <col min="2" max="8" width="20.5546875" customWidth="1"/>
    <col min="9" max="10" width="23.5546875" customWidth="1"/>
  </cols>
  <sheetData>
    <row r="1" spans="1:8" ht="18" x14ac:dyDescent="0.25">
      <c r="A1" s="24" t="s">
        <v>351</v>
      </c>
    </row>
    <row r="2" spans="1:8" ht="27.6" x14ac:dyDescent="0.25">
      <c r="A2" s="4" t="s">
        <v>5</v>
      </c>
      <c r="B2" s="5" t="s">
        <v>11</v>
      </c>
      <c r="C2" s="5" t="s">
        <v>15</v>
      </c>
      <c r="D2" s="5" t="s">
        <v>18</v>
      </c>
      <c r="E2" s="5" t="s">
        <v>20</v>
      </c>
      <c r="F2" s="5" t="s">
        <v>306</v>
      </c>
      <c r="G2" s="6" t="s">
        <v>3</v>
      </c>
      <c r="H2" s="7" t="s">
        <v>4</v>
      </c>
    </row>
    <row r="3" spans="1:8" ht="13.8" x14ac:dyDescent="0.3">
      <c r="A3" s="1" t="s">
        <v>352</v>
      </c>
      <c r="B3" s="2">
        <v>13534</v>
      </c>
      <c r="C3" s="2">
        <v>3161</v>
      </c>
      <c r="D3" s="2">
        <v>12993</v>
      </c>
      <c r="E3" s="2">
        <v>3280</v>
      </c>
      <c r="F3" s="15">
        <v>15225</v>
      </c>
      <c r="G3" s="8">
        <f>SUM(StateSenatorSenateDistrict58General[[#This Row],[Chemung County Vote Results]:[Part of Tompkins County Vote Results]])</f>
        <v>48193</v>
      </c>
      <c r="H3" s="9">
        <f>SUM(StateSenatorSenateDistrict58General[[#This Row],[Total Votes by Party]],G6,G8)</f>
        <v>54976</v>
      </c>
    </row>
    <row r="4" spans="1:8" ht="13.8" x14ac:dyDescent="0.3">
      <c r="A4" s="1" t="s">
        <v>353</v>
      </c>
      <c r="B4" s="2">
        <v>21173</v>
      </c>
      <c r="C4" s="2">
        <v>5331</v>
      </c>
      <c r="D4" s="2">
        <v>27395</v>
      </c>
      <c r="E4" s="2">
        <v>5754</v>
      </c>
      <c r="F4" s="15">
        <v>4162</v>
      </c>
      <c r="G4" s="8">
        <f>SUM(StateSenatorSenateDistrict58General[[#This Row],[Chemung County Vote Results]:[Part of Tompkins County Vote Results]])</f>
        <v>63815</v>
      </c>
      <c r="H4" s="9">
        <f>SUM(StateSenatorSenateDistrict58General[[#This Row],[Total Votes by Party]],G5,G7)</f>
        <v>70848</v>
      </c>
    </row>
    <row r="5" spans="1:8" ht="13.8" x14ac:dyDescent="0.3">
      <c r="A5" s="1" t="s">
        <v>354</v>
      </c>
      <c r="B5" s="2">
        <v>1623</v>
      </c>
      <c r="C5" s="2">
        <v>441</v>
      </c>
      <c r="D5" s="2">
        <v>2341</v>
      </c>
      <c r="E5" s="2">
        <v>684</v>
      </c>
      <c r="F5" s="15">
        <v>347</v>
      </c>
      <c r="G5" s="8">
        <f>SUM(StateSenatorSenateDistrict58General[[#This Row],[Chemung County Vote Results]:[Part of Tompkins County Vote Results]])</f>
        <v>5436</v>
      </c>
      <c r="H5" s="10"/>
    </row>
    <row r="6" spans="1:8" ht="13.8" x14ac:dyDescent="0.3">
      <c r="A6" s="1" t="s">
        <v>355</v>
      </c>
      <c r="B6" s="2">
        <v>1120</v>
      </c>
      <c r="C6" s="2">
        <v>396</v>
      </c>
      <c r="D6" s="2">
        <v>1247</v>
      </c>
      <c r="E6" s="2">
        <v>302</v>
      </c>
      <c r="F6" s="15">
        <v>3434</v>
      </c>
      <c r="G6" s="8">
        <f>SUM(StateSenatorSenateDistrict58General[[#This Row],[Chemung County Vote Results]:[Part of Tompkins County Vote Results]])</f>
        <v>6499</v>
      </c>
      <c r="H6" s="10"/>
    </row>
    <row r="7" spans="1:8" ht="13.8" x14ac:dyDescent="0.3">
      <c r="A7" s="1" t="s">
        <v>356</v>
      </c>
      <c r="B7" s="2">
        <v>679</v>
      </c>
      <c r="C7" s="2">
        <v>139</v>
      </c>
      <c r="D7" s="2">
        <v>433</v>
      </c>
      <c r="E7" s="2">
        <v>121</v>
      </c>
      <c r="F7" s="15">
        <v>225</v>
      </c>
      <c r="G7" s="8">
        <f>SUM(StateSenatorSenateDistrict58General[[#This Row],[Chemung County Vote Results]:[Part of Tompkins County Vote Results]])</f>
        <v>1597</v>
      </c>
      <c r="H7" s="10"/>
    </row>
    <row r="8" spans="1:8" ht="13.8" x14ac:dyDescent="0.3">
      <c r="A8" s="1" t="s">
        <v>357</v>
      </c>
      <c r="B8" s="2">
        <v>95</v>
      </c>
      <c r="C8" s="2">
        <v>20</v>
      </c>
      <c r="D8" s="2">
        <v>84</v>
      </c>
      <c r="E8" s="2">
        <v>19</v>
      </c>
      <c r="F8" s="15">
        <v>66</v>
      </c>
      <c r="G8" s="8">
        <f>SUM(StateSenatorSenateDistrict58General[[#This Row],[Chemung County Vote Results]:[Part of Tompkins County Vote Results]])</f>
        <v>284</v>
      </c>
      <c r="H8" s="10"/>
    </row>
    <row r="9" spans="1:8" ht="13.8" x14ac:dyDescent="0.3">
      <c r="A9" s="3" t="s">
        <v>0</v>
      </c>
      <c r="B9" s="2">
        <v>1373</v>
      </c>
      <c r="C9" s="2">
        <v>302</v>
      </c>
      <c r="D9" s="2">
        <v>1900</v>
      </c>
      <c r="E9" s="2">
        <v>584</v>
      </c>
      <c r="F9" s="15">
        <v>900</v>
      </c>
      <c r="G9" s="8">
        <f>SUM(StateSenatorSenateDistrict58General[[#This Row],[Chemung County Vote Results]:[Part of Tompkins County Vote Results]])</f>
        <v>5059</v>
      </c>
      <c r="H9" s="10"/>
    </row>
    <row r="10" spans="1:8" ht="13.8" x14ac:dyDescent="0.3">
      <c r="A10" s="3" t="s">
        <v>1</v>
      </c>
      <c r="B10" s="2">
        <v>0</v>
      </c>
      <c r="C10" s="2">
        <v>6</v>
      </c>
      <c r="D10" s="2">
        <v>22</v>
      </c>
      <c r="E10" s="2">
        <v>8</v>
      </c>
      <c r="F10" s="15">
        <v>4</v>
      </c>
      <c r="G10" s="8">
        <f>SUM(StateSenatorSenateDistrict58General[[#This Row],[Chemung County Vote Results]:[Part of Tompkins County Vote Results]])</f>
        <v>40</v>
      </c>
      <c r="H10" s="10"/>
    </row>
    <row r="11" spans="1:8" ht="13.8" x14ac:dyDescent="0.3">
      <c r="A11" s="3" t="s">
        <v>6</v>
      </c>
      <c r="B11" s="2">
        <v>0</v>
      </c>
      <c r="C11" s="2">
        <v>3</v>
      </c>
      <c r="D11" s="2">
        <v>7</v>
      </c>
      <c r="E11" s="2">
        <v>0</v>
      </c>
      <c r="F11" s="15">
        <v>5</v>
      </c>
      <c r="G11" s="8">
        <f>SUM(StateSenatorSenateDistrict58General[[#This Row],[Chemung County Vote Results]:[Part of Tompkins County Vote Results]])</f>
        <v>15</v>
      </c>
      <c r="H11" s="10"/>
    </row>
    <row r="12" spans="1:8" ht="13.8" x14ac:dyDescent="0.3">
      <c r="A12" s="11" t="s">
        <v>2</v>
      </c>
      <c r="B12" s="2">
        <f>SUM(StateSenatorSenateDistrict58General[Chemung County Vote Results])</f>
        <v>39597</v>
      </c>
      <c r="C12" s="2">
        <f>SUM(StateSenatorSenateDistrict58General[Schuyler County Vote Results])</f>
        <v>9799</v>
      </c>
      <c r="D12" s="2">
        <f>SUM(StateSenatorSenateDistrict58General[Steuben County Vote Results])</f>
        <v>46422</v>
      </c>
      <c r="E12" s="2">
        <f>SUM(StateSenatorSenateDistrict58General[Yates County Vote Results])</f>
        <v>10752</v>
      </c>
      <c r="F12" s="2">
        <f>SUM(StateSenatorSenateDistrict58General[Part of Tompkins County Vote Results])</f>
        <v>24368</v>
      </c>
      <c r="G12" s="8">
        <f>SUM(StateSenatorSenateDistrict58General[Total Votes by Party])</f>
        <v>130938</v>
      </c>
      <c r="H12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3573-67A8-43BC-9870-5A99CC467CE8}">
  <dimension ref="A1:G10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7" width="20.5546875" customWidth="1"/>
    <col min="8" max="9" width="23.5546875" customWidth="1"/>
  </cols>
  <sheetData>
    <row r="1" spans="1:7" ht="18" x14ac:dyDescent="0.25">
      <c r="A1" s="24" t="s">
        <v>358</v>
      </c>
    </row>
    <row r="2" spans="1:7" ht="27.6" x14ac:dyDescent="0.25">
      <c r="A2" s="4" t="s">
        <v>5</v>
      </c>
      <c r="B2" s="5" t="s">
        <v>27</v>
      </c>
      <c r="C2" s="5" t="s">
        <v>51</v>
      </c>
      <c r="D2" s="5" t="s">
        <v>344</v>
      </c>
      <c r="E2" s="5" t="s">
        <v>50</v>
      </c>
      <c r="F2" s="6" t="s">
        <v>3</v>
      </c>
      <c r="G2" s="7" t="s">
        <v>4</v>
      </c>
    </row>
    <row r="3" spans="1:7" ht="13.8" x14ac:dyDescent="0.3">
      <c r="A3" s="1" t="s">
        <v>359</v>
      </c>
      <c r="B3" s="2">
        <v>3516</v>
      </c>
      <c r="C3" s="2">
        <v>30510</v>
      </c>
      <c r="D3" s="2">
        <v>5765</v>
      </c>
      <c r="E3" s="2">
        <v>11385</v>
      </c>
      <c r="F3" s="8">
        <f>SUM(StateSenatorSenateDistrict59General[[#This Row],[Wyoming County Vote Results]:[Part of Monroe County Vote Results]])</f>
        <v>51176</v>
      </c>
      <c r="G3" s="9">
        <f>SUM(StateSenatorSenateDistrict59General[[#This Row],[Total Votes by Party]])</f>
        <v>51176</v>
      </c>
    </row>
    <row r="4" spans="1:7" ht="13.8" x14ac:dyDescent="0.3">
      <c r="A4" s="1" t="s">
        <v>360</v>
      </c>
      <c r="B4" s="2">
        <v>13154</v>
      </c>
      <c r="C4" s="2">
        <v>55276</v>
      </c>
      <c r="D4" s="2">
        <v>9074</v>
      </c>
      <c r="E4" s="2">
        <v>8739</v>
      </c>
      <c r="F4" s="8">
        <f>SUM(StateSenatorSenateDistrict59General[[#This Row],[Wyoming County Vote Results]:[Part of Monroe County Vote Results]])</f>
        <v>86243</v>
      </c>
      <c r="G4" s="9">
        <f>SUM(StateSenatorSenateDistrict59General[[#This Row],[Total Votes by Party]],F5,F6)</f>
        <v>106057</v>
      </c>
    </row>
    <row r="5" spans="1:7" ht="13.8" x14ac:dyDescent="0.3">
      <c r="A5" s="1" t="s">
        <v>361</v>
      </c>
      <c r="B5" s="2">
        <v>1723</v>
      </c>
      <c r="C5" s="2">
        <v>11164</v>
      </c>
      <c r="D5" s="2">
        <v>1322</v>
      </c>
      <c r="E5" s="2">
        <v>1574</v>
      </c>
      <c r="F5" s="8">
        <f>SUM(StateSenatorSenateDistrict59General[[#This Row],[Wyoming County Vote Results]:[Part of Monroe County Vote Results]])</f>
        <v>15783</v>
      </c>
      <c r="G5" s="10"/>
    </row>
    <row r="6" spans="1:7" ht="13.8" x14ac:dyDescent="0.3">
      <c r="A6" s="1" t="s">
        <v>362</v>
      </c>
      <c r="B6" s="2">
        <v>358</v>
      </c>
      <c r="C6" s="2">
        <v>2932</v>
      </c>
      <c r="D6" s="2">
        <v>275</v>
      </c>
      <c r="E6" s="2">
        <v>466</v>
      </c>
      <c r="F6" s="8">
        <f>SUM(StateSenatorSenateDistrict59General[[#This Row],[Wyoming County Vote Results]:[Part of Monroe County Vote Results]])</f>
        <v>4031</v>
      </c>
      <c r="G6" s="10"/>
    </row>
    <row r="7" spans="1:7" ht="13.8" x14ac:dyDescent="0.3">
      <c r="A7" s="3" t="s">
        <v>0</v>
      </c>
      <c r="B7" s="2">
        <v>594</v>
      </c>
      <c r="C7" s="2">
        <v>4140</v>
      </c>
      <c r="D7" s="2">
        <v>1253</v>
      </c>
      <c r="E7" s="2">
        <v>1626</v>
      </c>
      <c r="F7" s="8">
        <f>SUM(StateSenatorSenateDistrict59General[[#This Row],[Wyoming County Vote Results]:[Part of Monroe County Vote Results]])</f>
        <v>7613</v>
      </c>
      <c r="G7" s="10"/>
    </row>
    <row r="8" spans="1:7" ht="13.8" x14ac:dyDescent="0.3">
      <c r="A8" s="3" t="s">
        <v>1</v>
      </c>
      <c r="B8" s="2">
        <v>1</v>
      </c>
      <c r="C8" s="2">
        <v>22</v>
      </c>
      <c r="D8" s="2">
        <v>1</v>
      </c>
      <c r="E8" s="2">
        <v>10</v>
      </c>
      <c r="F8" s="8">
        <f>SUM(StateSenatorSenateDistrict59General[[#This Row],[Wyoming County Vote Results]:[Part of Monroe County Vote Results]])</f>
        <v>34</v>
      </c>
      <c r="G8" s="10"/>
    </row>
    <row r="9" spans="1:7" ht="13.8" x14ac:dyDescent="0.3">
      <c r="A9" s="3" t="s">
        <v>6</v>
      </c>
      <c r="B9" s="2">
        <v>6</v>
      </c>
      <c r="C9" s="2">
        <v>62</v>
      </c>
      <c r="D9" s="2">
        <v>4</v>
      </c>
      <c r="E9" s="2">
        <v>14</v>
      </c>
      <c r="F9" s="8">
        <f>SUM(StateSenatorSenateDistrict59General[[#This Row],[Wyoming County Vote Results]:[Part of Monroe County Vote Results]])</f>
        <v>86</v>
      </c>
      <c r="G9" s="10"/>
    </row>
    <row r="10" spans="1:7" ht="13.8" x14ac:dyDescent="0.3">
      <c r="A10" s="11" t="s">
        <v>2</v>
      </c>
      <c r="B10" s="2">
        <f>SUM(StateSenatorSenateDistrict59General[Wyoming County Vote Results])</f>
        <v>19352</v>
      </c>
      <c r="C10" s="2">
        <f>SUM(StateSenatorSenateDistrict59General[Part of Erie County Vote Results])</f>
        <v>104106</v>
      </c>
      <c r="D10" s="2">
        <f>SUM(StateSenatorSenateDistrict59General[Part of Livingston County Vote Results])</f>
        <v>17694</v>
      </c>
      <c r="E10" s="2">
        <f>SUM(StateSenatorSenateDistrict59General[Part of Monroe County Vote Results])</f>
        <v>23814</v>
      </c>
      <c r="F10" s="8">
        <f>SUM(StateSenatorSenateDistrict59General[Total Votes by Party])</f>
        <v>164966</v>
      </c>
      <c r="G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013A-65DD-48B0-A63C-BFB38A922DB9}">
  <dimension ref="A1:D12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82</v>
      </c>
    </row>
    <row r="2" spans="1:4" ht="24.9" customHeight="1" x14ac:dyDescent="0.25">
      <c r="A2" s="4" t="s">
        <v>5</v>
      </c>
      <c r="B2" s="5" t="s">
        <v>29</v>
      </c>
      <c r="C2" s="6" t="s">
        <v>3</v>
      </c>
      <c r="D2" s="7" t="s">
        <v>4</v>
      </c>
    </row>
    <row r="3" spans="1:4" ht="13.8" x14ac:dyDescent="0.3">
      <c r="A3" s="1" t="s">
        <v>83</v>
      </c>
      <c r="B3" s="15">
        <v>74035</v>
      </c>
      <c r="C3" s="8">
        <f>StateSenatorSenateDistrict6General[[#This Row],[Part of Nassau County Vote Results]]</f>
        <v>74035</v>
      </c>
      <c r="D3" s="9">
        <f>SUM(StateSenatorSenateDistrict6General[[#This Row],[Total Votes by Party]],C6)</f>
        <v>76588</v>
      </c>
    </row>
    <row r="4" spans="1:4" ht="13.8" x14ac:dyDescent="0.3">
      <c r="A4" s="1" t="s">
        <v>84</v>
      </c>
      <c r="B4" s="15">
        <v>66631</v>
      </c>
      <c r="C4" s="8">
        <f>StateSenatorSenateDistrict6General[[#This Row],[Part of Nassau County Vote Results]]</f>
        <v>66631</v>
      </c>
      <c r="D4" s="9">
        <f>SUM(StateSenatorSenateDistrict6General[[#This Row],[Total Votes by Party]],C5,C8)</f>
        <v>73630</v>
      </c>
    </row>
    <row r="5" spans="1:4" ht="13.8" x14ac:dyDescent="0.3">
      <c r="A5" s="1" t="s">
        <v>85</v>
      </c>
      <c r="B5" s="15">
        <v>6088</v>
      </c>
      <c r="C5" s="8">
        <f>StateSenatorSenateDistrict6General[[#This Row],[Part of Nassau County Vote Results]]</f>
        <v>6088</v>
      </c>
      <c r="D5" s="10"/>
    </row>
    <row r="6" spans="1:4" ht="13.8" x14ac:dyDescent="0.3">
      <c r="A6" s="1" t="s">
        <v>86</v>
      </c>
      <c r="B6" s="15">
        <v>2553</v>
      </c>
      <c r="C6" s="8">
        <f>StateSenatorSenateDistrict6General[[#This Row],[Part of Nassau County Vote Results]]</f>
        <v>2553</v>
      </c>
      <c r="D6" s="10"/>
    </row>
    <row r="7" spans="1:4" ht="13.8" x14ac:dyDescent="0.3">
      <c r="A7" s="1" t="s">
        <v>87</v>
      </c>
      <c r="B7" s="15">
        <v>855</v>
      </c>
      <c r="C7" s="8">
        <f>StateSenatorSenateDistrict6General[[#This Row],[Part of Nassau County Vote Results]]</f>
        <v>855</v>
      </c>
      <c r="D7" s="9">
        <f>SUM(StateSenatorSenateDistrict6General[[#This Row],[Total Votes by Party]])</f>
        <v>855</v>
      </c>
    </row>
    <row r="8" spans="1:4" ht="13.8" x14ac:dyDescent="0.3">
      <c r="A8" s="1" t="s">
        <v>88</v>
      </c>
      <c r="B8" s="15">
        <v>911</v>
      </c>
      <c r="C8" s="8">
        <f>StateSenatorSenateDistrict6General[[#This Row],[Part of Nassau County Vote Results]]</f>
        <v>911</v>
      </c>
      <c r="D8" s="10"/>
    </row>
    <row r="9" spans="1:4" ht="13.8" x14ac:dyDescent="0.3">
      <c r="A9" s="3" t="s">
        <v>0</v>
      </c>
      <c r="B9" s="15">
        <v>12536</v>
      </c>
      <c r="C9" s="8">
        <f>StateSenatorSenateDistrict6General[[#This Row],[Part of Nassau County Vote Results]]</f>
        <v>12536</v>
      </c>
      <c r="D9" s="10"/>
    </row>
    <row r="10" spans="1:4" ht="13.8" x14ac:dyDescent="0.3">
      <c r="A10" s="3" t="s">
        <v>1</v>
      </c>
      <c r="B10" s="15">
        <v>133</v>
      </c>
      <c r="C10" s="8">
        <f>StateSenatorSenateDistrict6General[[#This Row],[Part of Nassau County Vote Results]]</f>
        <v>133</v>
      </c>
      <c r="D10" s="10"/>
    </row>
    <row r="11" spans="1:4" ht="13.8" x14ac:dyDescent="0.3">
      <c r="A11" s="3" t="s">
        <v>6</v>
      </c>
      <c r="B11" s="15">
        <v>38</v>
      </c>
      <c r="C11" s="8">
        <f>StateSenatorSenateDistrict6General[[#This Row],[Part of Nassau County Vote Results]]</f>
        <v>38</v>
      </c>
      <c r="D11" s="10"/>
    </row>
    <row r="12" spans="1:4" ht="13.8" x14ac:dyDescent="0.3">
      <c r="A12" s="11" t="s">
        <v>2</v>
      </c>
      <c r="B12" s="15">
        <f>SUM(StateSenatorSenateDistrict6General[Part of Nassau County Vote Results])</f>
        <v>163780</v>
      </c>
      <c r="C12" s="8">
        <f>SUM(StateSenatorSenateDistrict6General[Total Votes by Party])</f>
        <v>163780</v>
      </c>
      <c r="D12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9C7A-3CE4-4595-A9C6-ED5E2E3A1B06}">
  <dimension ref="A1:D11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363</v>
      </c>
    </row>
    <row r="2" spans="1:4" ht="27.6" x14ac:dyDescent="0.25">
      <c r="A2" s="4" t="s">
        <v>5</v>
      </c>
      <c r="B2" s="5" t="s">
        <v>51</v>
      </c>
      <c r="C2" s="6" t="s">
        <v>3</v>
      </c>
      <c r="D2" s="7" t="s">
        <v>4</v>
      </c>
    </row>
    <row r="3" spans="1:4" ht="13.8" x14ac:dyDescent="0.3">
      <c r="A3" s="1" t="s">
        <v>364</v>
      </c>
      <c r="B3" s="2">
        <v>79378</v>
      </c>
      <c r="C3" s="8">
        <f>StateSenatorSenateDistrict60General[[#This Row],[Part of Erie County Vote Results]]</f>
        <v>79378</v>
      </c>
      <c r="D3" s="9">
        <f>SUM(StateSenatorSenateDistrict60General[[#This Row],[Total Votes by Party]],C6,C7)</f>
        <v>91008</v>
      </c>
    </row>
    <row r="4" spans="1:4" ht="13.8" x14ac:dyDescent="0.3">
      <c r="A4" s="1" t="s">
        <v>365</v>
      </c>
      <c r="B4" s="2">
        <v>49644</v>
      </c>
      <c r="C4" s="8">
        <f>StateSenatorSenateDistrict60General[[#This Row],[Part of Erie County Vote Results]]</f>
        <v>49644</v>
      </c>
      <c r="D4" s="9">
        <f>SUM(StateSenatorSenateDistrict60General[[#This Row],[Total Votes by Party]],C5)</f>
        <v>58817</v>
      </c>
    </row>
    <row r="5" spans="1:4" ht="13.8" x14ac:dyDescent="0.3">
      <c r="A5" s="1" t="s">
        <v>366</v>
      </c>
      <c r="B5" s="2">
        <v>9173</v>
      </c>
      <c r="C5" s="8">
        <f>StateSenatorSenateDistrict60General[[#This Row],[Part of Erie County Vote Results]]</f>
        <v>9173</v>
      </c>
      <c r="D5" s="10"/>
    </row>
    <row r="6" spans="1:4" ht="13.8" x14ac:dyDescent="0.3">
      <c r="A6" s="1" t="s">
        <v>367</v>
      </c>
      <c r="B6" s="2">
        <v>9179</v>
      </c>
      <c r="C6" s="8">
        <f>StateSenatorSenateDistrict60General[[#This Row],[Part of Erie County Vote Results]]</f>
        <v>9179</v>
      </c>
      <c r="D6" s="10"/>
    </row>
    <row r="7" spans="1:4" ht="13.8" x14ac:dyDescent="0.3">
      <c r="A7" s="1" t="s">
        <v>368</v>
      </c>
      <c r="B7" s="2">
        <v>2451</v>
      </c>
      <c r="C7" s="8">
        <f>StateSenatorSenateDistrict60General[[#This Row],[Part of Erie County Vote Results]]</f>
        <v>2451</v>
      </c>
      <c r="D7" s="10"/>
    </row>
    <row r="8" spans="1:4" ht="13.8" x14ac:dyDescent="0.3">
      <c r="A8" s="3" t="s">
        <v>0</v>
      </c>
      <c r="B8" s="2">
        <v>6452</v>
      </c>
      <c r="C8" s="8">
        <f>StateSenatorSenateDistrict60General[[#This Row],[Part of Erie County Vote Results]]</f>
        <v>6452</v>
      </c>
      <c r="D8" s="10"/>
    </row>
    <row r="9" spans="1:4" ht="13.8" x14ac:dyDescent="0.3">
      <c r="A9" s="3" t="s">
        <v>1</v>
      </c>
      <c r="B9" s="2">
        <v>46</v>
      </c>
      <c r="C9" s="8">
        <f>StateSenatorSenateDistrict60General[[#This Row],[Part of Erie County Vote Results]]</f>
        <v>46</v>
      </c>
      <c r="D9" s="10"/>
    </row>
    <row r="10" spans="1:4" ht="13.8" x14ac:dyDescent="0.3">
      <c r="A10" s="3" t="s">
        <v>6</v>
      </c>
      <c r="B10" s="2">
        <v>124</v>
      </c>
      <c r="C10" s="8">
        <f>StateSenatorSenateDistrict60General[[#This Row],[Part of Erie County Vote Results]]</f>
        <v>124</v>
      </c>
      <c r="D10" s="10"/>
    </row>
    <row r="11" spans="1:4" ht="13.8" x14ac:dyDescent="0.3">
      <c r="A11" s="11" t="s">
        <v>2</v>
      </c>
      <c r="B11" s="2">
        <f>SUM(StateSenatorSenateDistrict60General[Part of Erie County Vote Results])</f>
        <v>156447</v>
      </c>
      <c r="C11" s="8">
        <f>SUM(StateSenatorSenateDistrict60General[Total Votes by Party])</f>
        <v>156447</v>
      </c>
      <c r="D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8B03-4F8D-48E3-B860-A6AAEE552E01}">
  <dimension ref="A1:F11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24" t="s">
        <v>369</v>
      </c>
    </row>
    <row r="2" spans="1:6" ht="27.6" x14ac:dyDescent="0.25">
      <c r="A2" s="4" t="s">
        <v>5</v>
      </c>
      <c r="B2" s="5" t="s">
        <v>24</v>
      </c>
      <c r="C2" s="5" t="s">
        <v>51</v>
      </c>
      <c r="D2" s="5" t="s">
        <v>50</v>
      </c>
      <c r="E2" s="6" t="s">
        <v>3</v>
      </c>
      <c r="F2" s="7" t="s">
        <v>4</v>
      </c>
    </row>
    <row r="3" spans="1:6" ht="13.8" x14ac:dyDescent="0.3">
      <c r="A3" s="1" t="s">
        <v>370</v>
      </c>
      <c r="B3" s="2">
        <v>7740</v>
      </c>
      <c r="C3" s="2">
        <v>42289</v>
      </c>
      <c r="D3" s="2">
        <v>18195</v>
      </c>
      <c r="E3" s="8">
        <f>SUM(StateSenatorSenateDistrict61General[[#This Row],[Genesee County Vote Results]:[Part of Monroe County Vote Results]])</f>
        <v>68224</v>
      </c>
      <c r="F3" s="9">
        <f>SUM(StateSenatorSenateDistrict61General[[#This Row],[Total Votes by Party]])</f>
        <v>68224</v>
      </c>
    </row>
    <row r="4" spans="1:6" ht="13.8" x14ac:dyDescent="0.3">
      <c r="A4" s="1" t="s">
        <v>371</v>
      </c>
      <c r="B4" s="2">
        <v>16876</v>
      </c>
      <c r="C4" s="2">
        <v>39451</v>
      </c>
      <c r="D4" s="2">
        <v>9756</v>
      </c>
      <c r="E4" s="8">
        <f>SUM(StateSenatorSenateDistrict61General[[#This Row],[Genesee County Vote Results]:[Part of Monroe County Vote Results]])</f>
        <v>66083</v>
      </c>
      <c r="F4" s="9">
        <f>SUM(StateSenatorSenateDistrict61General[[#This Row],[Total Votes by Party]],E5,E6,E7)</f>
        <v>79454</v>
      </c>
    </row>
    <row r="5" spans="1:6" ht="13.8" x14ac:dyDescent="0.3">
      <c r="A5" s="1" t="s">
        <v>372</v>
      </c>
      <c r="B5" s="2">
        <v>2279</v>
      </c>
      <c r="C5" s="2">
        <v>6573</v>
      </c>
      <c r="D5" s="2">
        <v>1900</v>
      </c>
      <c r="E5" s="8">
        <f>SUM(StateSenatorSenateDistrict61General[[#This Row],[Genesee County Vote Results]:[Part of Monroe County Vote Results]])</f>
        <v>10752</v>
      </c>
      <c r="F5" s="10"/>
    </row>
    <row r="6" spans="1:6" ht="13.8" x14ac:dyDescent="0.3">
      <c r="A6" s="1" t="s">
        <v>373</v>
      </c>
      <c r="B6" s="2">
        <v>574</v>
      </c>
      <c r="C6" s="2">
        <v>1532</v>
      </c>
      <c r="D6" s="2">
        <v>386</v>
      </c>
      <c r="E6" s="8">
        <f>SUM(StateSenatorSenateDistrict61General[[#This Row],[Genesee County Vote Results]:[Part of Monroe County Vote Results]])</f>
        <v>2492</v>
      </c>
      <c r="F6" s="10"/>
    </row>
    <row r="7" spans="1:6" ht="13.8" x14ac:dyDescent="0.3">
      <c r="A7" s="1" t="s">
        <v>374</v>
      </c>
      <c r="B7" s="2">
        <v>32</v>
      </c>
      <c r="C7" s="2">
        <v>70</v>
      </c>
      <c r="D7" s="2">
        <v>25</v>
      </c>
      <c r="E7" s="8">
        <f>SUM(StateSenatorSenateDistrict61General[[#This Row],[Genesee County Vote Results]:[Part of Monroe County Vote Results]])</f>
        <v>127</v>
      </c>
      <c r="F7" s="10"/>
    </row>
    <row r="8" spans="1:6" ht="13.8" x14ac:dyDescent="0.3">
      <c r="A8" s="3" t="s">
        <v>0</v>
      </c>
      <c r="B8" s="2">
        <v>1898</v>
      </c>
      <c r="C8" s="2">
        <v>3572</v>
      </c>
      <c r="D8" s="2">
        <v>2800</v>
      </c>
      <c r="E8" s="8">
        <f>SUM(StateSenatorSenateDistrict61General[[#This Row],[Genesee County Vote Results]:[Part of Monroe County Vote Results]])</f>
        <v>8270</v>
      </c>
      <c r="F8" s="10"/>
    </row>
    <row r="9" spans="1:6" ht="13.8" x14ac:dyDescent="0.3">
      <c r="A9" s="3" t="s">
        <v>1</v>
      </c>
      <c r="B9" s="2">
        <v>20</v>
      </c>
      <c r="C9" s="2">
        <v>20</v>
      </c>
      <c r="D9" s="2">
        <v>13</v>
      </c>
      <c r="E9" s="8">
        <f>SUM(StateSenatorSenateDistrict61General[[#This Row],[Genesee County Vote Results]:[Part of Monroe County Vote Results]])</f>
        <v>53</v>
      </c>
      <c r="F9" s="10"/>
    </row>
    <row r="10" spans="1:6" ht="13.8" x14ac:dyDescent="0.3">
      <c r="A10" s="3" t="s">
        <v>6</v>
      </c>
      <c r="B10" s="2">
        <v>12</v>
      </c>
      <c r="C10" s="2">
        <v>74</v>
      </c>
      <c r="D10" s="2">
        <v>45</v>
      </c>
      <c r="E10" s="8">
        <f>SUM(StateSenatorSenateDistrict61General[[#This Row],[Genesee County Vote Results]:[Part of Monroe County Vote Results]])</f>
        <v>131</v>
      </c>
      <c r="F10" s="10"/>
    </row>
    <row r="11" spans="1:6" ht="13.8" x14ac:dyDescent="0.3">
      <c r="A11" s="11" t="s">
        <v>2</v>
      </c>
      <c r="B11" s="2">
        <f>SUM(StateSenatorSenateDistrict61General[Genesee County Vote Results])</f>
        <v>29431</v>
      </c>
      <c r="C11" s="2">
        <f>SUM(StateSenatorSenateDistrict61General[Part of Erie County Vote Results])</f>
        <v>93581</v>
      </c>
      <c r="D11" s="2">
        <f>SUM(StateSenatorSenateDistrict61General[Part of Monroe County Vote Results])</f>
        <v>33120</v>
      </c>
      <c r="E11" s="8">
        <f>SUM(StateSenatorSenateDistrict61General[Total Votes by Party])</f>
        <v>156132</v>
      </c>
      <c r="F11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85FD-B21D-4772-9EFF-B2698D116751}">
  <dimension ref="A1:F9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6" width="20.5546875" customWidth="1"/>
    <col min="7" max="8" width="23.5546875" customWidth="1"/>
  </cols>
  <sheetData>
    <row r="1" spans="1:6" ht="18" x14ac:dyDescent="0.25">
      <c r="A1" s="24" t="s">
        <v>375</v>
      </c>
    </row>
    <row r="2" spans="1:6" ht="27.6" x14ac:dyDescent="0.25">
      <c r="A2" s="4" t="s">
        <v>5</v>
      </c>
      <c r="B2" s="5" t="s">
        <v>25</v>
      </c>
      <c r="C2" s="5" t="s">
        <v>26</v>
      </c>
      <c r="D2" s="5" t="s">
        <v>50</v>
      </c>
      <c r="E2" s="6" t="s">
        <v>3</v>
      </c>
      <c r="F2" s="7" t="s">
        <v>4</v>
      </c>
    </row>
    <row r="3" spans="1:6" ht="13.8" x14ac:dyDescent="0.3">
      <c r="A3" s="1" t="s">
        <v>376</v>
      </c>
      <c r="B3" s="2">
        <v>56365</v>
      </c>
      <c r="C3" s="2">
        <v>11647</v>
      </c>
      <c r="D3" s="2">
        <v>9296</v>
      </c>
      <c r="E3" s="8">
        <f>SUM(StateSenatorSenateDistrict62General[[#This Row],[Niagara County Vote Results]:[Part of Monroe County Vote Results]])</f>
        <v>77308</v>
      </c>
      <c r="F3" s="9">
        <f>SUM(StateSenatorSenateDistrict62General[[#This Row],[Total Votes by Party]],E4,E5)</f>
        <v>101883</v>
      </c>
    </row>
    <row r="4" spans="1:6" ht="13.8" x14ac:dyDescent="0.3">
      <c r="A4" s="1" t="s">
        <v>377</v>
      </c>
      <c r="B4" s="2">
        <v>9866</v>
      </c>
      <c r="C4" s="2">
        <v>1676</v>
      </c>
      <c r="D4" s="2">
        <v>1936</v>
      </c>
      <c r="E4" s="8">
        <f>SUM(StateSenatorSenateDistrict62General[[#This Row],[Niagara County Vote Results]:[Part of Monroe County Vote Results]])</f>
        <v>13478</v>
      </c>
      <c r="F4" s="10"/>
    </row>
    <row r="5" spans="1:6" ht="13.8" x14ac:dyDescent="0.3">
      <c r="A5" s="1" t="s">
        <v>378</v>
      </c>
      <c r="B5" s="2">
        <v>8983</v>
      </c>
      <c r="C5" s="2">
        <v>905</v>
      </c>
      <c r="D5" s="2">
        <v>1209</v>
      </c>
      <c r="E5" s="8">
        <f>SUM(StateSenatorSenateDistrict62General[[#This Row],[Niagara County Vote Results]:[Part of Monroe County Vote Results]])</f>
        <v>11097</v>
      </c>
      <c r="F5" s="10"/>
    </row>
    <row r="6" spans="1:6" ht="13.8" x14ac:dyDescent="0.3">
      <c r="A6" s="3" t="s">
        <v>0</v>
      </c>
      <c r="B6" s="2">
        <v>28410</v>
      </c>
      <c r="C6" s="2">
        <v>4047</v>
      </c>
      <c r="D6" s="2">
        <v>5169</v>
      </c>
      <c r="E6" s="8">
        <f>SUM(StateSenatorSenateDistrict62General[[#This Row],[Niagara County Vote Results]:[Part of Monroe County Vote Results]])</f>
        <v>37626</v>
      </c>
      <c r="F6" s="10"/>
    </row>
    <row r="7" spans="1:6" ht="13.8" x14ac:dyDescent="0.3">
      <c r="A7" s="3" t="s">
        <v>1</v>
      </c>
      <c r="B7" s="2">
        <v>11</v>
      </c>
      <c r="C7" s="2">
        <v>12</v>
      </c>
      <c r="D7" s="2">
        <v>0</v>
      </c>
      <c r="E7" s="8">
        <f>SUM(StateSenatorSenateDistrict62General[[#This Row],[Niagara County Vote Results]:[Part of Monroe County Vote Results]])</f>
        <v>23</v>
      </c>
      <c r="F7" s="10"/>
    </row>
    <row r="8" spans="1:6" ht="13.8" x14ac:dyDescent="0.3">
      <c r="A8" s="3" t="s">
        <v>6</v>
      </c>
      <c r="B8" s="2">
        <v>690</v>
      </c>
      <c r="C8" s="2">
        <v>27</v>
      </c>
      <c r="D8" s="2">
        <v>85</v>
      </c>
      <c r="E8" s="8">
        <f>SUM(StateSenatorSenateDistrict62General[[#This Row],[Niagara County Vote Results]:[Part of Monroe County Vote Results]])</f>
        <v>802</v>
      </c>
      <c r="F8" s="10"/>
    </row>
    <row r="9" spans="1:6" ht="13.8" x14ac:dyDescent="0.3">
      <c r="A9" s="11" t="s">
        <v>2</v>
      </c>
      <c r="B9" s="2">
        <f>SUM(StateSenatorSenateDistrict62General[Niagara County Vote Results])</f>
        <v>104325</v>
      </c>
      <c r="C9" s="2">
        <f>SUM(StateSenatorSenateDistrict62General[Orleans County Vote Results])</f>
        <v>18314</v>
      </c>
      <c r="D9" s="2">
        <f>SUM(StateSenatorSenateDistrict62General[Part of Monroe County Vote Results])</f>
        <v>17695</v>
      </c>
      <c r="E9" s="8">
        <f>SUM(StateSenatorSenateDistrict62General[Total Votes by Party])</f>
        <v>140334</v>
      </c>
      <c r="F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5939-ADE1-4CB2-B895-ACB6D4ACC20F}">
  <dimension ref="A1:D9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18" x14ac:dyDescent="0.25">
      <c r="A1" s="24" t="s">
        <v>379</v>
      </c>
    </row>
    <row r="2" spans="1:4" ht="27.6" x14ac:dyDescent="0.25">
      <c r="A2" s="4" t="s">
        <v>5</v>
      </c>
      <c r="B2" s="5" t="s">
        <v>51</v>
      </c>
      <c r="C2" s="6" t="s">
        <v>3</v>
      </c>
      <c r="D2" s="7" t="s">
        <v>4</v>
      </c>
    </row>
    <row r="3" spans="1:4" ht="13.8" x14ac:dyDescent="0.3">
      <c r="A3" s="1" t="s">
        <v>380</v>
      </c>
      <c r="B3" s="2">
        <v>81308</v>
      </c>
      <c r="C3" s="8">
        <f>StateSenatorSenateDistrict63General[[#This Row],[Part of Erie County Vote Results]]</f>
        <v>81308</v>
      </c>
      <c r="D3" s="9">
        <f>SUM(StateSenatorSenateDistrict63General[[#This Row],[Total Votes by Party]],C4,C5)</f>
        <v>95417</v>
      </c>
    </row>
    <row r="4" spans="1:4" ht="13.8" x14ac:dyDescent="0.3">
      <c r="A4" s="1" t="s">
        <v>381</v>
      </c>
      <c r="B4" s="2">
        <v>10479</v>
      </c>
      <c r="C4" s="8">
        <f>StateSenatorSenateDistrict63General[[#This Row],[Part of Erie County Vote Results]]</f>
        <v>10479</v>
      </c>
      <c r="D4" s="10"/>
    </row>
    <row r="5" spans="1:4" ht="13.8" x14ac:dyDescent="0.3">
      <c r="A5" s="1" t="s">
        <v>382</v>
      </c>
      <c r="B5" s="2">
        <v>3630</v>
      </c>
      <c r="C5" s="8">
        <f>StateSenatorSenateDistrict63General[[#This Row],[Part of Erie County Vote Results]]</f>
        <v>3630</v>
      </c>
      <c r="D5" s="10"/>
    </row>
    <row r="6" spans="1:4" ht="13.8" x14ac:dyDescent="0.3">
      <c r="A6" s="3" t="s">
        <v>0</v>
      </c>
      <c r="B6" s="2">
        <v>24419</v>
      </c>
      <c r="C6" s="8">
        <f>StateSenatorSenateDistrict63General[[#This Row],[Part of Erie County Vote Results]]</f>
        <v>24419</v>
      </c>
      <c r="D6" s="10"/>
    </row>
    <row r="7" spans="1:4" ht="13.8" x14ac:dyDescent="0.3">
      <c r="A7" s="3" t="s">
        <v>1</v>
      </c>
      <c r="B7" s="2">
        <v>20</v>
      </c>
      <c r="C7" s="8">
        <f>StateSenatorSenateDistrict63General[[#This Row],[Part of Erie County Vote Results]]</f>
        <v>20</v>
      </c>
      <c r="D7" s="10"/>
    </row>
    <row r="8" spans="1:4" ht="13.8" x14ac:dyDescent="0.3">
      <c r="A8" s="3" t="s">
        <v>6</v>
      </c>
      <c r="B8" s="2">
        <v>984</v>
      </c>
      <c r="C8" s="8">
        <f>StateSenatorSenateDistrict63General[[#This Row],[Part of Erie County Vote Results]]</f>
        <v>984</v>
      </c>
      <c r="D8" s="10"/>
    </row>
    <row r="9" spans="1:4" ht="13.8" x14ac:dyDescent="0.3">
      <c r="A9" s="11" t="s">
        <v>2</v>
      </c>
      <c r="B9" s="2">
        <f>SUM(StateSenatorSenateDistrict63General[Part of Erie County Vote Results])</f>
        <v>120840</v>
      </c>
      <c r="C9" s="8">
        <f>SUM(StateSenatorSenateDistrict63General[Total Votes by Party])</f>
        <v>120840</v>
      </c>
      <c r="D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5FD1-B8D9-4250-AF21-90678C3BFE43}">
  <dimension ref="A1:D12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89</v>
      </c>
    </row>
    <row r="2" spans="1:4" ht="24.9" customHeight="1" x14ac:dyDescent="0.25">
      <c r="A2" s="4" t="s">
        <v>5</v>
      </c>
      <c r="B2" s="5" t="s">
        <v>29</v>
      </c>
      <c r="C2" s="6" t="s">
        <v>3</v>
      </c>
      <c r="D2" s="7" t="s">
        <v>4</v>
      </c>
    </row>
    <row r="3" spans="1:4" ht="13.8" x14ac:dyDescent="0.3">
      <c r="A3" s="1" t="s">
        <v>90</v>
      </c>
      <c r="B3" s="15">
        <v>84635</v>
      </c>
      <c r="C3" s="8">
        <f>StateSenatorSenateDistrict7General[[#This Row],[Part of Nassau County Vote Results]]</f>
        <v>84635</v>
      </c>
      <c r="D3" s="9">
        <f>SUM(StateSenatorSenateDistrict7General[[#This Row],[Total Votes by Party]],C6,C7,C8)</f>
        <v>89287</v>
      </c>
    </row>
    <row r="4" spans="1:4" ht="13.8" x14ac:dyDescent="0.3">
      <c r="A4" s="1" t="s">
        <v>91</v>
      </c>
      <c r="B4" s="15">
        <v>60830</v>
      </c>
      <c r="C4" s="8">
        <f>StateSenatorSenateDistrict7General[[#This Row],[Part of Nassau County Vote Results]]</f>
        <v>60830</v>
      </c>
      <c r="D4" s="9">
        <f>SUM(StateSenatorSenateDistrict7General[[#This Row],[Total Votes by Party]],C5)</f>
        <v>66170</v>
      </c>
    </row>
    <row r="5" spans="1:4" ht="13.8" x14ac:dyDescent="0.3">
      <c r="A5" s="1" t="s">
        <v>92</v>
      </c>
      <c r="B5" s="15">
        <v>5340</v>
      </c>
      <c r="C5" s="8">
        <f>StateSenatorSenateDistrict7General[[#This Row],[Part of Nassau County Vote Results]]</f>
        <v>5340</v>
      </c>
      <c r="D5" s="10"/>
    </row>
    <row r="6" spans="1:4" ht="13.8" x14ac:dyDescent="0.3">
      <c r="A6" s="1" t="s">
        <v>93</v>
      </c>
      <c r="B6" s="15">
        <v>3319</v>
      </c>
      <c r="C6" s="8">
        <f>StateSenatorSenateDistrict7General[[#This Row],[Part of Nassau County Vote Results]]</f>
        <v>3319</v>
      </c>
      <c r="D6" s="10"/>
    </row>
    <row r="7" spans="1:4" ht="13.8" x14ac:dyDescent="0.3">
      <c r="A7" s="1" t="s">
        <v>94</v>
      </c>
      <c r="B7" s="15">
        <v>1269</v>
      </c>
      <c r="C7" s="8">
        <f>StateSenatorSenateDistrict7General[[#This Row],[Part of Nassau County Vote Results]]</f>
        <v>1269</v>
      </c>
      <c r="D7" s="10"/>
    </row>
    <row r="8" spans="1:4" ht="13.8" x14ac:dyDescent="0.3">
      <c r="A8" s="1" t="s">
        <v>95</v>
      </c>
      <c r="B8" s="15">
        <v>64</v>
      </c>
      <c r="C8" s="8">
        <f>StateSenatorSenateDistrict7General[[#This Row],[Part of Nassau County Vote Results]]</f>
        <v>64</v>
      </c>
      <c r="D8" s="10"/>
    </row>
    <row r="9" spans="1:4" ht="13.8" x14ac:dyDescent="0.3">
      <c r="A9" s="3" t="s">
        <v>0</v>
      </c>
      <c r="B9" s="15">
        <v>13032</v>
      </c>
      <c r="C9" s="8">
        <f>StateSenatorSenateDistrict7General[[#This Row],[Part of Nassau County Vote Results]]</f>
        <v>13032</v>
      </c>
      <c r="D9" s="10"/>
    </row>
    <row r="10" spans="1:4" ht="13.8" x14ac:dyDescent="0.3">
      <c r="A10" s="3" t="s">
        <v>1</v>
      </c>
      <c r="B10" s="15">
        <v>112</v>
      </c>
      <c r="C10" s="8">
        <f>StateSenatorSenateDistrict7General[[#This Row],[Part of Nassau County Vote Results]]</f>
        <v>112</v>
      </c>
      <c r="D10" s="10"/>
    </row>
    <row r="11" spans="1:4" ht="13.8" x14ac:dyDescent="0.3">
      <c r="A11" s="3" t="s">
        <v>6</v>
      </c>
      <c r="B11" s="15">
        <v>49</v>
      </c>
      <c r="C11" s="8">
        <f>StateSenatorSenateDistrict7General[[#This Row],[Part of Nassau County Vote Results]]</f>
        <v>49</v>
      </c>
      <c r="D11" s="10"/>
    </row>
    <row r="12" spans="1:4" ht="13.8" x14ac:dyDescent="0.3">
      <c r="A12" s="11" t="s">
        <v>2</v>
      </c>
      <c r="B12" s="15">
        <f>SUM(StateSenatorSenateDistrict7General[Part of Nassau County Vote Results])</f>
        <v>168650</v>
      </c>
      <c r="C12" s="8">
        <f>SUM(StateSenatorSenateDistrict7General[Total Votes by Party])</f>
        <v>168650</v>
      </c>
      <c r="D12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19C5-7538-4C93-A2FD-61178384763F}">
  <dimension ref="A1:E9"/>
  <sheetViews>
    <sheetView workbookViewId="0">
      <selection activeCell="B3" sqref="B3:B10"/>
    </sheetView>
  </sheetViews>
  <sheetFormatPr defaultRowHeight="13.2" x14ac:dyDescent="0.25"/>
  <cols>
    <col min="1" max="1" width="25.5546875" customWidth="1"/>
    <col min="2" max="5" width="20.5546875" customWidth="1"/>
    <col min="6" max="7" width="23.5546875" customWidth="1"/>
  </cols>
  <sheetData>
    <row r="1" spans="1:5" ht="24.75" customHeight="1" x14ac:dyDescent="0.25">
      <c r="A1" s="24" t="s">
        <v>96</v>
      </c>
    </row>
    <row r="2" spans="1:5" ht="27.6" x14ac:dyDescent="0.25">
      <c r="A2" s="4" t="s">
        <v>5</v>
      </c>
      <c r="B2" s="5" t="s">
        <v>29</v>
      </c>
      <c r="C2" s="5" t="s">
        <v>28</v>
      </c>
      <c r="D2" s="6" t="s">
        <v>3</v>
      </c>
      <c r="E2" s="7" t="s">
        <v>4</v>
      </c>
    </row>
    <row r="3" spans="1:5" ht="13.8" x14ac:dyDescent="0.3">
      <c r="A3" s="1" t="s">
        <v>97</v>
      </c>
      <c r="B3" s="15">
        <v>62371</v>
      </c>
      <c r="C3" s="15">
        <v>18076</v>
      </c>
      <c r="D3" s="8">
        <f>SUM(StateSenatorSenateDistrict8General[[#This Row],[Part of Nassau County Vote Results]:[Part of Suffolk County Vote Results]])</f>
        <v>80447</v>
      </c>
      <c r="E3" s="9">
        <f>SUM(StateSenatorSenateDistrict8General[[#This Row],[Total Votes by Party]],D4,D5)</f>
        <v>92901</v>
      </c>
    </row>
    <row r="4" spans="1:5" ht="13.8" x14ac:dyDescent="0.3">
      <c r="A4" s="1" t="s">
        <v>98</v>
      </c>
      <c r="B4" s="15">
        <v>5329</v>
      </c>
      <c r="C4" s="15">
        <v>2241</v>
      </c>
      <c r="D4" s="8">
        <f>SUM(StateSenatorSenateDistrict8General[[#This Row],[Part of Nassau County Vote Results]:[Part of Suffolk County Vote Results]])</f>
        <v>7570</v>
      </c>
      <c r="E4" s="10"/>
    </row>
    <row r="5" spans="1:5" ht="13.8" x14ac:dyDescent="0.3">
      <c r="A5" s="1" t="s">
        <v>99</v>
      </c>
      <c r="B5" s="15">
        <v>3640</v>
      </c>
      <c r="C5" s="15">
        <v>1244</v>
      </c>
      <c r="D5" s="8">
        <f>SUM(StateSenatorSenateDistrict8General[[#This Row],[Part of Nassau County Vote Results]:[Part of Suffolk County Vote Results]])</f>
        <v>4884</v>
      </c>
      <c r="E5" s="10"/>
    </row>
    <row r="6" spans="1:5" ht="13.8" x14ac:dyDescent="0.3">
      <c r="A6" s="3" t="s">
        <v>0</v>
      </c>
      <c r="B6" s="15">
        <v>61594</v>
      </c>
      <c r="C6" s="15">
        <v>13862</v>
      </c>
      <c r="D6" s="8">
        <f>SUM(StateSenatorSenateDistrict8General[[#This Row],[Part of Nassau County Vote Results]:[Part of Suffolk County Vote Results]])</f>
        <v>75456</v>
      </c>
      <c r="E6" s="10"/>
    </row>
    <row r="7" spans="1:5" ht="13.8" x14ac:dyDescent="0.3">
      <c r="A7" s="3" t="s">
        <v>1</v>
      </c>
      <c r="B7" s="15">
        <v>3</v>
      </c>
      <c r="C7" s="15">
        <v>1</v>
      </c>
      <c r="D7" s="8">
        <f>SUM(StateSenatorSenateDistrict8General[[#This Row],[Part of Nassau County Vote Results]:[Part of Suffolk County Vote Results]])</f>
        <v>4</v>
      </c>
      <c r="E7" s="10"/>
    </row>
    <row r="8" spans="1:5" ht="13.8" x14ac:dyDescent="0.3">
      <c r="A8" s="3" t="s">
        <v>6</v>
      </c>
      <c r="B8" s="15">
        <v>509</v>
      </c>
      <c r="C8" s="15">
        <v>112</v>
      </c>
      <c r="D8" s="8">
        <f>SUM(StateSenatorSenateDistrict8General[[#This Row],[Part of Nassau County Vote Results]:[Part of Suffolk County Vote Results]])</f>
        <v>621</v>
      </c>
      <c r="E8" s="10"/>
    </row>
    <row r="9" spans="1:5" ht="13.8" x14ac:dyDescent="0.3">
      <c r="A9" s="11" t="s">
        <v>2</v>
      </c>
      <c r="B9" s="15">
        <f>SUM(StateSenatorSenateDistrict8General[Part of Nassau County Vote Results])</f>
        <v>133446</v>
      </c>
      <c r="C9" s="15">
        <f>SUM(StateSenatorSenateDistrict8General[Part of Suffolk County Vote Results])</f>
        <v>35536</v>
      </c>
      <c r="D9" s="8">
        <f>SUM(StateSenatorSenateDistrict8General[Total Votes by Party])</f>
        <v>168982</v>
      </c>
      <c r="E9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7EFF-A9CA-4C37-979C-C8A9546E2C32}">
  <dimension ref="A1:D10"/>
  <sheetViews>
    <sheetView topLeftCell="A2" workbookViewId="0">
      <selection activeCell="B3" sqref="B3:B10"/>
    </sheetView>
  </sheetViews>
  <sheetFormatPr defaultRowHeight="13.2" x14ac:dyDescent="0.25"/>
  <cols>
    <col min="1" max="1" width="25.5546875" customWidth="1"/>
    <col min="2" max="4" width="20.5546875" customWidth="1"/>
    <col min="5" max="6" width="23.5546875" customWidth="1"/>
  </cols>
  <sheetData>
    <row r="1" spans="1:4" ht="24.9" customHeight="1" x14ac:dyDescent="0.25">
      <c r="A1" s="24" t="s">
        <v>100</v>
      </c>
    </row>
    <row r="2" spans="1:4" ht="24.9" customHeight="1" x14ac:dyDescent="0.25">
      <c r="A2" s="4" t="s">
        <v>5</v>
      </c>
      <c r="B2" s="5" t="s">
        <v>29</v>
      </c>
      <c r="C2" s="6" t="s">
        <v>3</v>
      </c>
      <c r="D2" s="7" t="s">
        <v>4</v>
      </c>
    </row>
    <row r="3" spans="1:4" ht="13.8" x14ac:dyDescent="0.3">
      <c r="A3" s="1" t="s">
        <v>101</v>
      </c>
      <c r="B3" s="15">
        <v>92414</v>
      </c>
      <c r="C3" s="8">
        <f>StateSenatorSenateDistrict9General[[#This Row],[Part of Nassau County Vote Results]]</f>
        <v>92414</v>
      </c>
      <c r="D3" s="9">
        <f>SUM(StateSenatorSenateDistrict9General[[#This Row],[Total Votes by Party]],C6)</f>
        <v>94022</v>
      </c>
    </row>
    <row r="4" spans="1:4" ht="13.8" x14ac:dyDescent="0.3">
      <c r="A4" s="1" t="s">
        <v>102</v>
      </c>
      <c r="B4" s="15">
        <v>63043</v>
      </c>
      <c r="C4" s="8">
        <f>StateSenatorSenateDistrict9General[[#This Row],[Part of Nassau County Vote Results]]</f>
        <v>63043</v>
      </c>
      <c r="D4" s="9">
        <f>SUM(StateSenatorSenateDistrict9General[[#This Row],[Total Votes by Party]],C5)</f>
        <v>68961</v>
      </c>
    </row>
    <row r="5" spans="1:4" ht="13.8" x14ac:dyDescent="0.3">
      <c r="A5" s="1" t="s">
        <v>103</v>
      </c>
      <c r="B5" s="15">
        <v>5918</v>
      </c>
      <c r="C5" s="8">
        <f>StateSenatorSenateDistrict9General[[#This Row],[Part of Nassau County Vote Results]]</f>
        <v>5918</v>
      </c>
      <c r="D5" s="10"/>
    </row>
    <row r="6" spans="1:4" ht="13.8" x14ac:dyDescent="0.3">
      <c r="A6" s="1" t="s">
        <v>104</v>
      </c>
      <c r="B6" s="15">
        <v>1608</v>
      </c>
      <c r="C6" s="8">
        <f>StateSenatorSenateDistrict9General[[#This Row],[Part of Nassau County Vote Results]]</f>
        <v>1608</v>
      </c>
      <c r="D6" s="10"/>
    </row>
    <row r="7" spans="1:4" ht="13.8" x14ac:dyDescent="0.3">
      <c r="A7" s="3" t="s">
        <v>0</v>
      </c>
      <c r="B7" s="15">
        <v>13962</v>
      </c>
      <c r="C7" s="8">
        <f>StateSenatorSenateDistrict9General[[#This Row],[Part of Nassau County Vote Results]]</f>
        <v>13962</v>
      </c>
      <c r="D7" s="10"/>
    </row>
    <row r="8" spans="1:4" ht="13.8" x14ac:dyDescent="0.3">
      <c r="A8" s="3" t="s">
        <v>1</v>
      </c>
      <c r="B8" s="15">
        <v>127</v>
      </c>
      <c r="C8" s="8">
        <f>StateSenatorSenateDistrict9General[[#This Row],[Part of Nassau County Vote Results]]</f>
        <v>127</v>
      </c>
      <c r="D8" s="10"/>
    </row>
    <row r="9" spans="1:4" ht="13.8" x14ac:dyDescent="0.3">
      <c r="A9" s="3" t="s">
        <v>6</v>
      </c>
      <c r="B9" s="15">
        <v>49</v>
      </c>
      <c r="C9" s="8">
        <f>StateSenatorSenateDistrict9General[[#This Row],[Part of Nassau County Vote Results]]</f>
        <v>49</v>
      </c>
      <c r="D9" s="10"/>
    </row>
    <row r="10" spans="1:4" ht="13.8" x14ac:dyDescent="0.3">
      <c r="A10" s="11" t="s">
        <v>2</v>
      </c>
      <c r="B10" s="15">
        <f>SUM(StateSenatorSenateDistrict9General[Part of Nassau County Vote Results])</f>
        <v>177121</v>
      </c>
      <c r="C10" s="8">
        <f>SUM(StateSenatorSenateDistrict9General[Total Votes by Party])</f>
        <v>177121</v>
      </c>
      <c r="D10" s="10"/>
    </row>
  </sheetData>
  <pageMargins left="0.5" right="0.5" top="0.5" bottom="0.5" header="0.25" footer="0.25"/>
  <pageSetup paperSize="5" orientation="landscape" r:id="rId1"/>
  <headerFooter alignWithMargins="0">
    <oddFooter>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63</vt:i4>
      </vt:variant>
      <vt:variant>
        <vt:lpstr>Named Ranges</vt:lpstr>
      </vt:variant>
      <vt:variant>
        <vt:i4>1</vt:i4>
      </vt:variant>
    </vt:vector>
  </HeadingPairs>
  <TitlesOfParts>
    <vt:vector size="64" baseType="lpstr">
      <vt:lpstr>1st SD</vt:lpstr>
      <vt:lpstr>2nd SD</vt:lpstr>
      <vt:lpstr>3rd SD</vt:lpstr>
      <vt:lpstr>4th SD</vt:lpstr>
      <vt:lpstr>5th SD</vt:lpstr>
      <vt:lpstr>6th SD</vt:lpstr>
      <vt:lpstr>7th SD</vt:lpstr>
      <vt:lpstr>8th SD</vt:lpstr>
      <vt:lpstr>9th SD</vt:lpstr>
      <vt:lpstr>10th SD</vt:lpstr>
      <vt:lpstr>11th SD</vt:lpstr>
      <vt:lpstr>12th SD</vt:lpstr>
      <vt:lpstr>13th SD</vt:lpstr>
      <vt:lpstr>14th SD</vt:lpstr>
      <vt:lpstr>15th SD</vt:lpstr>
      <vt:lpstr>16th SD</vt:lpstr>
      <vt:lpstr>17th SD</vt:lpstr>
      <vt:lpstr>18th SD</vt:lpstr>
      <vt:lpstr>19th SD</vt:lpstr>
      <vt:lpstr>20th SD</vt:lpstr>
      <vt:lpstr>21st SD</vt:lpstr>
      <vt:lpstr>22nd SD</vt:lpstr>
      <vt:lpstr>23rd SD</vt:lpstr>
      <vt:lpstr>24th SD</vt:lpstr>
      <vt:lpstr>25th SD</vt:lpstr>
      <vt:lpstr>26th SD</vt:lpstr>
      <vt:lpstr>27th SD</vt:lpstr>
      <vt:lpstr>28th SD</vt:lpstr>
      <vt:lpstr>29th SD</vt:lpstr>
      <vt:lpstr>30th SD</vt:lpstr>
      <vt:lpstr>31st SD</vt:lpstr>
      <vt:lpstr>32nd SD</vt:lpstr>
      <vt:lpstr>33rd SD</vt:lpstr>
      <vt:lpstr>34th SD</vt:lpstr>
      <vt:lpstr>35th SD</vt:lpstr>
      <vt:lpstr>36th SD</vt:lpstr>
      <vt:lpstr>37th SD</vt:lpstr>
      <vt:lpstr>38th SD</vt:lpstr>
      <vt:lpstr>39th SD</vt:lpstr>
      <vt:lpstr>40th SD</vt:lpstr>
      <vt:lpstr>41st SD</vt:lpstr>
      <vt:lpstr>42nd SD</vt:lpstr>
      <vt:lpstr>43rd SD</vt:lpstr>
      <vt:lpstr>44th SD</vt:lpstr>
      <vt:lpstr>45th SD</vt:lpstr>
      <vt:lpstr>46th SD</vt:lpstr>
      <vt:lpstr>47th SD</vt:lpstr>
      <vt:lpstr>48th SD</vt:lpstr>
      <vt:lpstr>49th SD</vt:lpstr>
      <vt:lpstr>50th SD</vt:lpstr>
      <vt:lpstr>51st SD</vt:lpstr>
      <vt:lpstr>52nd SD</vt:lpstr>
      <vt:lpstr>53rd SD</vt:lpstr>
      <vt:lpstr>54th SD</vt:lpstr>
      <vt:lpstr>55th SD</vt:lpstr>
      <vt:lpstr>56th SD</vt:lpstr>
      <vt:lpstr>57th SD</vt:lpstr>
      <vt:lpstr>58th SD</vt:lpstr>
      <vt:lpstr>59th SD</vt:lpstr>
      <vt:lpstr>60th SD</vt:lpstr>
      <vt:lpstr>61st SD</vt:lpstr>
      <vt:lpstr>62nd SD</vt:lpstr>
      <vt:lpstr>63rd SD</vt:lpstr>
      <vt:lpstr>'1st SD'!Print_Area</vt:lpstr>
    </vt:vector>
  </TitlesOfParts>
  <Manager/>
  <Company>NYSBOE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pjorczak</dc:creator>
  <cp:keywords/>
  <dc:description/>
  <cp:lastModifiedBy>Joyce Cornell</cp:lastModifiedBy>
  <cp:revision/>
  <cp:lastPrinted>2020-12-03T16:33:18Z</cp:lastPrinted>
  <dcterms:created xsi:type="dcterms:W3CDTF">2008-10-28T18:22:21Z</dcterms:created>
  <dcterms:modified xsi:type="dcterms:W3CDTF">2020-12-03T18:01:28Z</dcterms:modified>
  <cp:category/>
  <cp:contentStatus/>
</cp:coreProperties>
</file>