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 Code\NYSBOE\Elections\2020\General\"/>
    </mc:Choice>
  </mc:AlternateContent>
  <xr:revisionPtr revIDLastSave="0" documentId="8_{C4ABC4F5-52E1-425C-BBDC-F14B0BDE65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st JD" sheetId="2" r:id="rId1"/>
    <sheet name="2nd JD" sheetId="258" r:id="rId2"/>
    <sheet name="5th JD" sheetId="260" r:id="rId3"/>
    <sheet name="6th JD" sheetId="261" r:id="rId4"/>
    <sheet name="7th JD" sheetId="262" r:id="rId5"/>
    <sheet name="8th JD" sheetId="263" r:id="rId6"/>
    <sheet name="9th JD" sheetId="264" r:id="rId7"/>
    <sheet name="10th JD" sheetId="265" r:id="rId8"/>
    <sheet name="11th JD" sheetId="266" r:id="rId9"/>
    <sheet name="12th JD" sheetId="267" r:id="rId10"/>
    <sheet name="13th JD" sheetId="268" r:id="rId11"/>
  </sheets>
  <definedNames>
    <definedName name="_xlnm.Print_Area" localSheetId="0">'1st JD'!$A$1:$D$10</definedName>
    <definedName name="_xlnm.Print_Area" localSheetId="1">'2nd JD'!$A$1:$D$22</definedName>
    <definedName name="_xlnm.Print_Area" localSheetId="2">'5th JD'!$A$1:$I$9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64" l="1"/>
  <c r="B26" i="262"/>
  <c r="C9" i="268" l="1"/>
  <c r="C22" i="266"/>
  <c r="C23" i="266"/>
  <c r="C24" i="266"/>
  <c r="C27" i="266"/>
  <c r="C21" i="266"/>
  <c r="C20" i="266"/>
  <c r="D20" i="266" s="1"/>
  <c r="C25" i="266"/>
  <c r="C26" i="266"/>
  <c r="C12" i="266"/>
  <c r="D12" i="266" s="1"/>
  <c r="C13" i="266"/>
  <c r="D13" i="266" s="1"/>
  <c r="C14" i="266"/>
  <c r="C15" i="266"/>
  <c r="D14" i="266" s="1"/>
  <c r="C10" i="266"/>
  <c r="C11" i="266"/>
  <c r="C16" i="266"/>
  <c r="D16" i="266" s="1"/>
  <c r="C17" i="266"/>
  <c r="D17" i="266" s="1"/>
  <c r="C18" i="266"/>
  <c r="D18" i="266" s="1"/>
  <c r="C19" i="266"/>
  <c r="D19" i="266" s="1"/>
  <c r="C28" i="266"/>
  <c r="C29" i="266"/>
  <c r="C5" i="2"/>
  <c r="D5" i="2" s="1"/>
  <c r="D21" i="266" l="1"/>
  <c r="D27" i="266"/>
  <c r="D10" i="266"/>
  <c r="D24" i="266"/>
  <c r="D34" i="265" l="1"/>
  <c r="E34" i="265" s="1"/>
  <c r="D33" i="265"/>
  <c r="D32" i="265"/>
  <c r="E32" i="265" s="1"/>
  <c r="D31" i="265"/>
  <c r="D30" i="265"/>
  <c r="E30" i="265" s="1"/>
  <c r="J20" i="262"/>
  <c r="J21" i="262"/>
  <c r="J22" i="262"/>
  <c r="J16" i="262"/>
  <c r="J17" i="262"/>
  <c r="J18" i="262"/>
  <c r="J19" i="262"/>
  <c r="J15" i="262"/>
  <c r="J13" i="262"/>
  <c r="J14" i="262"/>
  <c r="L4" i="261"/>
  <c r="M4" i="261" s="1"/>
  <c r="J4" i="262" l="1"/>
  <c r="K4" i="262" s="1"/>
  <c r="J3" i="262"/>
  <c r="K3" i="262" s="1"/>
  <c r="J5" i="262"/>
  <c r="K5" i="262" s="1"/>
  <c r="J6" i="262"/>
  <c r="J7" i="262"/>
  <c r="J8" i="262"/>
  <c r="J9" i="262"/>
  <c r="K9" i="262" s="1"/>
  <c r="J10" i="262"/>
  <c r="J11" i="262"/>
  <c r="J12" i="262"/>
  <c r="J23" i="262"/>
  <c r="J24" i="262"/>
  <c r="J25" i="262"/>
  <c r="K6" i="262" l="1"/>
  <c r="K7" i="262"/>
  <c r="K8" i="262"/>
  <c r="B13" i="268" l="1"/>
  <c r="B10" i="267"/>
  <c r="B33" i="266"/>
  <c r="C38" i="265"/>
  <c r="B38" i="265"/>
  <c r="F18" i="264"/>
  <c r="E18" i="264"/>
  <c r="D18" i="264"/>
  <c r="C18" i="264"/>
  <c r="B18" i="264"/>
  <c r="I11" i="263"/>
  <c r="H11" i="263"/>
  <c r="G11" i="263"/>
  <c r="F11" i="263"/>
  <c r="E11" i="263"/>
  <c r="D11" i="263"/>
  <c r="C11" i="263"/>
  <c r="B11" i="263"/>
  <c r="I26" i="262"/>
  <c r="H26" i="262"/>
  <c r="G26" i="262"/>
  <c r="F26" i="262"/>
  <c r="E26" i="262"/>
  <c r="D26" i="262"/>
  <c r="C26" i="262"/>
  <c r="K9" i="261"/>
  <c r="J9" i="261"/>
  <c r="I9" i="261"/>
  <c r="H9" i="261"/>
  <c r="G9" i="261"/>
  <c r="F9" i="261"/>
  <c r="E9" i="261"/>
  <c r="D9" i="261"/>
  <c r="C9" i="261"/>
  <c r="B9" i="261"/>
  <c r="G9" i="260"/>
  <c r="F9" i="260"/>
  <c r="E9" i="260"/>
  <c r="D9" i="260"/>
  <c r="C9" i="260"/>
  <c r="B9" i="260"/>
  <c r="B22" i="258" l="1"/>
  <c r="B10" i="2"/>
  <c r="L8" i="261" l="1"/>
  <c r="L7" i="261"/>
  <c r="L5" i="261"/>
  <c r="L3" i="261"/>
  <c r="M3" i="261" s="1"/>
  <c r="C3" i="268" l="1"/>
  <c r="C4" i="268"/>
  <c r="C5" i="268"/>
  <c r="C6" i="268"/>
  <c r="C7" i="268"/>
  <c r="C8" i="268"/>
  <c r="C10" i="268"/>
  <c r="C11" i="268"/>
  <c r="C9" i="267"/>
  <c r="C8" i="267"/>
  <c r="C7" i="267"/>
  <c r="C6" i="267"/>
  <c r="D6" i="267" s="1"/>
  <c r="C5" i="267"/>
  <c r="D5" i="267" s="1"/>
  <c r="C4" i="267"/>
  <c r="D4" i="267" s="1"/>
  <c r="C3" i="267"/>
  <c r="D3" i="267" s="1"/>
  <c r="C3" i="266"/>
  <c r="C4" i="266"/>
  <c r="C5" i="266"/>
  <c r="C6" i="266"/>
  <c r="D6" i="266" s="1"/>
  <c r="C7" i="266"/>
  <c r="D7" i="266" s="1"/>
  <c r="C8" i="266"/>
  <c r="D8" i="266" s="1"/>
  <c r="C9" i="266"/>
  <c r="D9" i="266" s="1"/>
  <c r="C30" i="266"/>
  <c r="C31" i="266"/>
  <c r="C32" i="266"/>
  <c r="D37" i="265"/>
  <c r="D36" i="265"/>
  <c r="D35" i="265"/>
  <c r="D29" i="265"/>
  <c r="D28" i="265"/>
  <c r="E28" i="265" s="1"/>
  <c r="D27" i="265"/>
  <c r="D26" i="265"/>
  <c r="D25" i="265"/>
  <c r="D24" i="265"/>
  <c r="D23" i="265"/>
  <c r="D22" i="265"/>
  <c r="D21" i="265"/>
  <c r="D20" i="265"/>
  <c r="D19" i="265"/>
  <c r="D18" i="265"/>
  <c r="D17" i="265"/>
  <c r="D16" i="265"/>
  <c r="D15" i="265"/>
  <c r="D14" i="265"/>
  <c r="D13" i="265"/>
  <c r="D12" i="265"/>
  <c r="D11" i="265"/>
  <c r="D10" i="265"/>
  <c r="E10" i="265" s="1"/>
  <c r="D9" i="265"/>
  <c r="E9" i="265" s="1"/>
  <c r="D8" i="265"/>
  <c r="E8" i="265" s="1"/>
  <c r="D7" i="265"/>
  <c r="E7" i="265" s="1"/>
  <c r="D6" i="265"/>
  <c r="E6" i="265" s="1"/>
  <c r="D5" i="265"/>
  <c r="E5" i="265" s="1"/>
  <c r="D4" i="265"/>
  <c r="E4" i="265" s="1"/>
  <c r="D3" i="265"/>
  <c r="E3" i="265" s="1"/>
  <c r="G17" i="264"/>
  <c r="G16" i="264"/>
  <c r="G15" i="264"/>
  <c r="G14" i="264"/>
  <c r="G13" i="264"/>
  <c r="G12" i="264"/>
  <c r="G11" i="264"/>
  <c r="G10" i="264"/>
  <c r="G9" i="264"/>
  <c r="H9" i="264" s="1"/>
  <c r="G8" i="264"/>
  <c r="H8" i="264" s="1"/>
  <c r="G7" i="264"/>
  <c r="G6" i="264"/>
  <c r="G5" i="264"/>
  <c r="H5" i="264" s="1"/>
  <c r="G4" i="264"/>
  <c r="H4" i="264" s="1"/>
  <c r="G3" i="264"/>
  <c r="H3" i="264" s="1"/>
  <c r="J3" i="263"/>
  <c r="J4" i="263"/>
  <c r="J5" i="263"/>
  <c r="J6" i="263"/>
  <c r="J7" i="263"/>
  <c r="J8" i="263"/>
  <c r="J9" i="263"/>
  <c r="J10" i="263"/>
  <c r="L6" i="261"/>
  <c r="H8" i="260"/>
  <c r="H7" i="260"/>
  <c r="H6" i="260"/>
  <c r="H5" i="260"/>
  <c r="H4" i="260"/>
  <c r="I4" i="260" s="1"/>
  <c r="H3" i="260"/>
  <c r="C21" i="258"/>
  <c r="C20" i="258"/>
  <c r="C19" i="258"/>
  <c r="C18" i="258"/>
  <c r="C17" i="258"/>
  <c r="C16" i="258"/>
  <c r="D16" i="258" s="1"/>
  <c r="C15" i="258"/>
  <c r="C14" i="258"/>
  <c r="C13" i="258"/>
  <c r="C12" i="258"/>
  <c r="D12" i="258" s="1"/>
  <c r="C11" i="258"/>
  <c r="C10" i="258"/>
  <c r="C9" i="258"/>
  <c r="C8" i="258"/>
  <c r="C7" i="258"/>
  <c r="C6" i="258"/>
  <c r="C5" i="258"/>
  <c r="C4" i="258"/>
  <c r="D4" i="258" s="1"/>
  <c r="C3" i="258"/>
  <c r="D3" i="258" s="1"/>
  <c r="H6" i="264" l="1"/>
  <c r="H7" i="264"/>
  <c r="D9" i="258"/>
  <c r="D13" i="258"/>
  <c r="D6" i="258"/>
  <c r="D3" i="268"/>
  <c r="C33" i="266"/>
  <c r="D3" i="266"/>
  <c r="D6" i="268"/>
  <c r="C10" i="267"/>
  <c r="I3" i="260"/>
  <c r="K4" i="263"/>
  <c r="C22" i="258"/>
  <c r="K3" i="263"/>
  <c r="L9" i="261"/>
  <c r="D38" i="265"/>
  <c r="J26" i="262"/>
  <c r="J11" i="263"/>
  <c r="H9" i="260"/>
  <c r="G18" i="264"/>
  <c r="C3" i="2"/>
  <c r="C4" i="2"/>
  <c r="D4" i="2" s="1"/>
  <c r="C6" i="2"/>
  <c r="D6" i="2" s="1"/>
  <c r="C7" i="2"/>
  <c r="C8" i="2"/>
  <c r="C9" i="2"/>
  <c r="D3" i="2" l="1"/>
  <c r="C10" i="2"/>
  <c r="C12" i="268" l="1"/>
  <c r="C13" i="268" s="1"/>
</calcChain>
</file>

<file path=xl/sharedStrings.xml><?xml version="1.0" encoding="utf-8"?>
<sst xmlns="http://schemas.openxmlformats.org/spreadsheetml/2006/main" count="265" uniqueCount="195">
  <si>
    <t>Blank</t>
  </si>
  <si>
    <t>Void</t>
  </si>
  <si>
    <t>Total Votes by County</t>
  </si>
  <si>
    <t>Total Votes by Party</t>
  </si>
  <si>
    <t>Total Votes by Candidate</t>
  </si>
  <si>
    <t>Supreme Court Justice 1st Judicial District - General Election - November 3, 2020</t>
  </si>
  <si>
    <t>Candidate Name (Party)</t>
  </si>
  <si>
    <t>New York County Vote Results</t>
  </si>
  <si>
    <t>Carol Sharpe (DEM)</t>
  </si>
  <si>
    <t>Ta-Tanisha James (DEM)</t>
  </si>
  <si>
    <t>David B. Cohen (DEM)</t>
  </si>
  <si>
    <t>Melissa Crane (DEM)</t>
  </si>
  <si>
    <t>Scattering</t>
  </si>
  <si>
    <t>Supreme Court Justice 2nd Judicial District - General Election - November 3, 2020</t>
  </si>
  <si>
    <t>Kings County Vote Results</t>
  </si>
  <si>
    <t>Karen B. Rothenberg (DEM)</t>
  </si>
  <si>
    <t>Beth Parlato (REP)</t>
  </si>
  <si>
    <t>Beth Parlato (CON)</t>
  </si>
  <si>
    <t>Carolyn E. Wade (DEM)</t>
  </si>
  <si>
    <t>Carolyn E. Wade (REP)</t>
  </si>
  <si>
    <t>Carolyn E. Wade (CON)</t>
  </si>
  <si>
    <t>Delores J. Thomas (DEM)</t>
  </si>
  <si>
    <t>Delores J. Thomas (REP)</t>
  </si>
  <si>
    <t>Delores J. Thomas (CON)</t>
  </si>
  <si>
    <t>Lizette Colon (DEM)</t>
  </si>
  <si>
    <t>Theresa M. Ciccotto (DEM)</t>
  </si>
  <si>
    <t>Theresa M. Ciccotto (REP)</t>
  </si>
  <si>
    <t>Theresa M. Ciccotto (CON)</t>
  </si>
  <si>
    <t>William F. Mastro (DEM)</t>
  </si>
  <si>
    <t>William F. Mastro (REP)</t>
  </si>
  <si>
    <t>William F. Mastro (CON)</t>
  </si>
  <si>
    <t>Supreme Court Justice 5th Judicial District - General Election - November 3, 2020</t>
  </si>
  <si>
    <t>Herkimer County Vote Results</t>
  </si>
  <si>
    <t>Jefferson County Vote Results</t>
  </si>
  <si>
    <t>Lewis County Vote Results</t>
  </si>
  <si>
    <t>Oneida County Vote Results</t>
  </si>
  <si>
    <t>Onondaga County Vote Results</t>
  </si>
  <si>
    <t>Oswego County Vote Results</t>
  </si>
  <si>
    <t>Rory A. McMahon (DEM)</t>
  </si>
  <si>
    <t>Michael F. Young (REP)</t>
  </si>
  <si>
    <t>Rory A. McMahon (CON)</t>
  </si>
  <si>
    <t>Supreme Court Justice 6th Judicial District - General Election - November 3, 2020</t>
  </si>
  <si>
    <t>Broome County Vote Results</t>
  </si>
  <si>
    <t>Chemung County Vote Results</t>
  </si>
  <si>
    <t>Chenango County Vote Results</t>
  </si>
  <si>
    <t>Cortland County Vote Results</t>
  </si>
  <si>
    <t>Delaware County Vote Results</t>
  </si>
  <si>
    <t>Madison County Vote Results</t>
  </si>
  <si>
    <t>Otsego County Vote Results</t>
  </si>
  <si>
    <t>Schuyler County Vote Results</t>
  </si>
  <si>
    <t>Tioga County Vote Results</t>
  </si>
  <si>
    <t>Tompkins County Vote Results</t>
  </si>
  <si>
    <t>Elizabeth A. Garry (DEM)</t>
  </si>
  <si>
    <t>Brian D. Burns (REP)</t>
  </si>
  <si>
    <t>Elizabeth A. Garry (IND)</t>
  </si>
  <si>
    <t>Supreme Court Justice 7th Judicial District - General Election - November 3, 2020</t>
  </si>
  <si>
    <t>Cayuga County Vote Results</t>
  </si>
  <si>
    <t>Livingston County Vote Results</t>
  </si>
  <si>
    <t>Monroe County Vote Results</t>
  </si>
  <si>
    <t>Ontario County Vote Results</t>
  </si>
  <si>
    <t>Seneca County Vote Results</t>
  </si>
  <si>
    <t>Steuben County Vote Results</t>
  </si>
  <si>
    <t>Wayne County Vote Results</t>
  </si>
  <si>
    <t>Yates County Vote Results</t>
  </si>
  <si>
    <t>Gino M. Nitti (DEM)</t>
  </si>
  <si>
    <t>William T. Gargan (DEM)</t>
  </si>
  <si>
    <t>Julie A. Cianca (DEM)</t>
  </si>
  <si>
    <t>Stephen K. Lindley (DEM)</t>
  </si>
  <si>
    <t>Dan Doyle (REP)</t>
  </si>
  <si>
    <t>Sam L. Valleriani (REP)</t>
  </si>
  <si>
    <t>Vince Dinolfo (REP)</t>
  </si>
  <si>
    <t>Stephen K. Lindley (REP)</t>
  </si>
  <si>
    <t>Dan Doyle (CON)</t>
  </si>
  <si>
    <t>Sam L. Valleriani (CON)</t>
  </si>
  <si>
    <t>Vince Dinolfo (CON)</t>
  </si>
  <si>
    <t>Stephen K. Lindley (CON)</t>
  </si>
  <si>
    <t>Dan Doyle (WOR)</t>
  </si>
  <si>
    <t>Sam L. Valleriani (WOR)</t>
  </si>
  <si>
    <t>Julie A. Cianca (WOR)</t>
  </si>
  <si>
    <t>Stephen K. Lindley (WOR)</t>
  </si>
  <si>
    <t>Dan Doyle (IND)</t>
  </si>
  <si>
    <t>Sam L. Valleriani (IND)</t>
  </si>
  <si>
    <t>Vince Dinolfo (IND)</t>
  </si>
  <si>
    <t>Stephen K. Lindley (IND)</t>
  </si>
  <si>
    <t>Supreme Court Justice 8th Judicial District - General Election - November 3, 2020</t>
  </si>
  <si>
    <t>Allegany County Vote Results</t>
  </si>
  <si>
    <t>Cattaraugus County Vote Results</t>
  </si>
  <si>
    <t>Chautauqua County Vote Results</t>
  </si>
  <si>
    <t>Erie County Vote Results</t>
  </si>
  <si>
    <t>Genesee County Vote Results</t>
  </si>
  <si>
    <t>Niagara County Vote Results</t>
  </si>
  <si>
    <t>Orleans County Vote Results</t>
  </si>
  <si>
    <t>Wyoming County Vote Results</t>
  </si>
  <si>
    <t>Amy C. Martoche (DEM)</t>
  </si>
  <si>
    <t>Gerald J. Greenan, III (REP)</t>
  </si>
  <si>
    <t>Gerald J. Greenan, III (CON)</t>
  </si>
  <si>
    <t>Amy C. Martoche (WOR)</t>
  </si>
  <si>
    <t>Gerald J. Greenan, III (IND)</t>
  </si>
  <si>
    <t>Supreme Court Justice 9th Judicial District - General Election - November 3, 2020</t>
  </si>
  <si>
    <t>Dutchess County Vote Results</t>
  </si>
  <si>
    <t>Orange County Vote Results</t>
  </si>
  <si>
    <t>Putnam County Vote Results</t>
  </si>
  <si>
    <t>Rockland County Vote Results</t>
  </si>
  <si>
    <t>Westchester County Vote Results</t>
  </si>
  <si>
    <t>E. Loren Williams (DEM)</t>
  </si>
  <si>
    <t>Alexandra D. Murphy (DEM)</t>
  </si>
  <si>
    <t>Robert S. Ondrovic (DEM)</t>
  </si>
  <si>
    <t>Sam D. Walker (DEM)</t>
  </si>
  <si>
    <t>Richard J. Guertin (REP)</t>
  </si>
  <si>
    <t>Mark T. Starkman (REP)</t>
  </si>
  <si>
    <t>David V. Hasin (REP)</t>
  </si>
  <si>
    <t>Sam D. Walker (REP)</t>
  </si>
  <si>
    <t>Richard J. Guertin (CON)</t>
  </si>
  <si>
    <t>Alexandra D. Murphy (CON)</t>
  </si>
  <si>
    <t>Robert S. Ondrovic (CON)</t>
  </si>
  <si>
    <t>Sam D. Walker (CON)</t>
  </si>
  <si>
    <t>Supreme Court Justice 10th Judicial District - General Election - 3, 2020</t>
  </si>
  <si>
    <t>Nassau County Vote Results</t>
  </si>
  <si>
    <t>Suffolk County Vote Results</t>
  </si>
  <si>
    <t>Valerie M. Cartright (DEM)</t>
  </si>
  <si>
    <t>Randy Sue Marber (DEM)</t>
  </si>
  <si>
    <t>Derrick J. Robinson (DEM)</t>
  </si>
  <si>
    <t>Erica L. Prager (DEM)</t>
  </si>
  <si>
    <t>Kathy G. Bergmann (DEM)</t>
  </si>
  <si>
    <t>Joseph R. Conway (DEM)</t>
  </si>
  <si>
    <t>Timothy P. Mazzei (DEM)</t>
  </si>
  <si>
    <t>Gary F. Knobel (DEM)</t>
  </si>
  <si>
    <t>Valerie M. Cartright (REP)</t>
  </si>
  <si>
    <t>Randy Sue Marber (REP)</t>
  </si>
  <si>
    <t>Derrick J. Robinson (REP)</t>
  </si>
  <si>
    <t>Erica L. Prager (REP)</t>
  </si>
  <si>
    <t>Kathy G. Bergmann (REP)</t>
  </si>
  <si>
    <t>Joseph R. Conway (REP)</t>
  </si>
  <si>
    <t>Timothy P. Mazzei (REP)</t>
  </si>
  <si>
    <t>Gary F. Knobel (REP)</t>
  </si>
  <si>
    <t>Valerie M. Cartright (CON)</t>
  </si>
  <si>
    <t>Randy Sue Marber (CON)</t>
  </si>
  <si>
    <t>Derrick J. Robinson (CON)</t>
  </si>
  <si>
    <t>Erica L. Prager (CON)</t>
  </si>
  <si>
    <t>Kathy G. Bergmann (CON)</t>
  </si>
  <si>
    <t>Joseph R. Conway (CON)</t>
  </si>
  <si>
    <t>Timothy P. Mazzei (CON)</t>
  </si>
  <si>
    <t>Gary F. Knobel (CON)</t>
  </si>
  <si>
    <t>Valerie M. Cartright (IND)</t>
  </si>
  <si>
    <t>Bryan L. Browns (IND)</t>
  </si>
  <si>
    <t>Derrick J. Robinson (IND)</t>
  </si>
  <si>
    <t>Patricia M. Blake (IND)</t>
  </si>
  <si>
    <t>Kathy G. Bergmann (IND)</t>
  </si>
  <si>
    <t>Randy  Berler (IND)</t>
  </si>
  <si>
    <t>Timothy P. Mazzei (IND)</t>
  </si>
  <si>
    <t>Evan Tanenbaum (IND)</t>
  </si>
  <si>
    <t>Supreme Court Justice 11th Judicial District - General Election - 3, 2020</t>
  </si>
  <si>
    <t>Queens County Vote Results</t>
  </si>
  <si>
    <t>Tracy A. Catapano-Fox (DEM)</t>
  </si>
  <si>
    <t>Tracy A. Catapano-Fox (REP)</t>
  </si>
  <si>
    <t>Tracy A. Catapano-Fox (CON)</t>
  </si>
  <si>
    <t>Joshua E. Goldfein (WOR)</t>
  </si>
  <si>
    <t>Mojgan Cohanim Lancman (DEM)</t>
  </si>
  <si>
    <t>Bob Cohen (WOR)</t>
  </si>
  <si>
    <t>Lance P. Evans (DEM)</t>
  </si>
  <si>
    <t>Joseph F. Kasper (REP)</t>
  </si>
  <si>
    <t>Joseph F. Kasper (CON)</t>
  </si>
  <si>
    <t>Judith Goldiner (WOR)</t>
  </si>
  <si>
    <t>Karina E. Alomar (DEM)</t>
  </si>
  <si>
    <t>John C. Spataro (REP)</t>
  </si>
  <si>
    <t>John C. Spataro (CON)</t>
  </si>
  <si>
    <t>Kenneth Schaeffer (WOR)</t>
  </si>
  <si>
    <t>Michelle A. Johnson (DEM)</t>
  </si>
  <si>
    <t>Afua Atta-Mensah (WOR)</t>
  </si>
  <si>
    <t>Darrell L. Gavrin (DEM)</t>
  </si>
  <si>
    <t>Justin Sweet (WOR)</t>
  </si>
  <si>
    <t>Evelyn L. Braun (DEM)</t>
  </si>
  <si>
    <t>Evelyn L. Braun (REP)</t>
  </si>
  <si>
    <t>Evelyn L. Braun (CON)</t>
  </si>
  <si>
    <t>Kevin J. Kerrigan (DEM)</t>
  </si>
  <si>
    <t>Kevin J. Kerrigan (REP)</t>
  </si>
  <si>
    <t>Kevin J. Kerrigan (CON)</t>
  </si>
  <si>
    <t>Leonard Livote (DEM)</t>
  </si>
  <si>
    <t>Leonard Livote (REP)</t>
  </si>
  <si>
    <t>Leonard Livote (CON)</t>
  </si>
  <si>
    <t>Supreme Court Justice 12th Judicial District - General Election - November 3, 2020</t>
  </si>
  <si>
    <t>Bronx County Vote Results</t>
  </si>
  <si>
    <t>Kim Adair Wilson (DEM)</t>
  </si>
  <si>
    <t>Orlando Molina (REP)</t>
  </si>
  <si>
    <t>Andrew J. Cohen (DEM)</t>
  </si>
  <si>
    <t>Bianka Perez (DEM)</t>
  </si>
  <si>
    <t>Supreme Court Justice 13th Judicial District - General Election - November 3, 2020</t>
  </si>
  <si>
    <t>Richmond County Vote Results</t>
  </si>
  <si>
    <t>Mario F. Mattei (DEM)</t>
  </si>
  <si>
    <t>Mario F. Mattei (REP)</t>
  </si>
  <si>
    <t>Mario F. Mattei (SAM)</t>
  </si>
  <si>
    <t>Lisa Grey (DEM)</t>
  </si>
  <si>
    <t>Lisa Grey (REP)</t>
  </si>
  <si>
    <t>Lisa Grey (CON)</t>
  </si>
  <si>
    <t>Lisa Grey 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</si>
</sst>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3" borderId="4" xfId="0" applyFont="1" applyFill="1" applyBorder="1"/>
    <xf numFmtId="3" fontId="3" fillId="0" borderId="1" xfId="0" applyNumberFormat="1" applyFont="1" applyBorder="1"/>
    <xf numFmtId="0" fontId="4" fillId="3" borderId="5" xfId="0" applyFont="1" applyFill="1" applyBorder="1"/>
    <xf numFmtId="3" fontId="3" fillId="0" borderId="3" xfId="0" applyNumberFormat="1" applyFont="1" applyBorder="1"/>
    <xf numFmtId="0" fontId="4" fillId="2" borderId="6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3" fillId="5" borderId="1" xfId="0" applyNumberFormat="1" applyFont="1" applyFill="1" applyBorder="1"/>
    <xf numFmtId="0" fontId="4" fillId="3" borderId="1" xfId="0" applyFont="1" applyFill="1" applyBorder="1"/>
    <xf numFmtId="3" fontId="4" fillId="5" borderId="1" xfId="0" applyNumberFormat="1" applyFont="1" applyFill="1" applyBorder="1"/>
    <xf numFmtId="0" fontId="4" fillId="6" borderId="8" xfId="0" applyFont="1" applyFill="1" applyBorder="1" applyAlignment="1">
      <alignment horizontal="right" vertical="center"/>
    </xf>
    <xf numFmtId="3" fontId="3" fillId="7" borderId="9" xfId="0" applyNumberFormat="1" applyFont="1" applyFill="1" applyBorder="1"/>
    <xf numFmtId="3" fontId="3" fillId="5" borderId="9" xfId="0" applyNumberFormat="1" applyFont="1" applyFill="1" applyBorder="1"/>
    <xf numFmtId="3" fontId="3" fillId="5" borderId="7" xfId="0" applyNumberFormat="1" applyFont="1" applyFill="1" applyBorder="1"/>
    <xf numFmtId="3" fontId="3" fillId="8" borderId="1" xfId="0" applyNumberFormat="1" applyFont="1" applyFill="1" applyBorder="1"/>
    <xf numFmtId="3" fontId="3" fillId="0" borderId="1" xfId="0" applyNumberFormat="1" applyFont="1" applyFill="1" applyBorder="1"/>
    <xf numFmtId="3" fontId="3" fillId="0" borderId="3" xfId="0" applyNumberFormat="1" applyFont="1" applyFill="1" applyBorder="1"/>
    <xf numFmtId="0" fontId="5" fillId="0" borderId="1" xfId="0" applyFont="1" applyFill="1" applyBorder="1" applyAlignment="1"/>
    <xf numFmtId="3" fontId="5" fillId="0" borderId="1" xfId="0" applyNumberFormat="1" applyFont="1" applyFill="1" applyBorder="1" applyAlignment="1"/>
    <xf numFmtId="3" fontId="5" fillId="0" borderId="1" xfId="0" applyNumberFormat="1" applyFont="1" applyBorder="1"/>
    <xf numFmtId="3" fontId="5" fillId="0" borderId="1" xfId="0" applyNumberFormat="1" applyFont="1" applyBorder="1" applyAlignment="1">
      <alignment horizontal="right"/>
    </xf>
    <xf numFmtId="3" fontId="5" fillId="0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3" fontId="3" fillId="9" borderId="1" xfId="0" applyNumberFormat="1" applyFont="1" applyFill="1" applyBorder="1"/>
  </cellXfs>
  <cellStyles count="1">
    <cellStyle name="Normal" xfId="0" builtinId="0"/>
  </cellStyles>
  <dxfs count="2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A7B38AE-FF4D-4435-A6E2-61E90CC0D0E5}" name="SupremeCourtJusticeJudicialDistrict1General" displayName="SupremeCourtJusticeJudicialDistrict1General" ref="A2:D10" totalsRowCount="1" headerRowDxfId="217" dataDxfId="215" totalsRowDxfId="213" headerRowBorderDxfId="216" tableBorderDxfId="214" totalsRowBorderDxfId="212">
  <autoFilter ref="A2:D9" xr:uid="{F26933FE-E204-4D58-9B2B-965FFD5AE4AE}">
    <filterColumn colId="0" hiddenButton="1"/>
    <filterColumn colId="1" hiddenButton="1"/>
    <filterColumn colId="2" hiddenButton="1"/>
    <filterColumn colId="3" hiddenButton="1"/>
  </autoFilter>
  <tableColumns count="4">
    <tableColumn id="1" xr3:uid="{02B664EC-A2D9-4911-A779-5E3633F1771A}" name="Candidate Name (Party)" totalsRowLabel="Total Votes by County" dataDxfId="211" totalsRowDxfId="210"/>
    <tableColumn id="4" xr3:uid="{E0790EB0-1B93-473B-8857-28DAD38870F7}" name="New York County Vote Results" totalsRowFunction="custom" dataDxfId="209" totalsRowDxfId="208">
      <totalsRowFormula>SUM(SupremeCourtJusticeJudicialDistrict1General[New York County Vote Results])</totalsRowFormula>
    </tableColumn>
    <tableColumn id="3" xr3:uid="{549DA673-964E-4BB1-B256-99462C0CC975}" name="Total Votes by Party" totalsRowFunction="custom" dataDxfId="207" totalsRowDxfId="206">
      <calculatedColumnFormula>SupremeCourtJusticeJudicialDistrict1General[[#This Row],[New York County Vote Results]]</calculatedColumnFormula>
      <totalsRowFormula>SUM(SupremeCourtJusticeJudicialDistrict1General[Total Votes by Party])</totalsRowFormula>
    </tableColumn>
    <tableColumn id="2" xr3:uid="{F0241C67-C740-475C-ACA2-5DDB5306D28E}" name="Total Votes by Candidate" dataDxfId="205" totalsRowDxfId="204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2E0414B6-1216-48EF-AD24-73B23D6959E6}" name="SupremeCourtJusticeJudicialDistrict12General" displayName="SupremeCourtJusticeJudicialDistrict12General" ref="A2:D10" totalsRowCount="1" headerRowDxfId="27" dataDxfId="25" totalsRowDxfId="23" headerRowBorderDxfId="26" tableBorderDxfId="24" totalsRowBorderDxfId="22">
  <autoFilter ref="A2:D9" xr:uid="{DE86D88A-CC4D-43A8-8848-4070F07B9FEB}">
    <filterColumn colId="0" hiddenButton="1"/>
    <filterColumn colId="1" hiddenButton="1"/>
    <filterColumn colId="2" hiddenButton="1"/>
    <filterColumn colId="3" hiddenButton="1"/>
  </autoFilter>
  <tableColumns count="4">
    <tableColumn id="1" xr3:uid="{F28D853C-686B-4D36-918C-D424D7374A5F}" name="Candidate Name (Party)" totalsRowLabel="Total Votes by County" dataDxfId="21" totalsRowDxfId="20"/>
    <tableColumn id="4" xr3:uid="{42D736CD-4197-428E-BEDA-21112E807D64}" name="Bronx County Vote Results" totalsRowFunction="custom" dataDxfId="19" totalsRowDxfId="18">
      <totalsRowFormula>SUM(SupremeCourtJusticeJudicialDistrict12General[Bronx County Vote Results])</totalsRowFormula>
    </tableColumn>
    <tableColumn id="3" xr3:uid="{08BAAAE0-4337-45B1-95CE-74C7187E1EF9}" name="Total Votes by Party" totalsRowFunction="custom" dataDxfId="17" totalsRowDxfId="16">
      <totalsRowFormula>SUM(SupremeCourtJusticeJudicialDistrict12General[Total Votes by Party])</totalsRowFormula>
    </tableColumn>
    <tableColumn id="2" xr3:uid="{B247FED8-EC23-4AE9-9F2A-F7B2C3C9B52F}" name="Total Votes by Candidate" dataDxfId="15" totalsRowDxfId="1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F273FE15-4F7D-424C-B7ED-3225282F7E44}" name="SupremeCourtJusticeJudicialDistrict13General" displayName="SupremeCourtJusticeJudicialDistrict13General" ref="A2:D13" totalsRowCount="1" headerRowDxfId="13" dataDxfId="11" totalsRowDxfId="9" headerRowBorderDxfId="12" tableBorderDxfId="10" totalsRowBorderDxfId="8">
  <autoFilter ref="A2:D12" xr:uid="{FAF317E4-F5CA-4F99-B3D9-D288CA1CBD25}">
    <filterColumn colId="0" hiddenButton="1"/>
    <filterColumn colId="1" hiddenButton="1"/>
    <filterColumn colId="2" hiddenButton="1"/>
    <filterColumn colId="3" hiddenButton="1"/>
  </autoFilter>
  <tableColumns count="4">
    <tableColumn id="1" xr3:uid="{4B9611D4-B3DE-4CA4-8342-9512B17BA0E1}" name="Candidate Name (Party)" totalsRowLabel="Total Votes by County" dataDxfId="7" totalsRowDxfId="6"/>
    <tableColumn id="4" xr3:uid="{20400E1C-8684-4202-946F-FEB1A28801C5}" name="Richmond County Vote Results" totalsRowFunction="custom" dataDxfId="5" totalsRowDxfId="4">
      <totalsRowFormula>SUM(SupremeCourtJusticeJudicialDistrict13General[Richmond County Vote Results])</totalsRowFormula>
    </tableColumn>
    <tableColumn id="3" xr3:uid="{E44C63B5-D140-4F76-82E5-ABD4A2DFA793}" name="Total Votes by Party" totalsRowFunction="custom" dataDxfId="3" totalsRowDxfId="2">
      <calculatedColumnFormula>SupremeCourtJusticeJudicialDistrict13General[[#This Row],[Richmond County Vote Results]]</calculatedColumnFormula>
      <totalsRowFormula>SUM(SupremeCourtJusticeJudicialDistrict13General[Total Votes by Party])</totalsRowFormula>
    </tableColumn>
    <tableColumn id="2" xr3:uid="{8A1E5DE4-B1DC-4667-9CC7-EF5A78AECA5A}" name="Total Votes by Candidate" dataDxfId="1" totalsRowDxfId="0">
      <calculatedColumnFormula>SupremeCourtJusticeJudicialDistrict12General[[#This Row],[Total Votes by Party]]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F31D2B36-2978-4096-B4E5-FED96DA8A3E9}" name="SupremeCourtJusticeJudicialDistrict2General" displayName="SupremeCourtJusticeJudicialDistrict2General" ref="A2:D22" totalsRowCount="1" headerRowDxfId="203" dataDxfId="201" totalsRowDxfId="199" headerRowBorderDxfId="202" tableBorderDxfId="200" totalsRowBorderDxfId="198">
  <autoFilter ref="A2:D21" xr:uid="{965A4E54-0880-494E-8116-F869F655CCCC}">
    <filterColumn colId="0" hiddenButton="1"/>
    <filterColumn colId="1" hiddenButton="1"/>
    <filterColumn colId="2" hiddenButton="1"/>
    <filterColumn colId="3" hiddenButton="1"/>
  </autoFilter>
  <tableColumns count="4">
    <tableColumn id="1" xr3:uid="{71576041-40D6-4B55-B7E1-5677D4FD27E4}" name="Candidate Name (Party)" totalsRowLabel="Total Votes by County" dataDxfId="197" totalsRowDxfId="196"/>
    <tableColumn id="4" xr3:uid="{2469E7F9-902B-4926-8A25-2463946F1E6B}" name="Kings County Vote Results" totalsRowFunction="custom" totalsRowDxfId="195">
      <totalsRowFormula>SUM(SupremeCourtJusticeJudicialDistrict2General[Kings County Vote Results])</totalsRowFormula>
    </tableColumn>
    <tableColumn id="3" xr3:uid="{ADD329A3-25EB-4EBD-9C07-AA84349E8DF4}" name="Total Votes by Party" totalsRowFunction="custom" dataDxfId="194" totalsRowDxfId="193">
      <totalsRowFormula>SUM(SupremeCourtJusticeJudicialDistrict2General[Total Votes by Party])</totalsRowFormula>
    </tableColumn>
    <tableColumn id="2" xr3:uid="{ACFE8CF7-1C6C-4DDB-BE70-F63EC29BBE97}" name="Total Votes by Candidate" dataDxfId="192" totalsRowDxfId="19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EB3587F5-DB8E-4F37-B4C8-E7477D2187E8}" name="SupremeCourtJusticeJudicialDistrict5General" displayName="SupremeCourtJusticeJudicialDistrict5General" ref="A2:I9" totalsRowCount="1" headerRowDxfId="190" dataDxfId="188" totalsRowDxfId="186" headerRowBorderDxfId="189" tableBorderDxfId="187" totalsRowBorderDxfId="185">
  <autoFilter ref="A2:I8" xr:uid="{A40D9807-6526-4980-B4FE-57B09E4932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DFFD150-E4E3-4F5A-9939-5DBC8A0F9A9F}" name="Candidate Name (Party)" totalsRowLabel="Total Votes by County" dataDxfId="184" totalsRowDxfId="183"/>
    <tableColumn id="2" xr3:uid="{83C147E2-9BBB-4CD2-848D-93D73D0F954A}" name="Herkimer County Vote Results" totalsRowFunction="custom" dataDxfId="182" totalsRowDxfId="181">
      <totalsRowFormula>SUM(SupremeCourtJusticeJudicialDistrict5General[Herkimer County Vote Results])</totalsRowFormula>
    </tableColumn>
    <tableColumn id="9" xr3:uid="{18FDF415-2EDB-4C56-838A-FC9309E6328A}" name="Jefferson County Vote Results" totalsRowFunction="custom" dataDxfId="180" totalsRowDxfId="179">
      <totalsRowFormula>SUM(SupremeCourtJusticeJudicialDistrict5General[Jefferson County Vote Results])</totalsRowFormula>
    </tableColumn>
    <tableColumn id="8" xr3:uid="{754D0C4D-7709-4282-AC55-C64E38FD08C3}" name="Lewis County Vote Results" totalsRowFunction="custom" dataDxfId="178" totalsRowDxfId="177">
      <totalsRowFormula>SUM(SupremeCourtJusticeJudicialDistrict5General[Lewis County Vote Results])</totalsRowFormula>
    </tableColumn>
    <tableColumn id="7" xr3:uid="{3655E802-6482-4528-8D3F-F5A69CDF10D2}" name="Oneida County Vote Results" totalsRowFunction="custom" dataDxfId="176" totalsRowDxfId="175">
      <totalsRowFormula>SUM(SupremeCourtJusticeJudicialDistrict5General[Oneida County Vote Results])</totalsRowFormula>
    </tableColumn>
    <tableColumn id="3" xr3:uid="{AFBA5A3D-5B13-44AF-B013-A061AA8DB9E8}" name="Onondaga County Vote Results" totalsRowFunction="custom" dataDxfId="174" totalsRowDxfId="173">
      <totalsRowFormula>SUM(SupremeCourtJusticeJudicialDistrict5General[Onondaga County Vote Results])</totalsRowFormula>
    </tableColumn>
    <tableColumn id="4" xr3:uid="{A30E96EA-6221-4EBF-94CF-383518D6BA85}" name="Oswego County Vote Results" totalsRowFunction="custom" dataDxfId="172" totalsRowDxfId="171">
      <totalsRowFormula>SUM(SupremeCourtJusticeJudicialDistrict5General[Oswego County Vote Results])</totalsRowFormula>
    </tableColumn>
    <tableColumn id="6" xr3:uid="{43B2D2CB-1F74-4647-93D4-7C29229343D6}" name="Total Votes by Party" totalsRowFunction="custom" dataDxfId="170" totalsRowDxfId="169">
      <totalsRowFormula>SUM(SupremeCourtJusticeJudicialDistrict5General[Total Votes by Party])</totalsRowFormula>
    </tableColumn>
    <tableColumn id="5" xr3:uid="{0B4E0C15-205A-453C-B8C8-D10E15F78D08}" name="Total Votes by Candidate" dataDxfId="168" totalsRowDxfId="16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8830A0F-F41D-4057-9C1D-9810688DD3DB}" name="SupremeCourtJusticeJudicialDistrict6General" displayName="SupremeCourtJusticeJudicialDistrict6General" ref="A2:M9" totalsRowCount="1" headerRowDxfId="166" dataDxfId="164" totalsRowDxfId="162" headerRowBorderDxfId="165" tableBorderDxfId="163" totalsRowBorderDxfId="161">
  <autoFilter ref="A2:M8" xr:uid="{255643C0-3E9F-4065-BC76-EA9F240040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2619BFA-F64C-4ADF-B3AC-FD56178E60C0}" name="Candidate Name (Party)" totalsRowLabel="Total Votes by County" dataDxfId="160" totalsRowDxfId="159"/>
    <tableColumn id="2" xr3:uid="{2BC5F9F7-33EB-4716-915D-C06FB658EFF6}" name="Broome County Vote Results" totalsRowFunction="custom" dataDxfId="158" totalsRowDxfId="157">
      <totalsRowFormula>SUM(SupremeCourtJusticeJudicialDistrict6General[Broome County Vote Results])</totalsRowFormula>
    </tableColumn>
    <tableColumn id="9" xr3:uid="{E845202B-635B-45E1-89C4-07C4CA3CF5B4}" name="Chemung County Vote Results" totalsRowFunction="custom" dataDxfId="156" totalsRowDxfId="155">
      <totalsRowFormula>SUM(SupremeCourtJusticeJudicialDistrict6General[Chemung County Vote Results])</totalsRowFormula>
    </tableColumn>
    <tableColumn id="8" xr3:uid="{480701BA-BA0F-4CAD-8732-0C06790BC76F}" name="Chenango County Vote Results" totalsRowFunction="custom" dataDxfId="154" totalsRowDxfId="153">
      <totalsRowFormula>SUM(SupremeCourtJusticeJudicialDistrict6General[Chenango County Vote Results])</totalsRowFormula>
    </tableColumn>
    <tableColumn id="12" xr3:uid="{F970D2DC-D208-46AE-8BD8-1E79A3466908}" name="Cortland County Vote Results" totalsRowFunction="custom" dataDxfId="152" totalsRowDxfId="151">
      <totalsRowFormula>SUM(SupremeCourtJusticeJudicialDistrict6General[Cortland County Vote Results])</totalsRowFormula>
    </tableColumn>
    <tableColumn id="11" xr3:uid="{66DB5F99-6536-419C-B0FB-5CE1B398A106}" name="Delaware County Vote Results" totalsRowFunction="custom" dataDxfId="150" totalsRowDxfId="149">
      <totalsRowFormula>SUM(SupremeCourtJusticeJudicialDistrict6General[Delaware County Vote Results])</totalsRowFormula>
    </tableColumn>
    <tableColumn id="10" xr3:uid="{2F458E70-9D62-4EBD-81B4-F1D9436C07CA}" name="Madison County Vote Results" totalsRowFunction="custom" dataDxfId="148" totalsRowDxfId="147">
      <totalsRowFormula>SUM(SupremeCourtJusticeJudicialDistrict6General[Madison County Vote Results])</totalsRowFormula>
    </tableColumn>
    <tableColumn id="7" xr3:uid="{9F0D58A9-0DD7-4531-88E8-7F0459CE8655}" name="Otsego County Vote Results" totalsRowFunction="custom" dataDxfId="146" totalsRowDxfId="145">
      <totalsRowFormula>SUM(SupremeCourtJusticeJudicialDistrict6General[Otsego County Vote Results])</totalsRowFormula>
    </tableColumn>
    <tableColumn id="6" xr3:uid="{5C8FCD82-95EB-47C4-8CE3-29FA859584C7}" name="Schuyler County Vote Results" totalsRowFunction="custom" dataDxfId="144" totalsRowDxfId="143">
      <totalsRowFormula>SUM(SupremeCourtJusticeJudicialDistrict6General[Schuyler County Vote Results])</totalsRowFormula>
    </tableColumn>
    <tableColumn id="3" xr3:uid="{AF9AFB12-746E-4F72-82D6-992E5F90B1E4}" name="Tioga County Vote Results" totalsRowFunction="custom" dataDxfId="142" totalsRowDxfId="141">
      <totalsRowFormula>SUM(SupremeCourtJusticeJudicialDistrict6General[Tioga County Vote Results])</totalsRowFormula>
    </tableColumn>
    <tableColumn id="4" xr3:uid="{DAF5E336-3C5C-43DD-B07D-4BFE1FC8083D}" name="Tompkins County Vote Results" totalsRowFunction="custom" dataDxfId="140" totalsRowDxfId="139">
      <totalsRowFormula>SUM(SupremeCourtJusticeJudicialDistrict6General[Tompkins County Vote Results])</totalsRowFormula>
    </tableColumn>
    <tableColumn id="13" xr3:uid="{7CB839B2-17FE-486E-8FFA-898BBB15D555}" name="Total Votes by Party" totalsRowFunction="custom" dataDxfId="138" totalsRowDxfId="137">
      <calculatedColumnFormula>SUM(SupremeCourtJusticeJudicialDistrict6General[[#This Row],[Broome County Vote Results]:[Tompkins County Vote Results]])</calculatedColumnFormula>
      <totalsRowFormula>SUM(SupremeCourtJusticeJudicialDistrict6General[Total Votes by Party])</totalsRowFormula>
    </tableColumn>
    <tableColumn id="5" xr3:uid="{B3A67BE9-3481-41BB-A5EA-CE10006BFDB9}" name="Total Votes by Candidate" dataDxfId="136" totalsRowDxfId="135">
      <calculatedColumnFormula>SUM(SupremeCourtJusticeJudicialDistrict6General[[#This Row],[Total Votes by Party]],L5)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3D6462AC-67A4-44B5-B36E-AB7A30102C12}" name="SupremeCourtJusticeJudicialDistrict7General" displayName="SupremeCourtJusticeJudicialDistrict7General" ref="A2:K26" totalsRowCount="1" headerRowDxfId="134" dataDxfId="132" totalsRowDxfId="130" headerRowBorderDxfId="133" tableBorderDxfId="131" totalsRowBorderDxfId="129">
  <autoFilter ref="A2:K25" xr:uid="{4A698953-4787-42EF-B5E8-7683CF8B90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4BEFBEF-97E2-496B-B7BE-A4467402BC27}" name="Candidate Name (Party)" totalsRowLabel="Total Votes by County" dataDxfId="128" totalsRowDxfId="127"/>
    <tableColumn id="2" xr3:uid="{CC38592D-FD73-4D7D-9BB2-504E75CD8B6F}" name="Cayuga County Vote Results" totalsRowFunction="custom" dataDxfId="126" totalsRowDxfId="125">
      <totalsRowFormula>SUM(SupremeCourtJusticeJudicialDistrict7General[Cayuga County Vote Results])</totalsRowFormula>
    </tableColumn>
    <tableColumn id="9" xr3:uid="{67362306-932F-4D34-A106-CE4B107F5041}" name="Livingston County Vote Results" totalsRowFunction="custom" dataDxfId="124" totalsRowDxfId="123">
      <totalsRowFormula>SUM(SupremeCourtJusticeJudicialDistrict7General[Livingston County Vote Results])</totalsRowFormula>
    </tableColumn>
    <tableColumn id="8" xr3:uid="{B28C0287-F7B8-4125-9741-ECA01FEC85B7}" name="Monroe County Vote Results" totalsRowFunction="custom" dataDxfId="122" totalsRowDxfId="121">
      <totalsRowFormula>SUM(SupremeCourtJusticeJudicialDistrict7General[Monroe County Vote Results])</totalsRowFormula>
    </tableColumn>
    <tableColumn id="11" xr3:uid="{B8214F10-D87C-4A43-899C-17933F328F7C}" name="Ontario County Vote Results" totalsRowFunction="custom" dataDxfId="120" totalsRowDxfId="119">
      <totalsRowFormula>SUM(SupremeCourtJusticeJudicialDistrict7General[Ontario County Vote Results])</totalsRowFormula>
    </tableColumn>
    <tableColumn id="10" xr3:uid="{D4F04DEC-E619-4939-9992-BAB7BFC985A2}" name="Seneca County Vote Results" totalsRowFunction="custom" dataDxfId="118" totalsRowDxfId="117">
      <totalsRowFormula>SUM(SupremeCourtJusticeJudicialDistrict7General[Seneca County Vote Results])</totalsRowFormula>
    </tableColumn>
    <tableColumn id="7" xr3:uid="{DFE6BF67-4B96-48F4-BE6D-7827A3CE9E85}" name="Steuben County Vote Results" totalsRowFunction="custom" dataDxfId="116" totalsRowDxfId="115">
      <totalsRowFormula>SUM(SupremeCourtJusticeJudicialDistrict7General[Steuben County Vote Results])</totalsRowFormula>
    </tableColumn>
    <tableColumn id="3" xr3:uid="{4A9F3B25-4DCE-491D-9AB7-1211462FC706}" name="Wayne County Vote Results" totalsRowFunction="custom" dataDxfId="114" totalsRowDxfId="113">
      <totalsRowFormula>SUM(SupremeCourtJusticeJudicialDistrict7General[Wayne County Vote Results])</totalsRowFormula>
    </tableColumn>
    <tableColumn id="4" xr3:uid="{50C00CC7-118C-45E8-8164-E9DB9A91E6B3}" name="Yates County Vote Results" totalsRowFunction="custom" dataDxfId="112" totalsRowDxfId="111">
      <totalsRowFormula>SUM(SupremeCourtJusticeJudicialDistrict7General[Yates County Vote Results])</totalsRowFormula>
    </tableColumn>
    <tableColumn id="6" xr3:uid="{F6374326-092D-49D5-A0B4-6C1A169EE8EF}" name="Total Votes by Party" totalsRowFunction="custom" dataDxfId="110" totalsRowDxfId="109">
      <calculatedColumnFormula>SUM(SupremeCourtJusticeJudicialDistrict7General[[#This Row],[Monroe County Vote Results]:[Yates County Vote Results]])</calculatedColumnFormula>
      <totalsRowFormula>SUM(SupremeCourtJusticeJudicialDistrict7General[Total Votes by Party])</totalsRowFormula>
    </tableColumn>
    <tableColumn id="5" xr3:uid="{9672B4BB-01A8-40E4-818D-685CC958D739}" name="Total Votes by Candidate" dataDxfId="108" totalsRowDxfId="107">
      <calculatedColumnFormula>SUM(SupremeCourtJusticeJudicialDistrict7General[[#This Row],[Total Votes by Party]],J15)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06F2144-A5E3-475B-A27C-A16ED434F5AA}" name="SupremeCourtJusticeJudicialDistrict8General" displayName="SupremeCourtJusticeJudicialDistrict8General" ref="A2:K11" totalsRowCount="1" headerRowDxfId="106" dataDxfId="104" totalsRowDxfId="102" headerRowBorderDxfId="105" tableBorderDxfId="103" totalsRowBorderDxfId="101">
  <autoFilter ref="A2:K10" xr:uid="{BA26D69A-8223-4C72-ACE7-80CECD8130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01431C6-72DF-4D69-A4E2-7BC01831D242}" name="Candidate Name (Party)" totalsRowLabel="Total Votes by County" dataDxfId="100" totalsRowDxfId="99"/>
    <tableColumn id="2" xr3:uid="{A8612375-1AFD-4EA9-8007-1646FDF863E1}" name="Allegany County Vote Results" totalsRowFunction="custom" dataDxfId="98" totalsRowDxfId="97">
      <totalsRowFormula>SUM(SupremeCourtJusticeJudicialDistrict8General[Allegany County Vote Results])</totalsRowFormula>
    </tableColumn>
    <tableColumn id="9" xr3:uid="{525D5304-6EFA-4839-AF28-7100F82A7874}" name="Cattaraugus County Vote Results" totalsRowFunction="custom" dataDxfId="96" totalsRowDxfId="95">
      <totalsRowFormula>SUM(SupremeCourtJusticeJudicialDistrict8General[Cattaraugus County Vote Results])</totalsRowFormula>
    </tableColumn>
    <tableColumn id="8" xr3:uid="{AAFC365B-E398-40A2-AAE9-F43158F073A6}" name="Chautauqua County Vote Results" totalsRowFunction="custom" dataDxfId="94" totalsRowDxfId="93">
      <totalsRowFormula>SUM(SupremeCourtJusticeJudicialDistrict8General[Chautauqua County Vote Results])</totalsRowFormula>
    </tableColumn>
    <tableColumn id="11" xr3:uid="{928C9A69-A0C8-4E57-AF8F-6E0939E0D1E3}" name="Erie County Vote Results" totalsRowFunction="custom" dataDxfId="92" totalsRowDxfId="91">
      <totalsRowFormula>SUM(SupremeCourtJusticeJudicialDistrict8General[Erie County Vote Results])</totalsRowFormula>
    </tableColumn>
    <tableColumn id="10" xr3:uid="{D4B54242-76BB-42E0-AA97-DA9111B2B04C}" name="Genesee County Vote Results" totalsRowFunction="custom" dataDxfId="90" totalsRowDxfId="89">
      <totalsRowFormula>SUM(SupremeCourtJusticeJudicialDistrict8General[Genesee County Vote Results])</totalsRowFormula>
    </tableColumn>
    <tableColumn id="7" xr3:uid="{31C1FA06-5AAF-47AE-9947-D1C26C4BB6B5}" name="Niagara County Vote Results" totalsRowFunction="custom" dataDxfId="88" totalsRowDxfId="87">
      <totalsRowFormula>SUM(SupremeCourtJusticeJudicialDistrict8General[Niagara County Vote Results])</totalsRowFormula>
    </tableColumn>
    <tableColumn id="3" xr3:uid="{FBD7B710-780E-49B4-93B9-D659A147602A}" name="Orleans County Vote Results" totalsRowFunction="custom" dataDxfId="86" totalsRowDxfId="85">
      <totalsRowFormula>SUM(SupremeCourtJusticeJudicialDistrict8General[Orleans County Vote Results])</totalsRowFormula>
    </tableColumn>
    <tableColumn id="4" xr3:uid="{99A560E5-4B88-4C7D-B0A5-4186BF9CFFE1}" name="Wyoming County Vote Results" totalsRowFunction="custom" dataDxfId="84" totalsRowDxfId="83">
      <totalsRowFormula>SUM(SupremeCourtJusticeJudicialDistrict8General[Wyoming County Vote Results])</totalsRowFormula>
    </tableColumn>
    <tableColumn id="6" xr3:uid="{DD91AA70-7738-47B5-B91F-097632FA7B33}" name="Total Votes by Party" totalsRowFunction="custom" dataDxfId="82" totalsRowDxfId="81">
      <calculatedColumnFormula>SUM(SupremeCourtJusticeJudicialDistrict8General[[#This Row],[Allegany County Vote Results]:[Wyoming County Vote Results]])</calculatedColumnFormula>
      <totalsRowFormula>SUM(SupremeCourtJusticeJudicialDistrict8General[Total Votes by Party])</totalsRowFormula>
    </tableColumn>
    <tableColumn id="5" xr3:uid="{7771E77A-7534-4E8B-B1F5-4DEE9A6EA389}" name="Total Votes by Candidate" dataDxfId="80" totalsRowDxfId="7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AA9B1A9A-9144-40F0-8E20-5E9AA604477B}" name="SupremeCourtJusticeJudicialDistrict9General" displayName="SupremeCourtJusticeJudicialDistrict9General" ref="A2:H18" totalsRowCount="1" headerRowDxfId="78" dataDxfId="76" totalsRowDxfId="74" headerRowBorderDxfId="77" tableBorderDxfId="75" totalsRowBorderDxfId="73">
  <autoFilter ref="A2:H17" xr:uid="{56A2BF69-4EF5-460D-AADA-D5565A5D5E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0C5AB30-EB0D-4976-805A-775921F85975}" name="Candidate Name (Party)" totalsRowLabel="Total Votes by County" dataDxfId="72" totalsRowDxfId="71"/>
    <tableColumn id="2" xr3:uid="{182EC548-1E95-4E2C-846E-88246439B360}" name="Dutchess County Vote Results" totalsRowFunction="custom" dataDxfId="70" totalsRowDxfId="69">
      <totalsRowFormula>SUM(SupremeCourtJusticeJudicialDistrict9General[Dutchess County Vote Results])</totalsRowFormula>
    </tableColumn>
    <tableColumn id="9" xr3:uid="{808B4ED7-853A-4A59-885E-943C33C9E561}" name="Orange County Vote Results" totalsRowFunction="custom" dataDxfId="68" totalsRowDxfId="67">
      <totalsRowFormula>SUM(SupremeCourtJusticeJudicialDistrict9General[Orange County Vote Results])</totalsRowFormula>
    </tableColumn>
    <tableColumn id="8" xr3:uid="{C5B77640-8962-4CA3-9A9F-F4768E6F9D7B}" name="Putnam County Vote Results" totalsRowFunction="custom" dataDxfId="66" totalsRowDxfId="65">
      <totalsRowFormula>SUM(SupremeCourtJusticeJudicialDistrict9General[Putnam County Vote Results])</totalsRowFormula>
    </tableColumn>
    <tableColumn id="3" xr3:uid="{A97C5F10-B19C-4011-AABE-E2573F573617}" name="Rockland County Vote Results" totalsRowFunction="custom" dataDxfId="64" totalsRowDxfId="63">
      <totalsRowFormula>SUM(SupremeCourtJusticeJudicialDistrict9General[Rockland County Vote Results])</totalsRowFormula>
    </tableColumn>
    <tableColumn id="4" xr3:uid="{87239EA8-7A82-4BD2-99E7-8D939580A2BC}" name="Westchester County Vote Results" totalsRowFunction="custom" dataDxfId="62" totalsRowDxfId="61">
      <totalsRowFormula>SUM(SupremeCourtJusticeJudicialDistrict9General[Westchester County Vote Results])</totalsRowFormula>
    </tableColumn>
    <tableColumn id="6" xr3:uid="{2FA7AFCC-1868-42DB-8D50-42D33A861A46}" name="Total Votes by Party" totalsRowFunction="custom" dataDxfId="60" totalsRowDxfId="59">
      <totalsRowFormula>SUM(SupremeCourtJusticeJudicialDistrict9General[Total Votes by Party])</totalsRowFormula>
    </tableColumn>
    <tableColumn id="5" xr3:uid="{56D72240-249B-42A1-9977-C51DEE57448D}" name="Total Votes by Candidate" dataDxfId="58" totalsRowDxfId="57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69CAE8A-E3C8-4A46-8A71-98C06410B59B}" name="SupremeCourtJusticeJudicialDistrict10General" displayName="SupremeCourtJusticeJudicialDistrict10General" ref="A2:E38" totalsRowCount="1" headerRowDxfId="56" dataDxfId="54" totalsRowDxfId="52" headerRowBorderDxfId="55" tableBorderDxfId="53" totalsRowBorderDxfId="51">
  <autoFilter ref="A2:E37" xr:uid="{0CCB8D5A-0187-4C70-B3B0-6D4D41A5811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81CEED6-123A-42D4-8372-DBFD67972E98}" name="Candidate Name (Party)" totalsRowLabel="Total Votes by County" dataDxfId="50" totalsRowDxfId="49"/>
    <tableColumn id="2" xr3:uid="{ED8EB700-655C-4361-AE5D-EBE873D09719}" name="Nassau County Vote Results" totalsRowFunction="custom" dataDxfId="48" totalsRowDxfId="47">
      <totalsRowFormula>SUM(SupremeCourtJusticeJudicialDistrict10General[Nassau County Vote Results])</totalsRowFormula>
    </tableColumn>
    <tableColumn id="4" xr3:uid="{F6F0FC48-CC52-4FC4-A1F5-E35332A44B05}" name="Suffolk County Vote Results" totalsRowFunction="custom" dataDxfId="46" totalsRowDxfId="45">
      <totalsRowFormula>SUM(SupremeCourtJusticeJudicialDistrict10General[Suffolk County Vote Results])</totalsRowFormula>
    </tableColumn>
    <tableColumn id="3" xr3:uid="{92272E05-286D-47D9-907F-B11BF9AC5EF9}" name="Total Votes by Party" totalsRowFunction="custom" dataDxfId="44" totalsRowDxfId="43">
      <totalsRowFormula>SUM(SupremeCourtJusticeJudicialDistrict10General[Total Votes by Party])</totalsRowFormula>
    </tableColumn>
    <tableColumn id="5" xr3:uid="{DB511FF3-768C-4CD3-8E1A-FB4977E8656D}" name="Total Votes by Candidate" dataDxfId="42" totalsRowDxfId="41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F4572C7E-89DD-4F59-9CCC-906C650C0E8B}" name="SupremeCourtJusticeJudicialDistrict11General" displayName="SupremeCourtJusticeJudicialDistrict11General" ref="A2:D33" totalsRowCount="1" headerRowDxfId="40" dataDxfId="38" totalsRowDxfId="36" headerRowBorderDxfId="39" tableBorderDxfId="37" totalsRowBorderDxfId="35">
  <autoFilter ref="A2:D32" xr:uid="{27561C06-4F76-4A75-B826-0719318E401D}">
    <filterColumn colId="0" hiddenButton="1"/>
    <filterColumn colId="1" hiddenButton="1"/>
    <filterColumn colId="2" hiddenButton="1"/>
    <filterColumn colId="3" hiddenButton="1"/>
  </autoFilter>
  <tableColumns count="4">
    <tableColumn id="1" xr3:uid="{6B30202B-DA34-486A-8AF1-88538228C864}" name="Candidate Name (Party)" totalsRowLabel="Total Votes by County" dataDxfId="34" totalsRowDxfId="33"/>
    <tableColumn id="3" xr3:uid="{559570A8-C28F-4588-AADB-69741AF3EA19}" name="Queens County Vote Results" totalsRowFunction="custom" totalsRowDxfId="32">
      <totalsRowFormula>SUM(SupremeCourtJusticeJudicialDistrict11General[Queens County Vote Results])</totalsRowFormula>
    </tableColumn>
    <tableColumn id="4" xr3:uid="{70CDC9B4-79CD-4175-87FE-539927664EED}" name="Total Votes by Party" totalsRowFunction="custom" dataDxfId="31" totalsRowDxfId="30">
      <calculatedColumnFormula>SupremeCourtJusticeJudicialDistrict11General[[#This Row],[Queens County Vote Results]]</calculatedColumnFormula>
      <totalsRowFormula>SUM(SupremeCourtJusticeJudicialDistrict11General[Total Votes by Party])</totalsRowFormula>
    </tableColumn>
    <tableColumn id="2" xr3:uid="{6A09CD8B-CB1E-449A-9323-EA792F4B06B3}" name="Total Votes by Candidate" dataDxfId="29" totalsRowDxfId="2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abSelected="1" zoomScaleNormal="100" zoomScaleSheetLayoutView="120" workbookViewId="0"/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5</v>
      </c>
    </row>
    <row r="2" spans="1:4" ht="24.9" customHeight="1" x14ac:dyDescent="0.25">
      <c r="A2" s="5" t="s">
        <v>6</v>
      </c>
      <c r="B2" s="6" t="s">
        <v>7</v>
      </c>
      <c r="C2" s="7" t="s">
        <v>3</v>
      </c>
      <c r="D2" s="14" t="s">
        <v>4</v>
      </c>
    </row>
    <row r="3" spans="1:4" ht="13.8" x14ac:dyDescent="0.3">
      <c r="A3" s="1" t="s">
        <v>8</v>
      </c>
      <c r="B3" s="2">
        <v>453355</v>
      </c>
      <c r="C3" s="9">
        <f>SupremeCourtJusticeJudicialDistrict1General[[#This Row],[New York County Vote Results]]</f>
        <v>453355</v>
      </c>
      <c r="D3" s="15">
        <f>SupremeCourtJusticeJudicialDistrict1General[[#This Row],[Total Votes by Party]]</f>
        <v>453355</v>
      </c>
    </row>
    <row r="4" spans="1:4" ht="13.8" x14ac:dyDescent="0.3">
      <c r="A4" s="1" t="s">
        <v>9</v>
      </c>
      <c r="B4" s="2">
        <v>454738</v>
      </c>
      <c r="C4" s="9">
        <f>SupremeCourtJusticeJudicialDistrict1General[[#This Row],[New York County Vote Results]]</f>
        <v>454738</v>
      </c>
      <c r="D4" s="15">
        <f>SupremeCourtJusticeJudicialDistrict1General[[#This Row],[Total Votes by Party]]</f>
        <v>454738</v>
      </c>
    </row>
    <row r="5" spans="1:4" ht="13.8" x14ac:dyDescent="0.3">
      <c r="A5" s="1" t="s">
        <v>10</v>
      </c>
      <c r="B5" s="2">
        <v>421902</v>
      </c>
      <c r="C5" s="9">
        <f>SupremeCourtJusticeJudicialDistrict1General[[#This Row],[New York County Vote Results]]</f>
        <v>421902</v>
      </c>
      <c r="D5" s="15">
        <f>SupremeCourtJusticeJudicialDistrict1General[[#This Row],[Total Votes by Party]]</f>
        <v>421902</v>
      </c>
    </row>
    <row r="6" spans="1:4" ht="13.8" x14ac:dyDescent="0.3">
      <c r="A6" s="1" t="s">
        <v>11</v>
      </c>
      <c r="B6" s="2">
        <v>417546</v>
      </c>
      <c r="C6" s="9">
        <f>SupremeCourtJusticeJudicialDistrict1General[[#This Row],[New York County Vote Results]]</f>
        <v>417546</v>
      </c>
      <c r="D6" s="15">
        <f>SupremeCourtJusticeJudicialDistrict1General[[#This Row],[Total Votes by Party]]</f>
        <v>417546</v>
      </c>
    </row>
    <row r="7" spans="1:4" ht="13.8" x14ac:dyDescent="0.3">
      <c r="A7" s="1" t="s">
        <v>0</v>
      </c>
      <c r="B7" s="2">
        <v>989765</v>
      </c>
      <c r="C7" s="9">
        <f>SupremeCourtJusticeJudicialDistrict1General[[#This Row],[New York County Vote Results]]</f>
        <v>989765</v>
      </c>
      <c r="D7" s="16"/>
    </row>
    <row r="8" spans="1:4" ht="13.8" x14ac:dyDescent="0.3">
      <c r="A8" s="1" t="s">
        <v>1</v>
      </c>
      <c r="B8" s="2">
        <v>218</v>
      </c>
      <c r="C8" s="9">
        <f>SupremeCourtJusticeJudicialDistrict1General[[#This Row],[New York County Vote Results]]</f>
        <v>218</v>
      </c>
      <c r="D8" s="16"/>
    </row>
    <row r="9" spans="1:4" ht="13.8" x14ac:dyDescent="0.3">
      <c r="A9" s="1" t="s">
        <v>12</v>
      </c>
      <c r="B9" s="2">
        <v>13244</v>
      </c>
      <c r="C9" s="9">
        <f>SupremeCourtJusticeJudicialDistrict1General[[#This Row],[New York County Vote Results]]</f>
        <v>13244</v>
      </c>
      <c r="D9" s="16"/>
    </row>
    <row r="10" spans="1:4" ht="13.8" x14ac:dyDescent="0.3">
      <c r="A10" s="3" t="s">
        <v>2</v>
      </c>
      <c r="B10" s="4">
        <f>SUM(SupremeCourtJusticeJudicialDistrict1General[New York County Vote Results])</f>
        <v>2750768</v>
      </c>
      <c r="C10" s="9">
        <f>SUM(SupremeCourtJusticeJudicialDistrict1General[Total Votes by Party])</f>
        <v>2750768</v>
      </c>
      <c r="D10" s="17"/>
    </row>
  </sheetData>
  <phoneticPr fontId="1" type="noConversion"/>
  <printOptions horizontalCentered="1"/>
  <pageMargins left="0" right="0" top="0.25" bottom="0.25" header="0.25" footer="0.25"/>
  <pageSetup scale="90" orientation="portrait" r:id="rId1"/>
  <headerFooter alignWithMargins="0">
    <oddFooter>&amp;RPage &amp;P of &amp;N</oddFooter>
  </headerFooter>
  <rowBreaks count="4" manualBreakCount="4">
    <brk id="39" max="16383" man="1"/>
    <brk id="73" max="16383" man="1"/>
    <brk id="120" max="16383" man="1"/>
    <brk id="152" max="16383" man="1"/>
  </row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CACF-91DA-44D1-B090-354AAE1C1B17}">
  <dimension ref="A1:D10"/>
  <sheetViews>
    <sheetView workbookViewId="0">
      <selection activeCell="E13" sqref="E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180</v>
      </c>
    </row>
    <row r="2" spans="1:4" ht="24.9" customHeight="1" x14ac:dyDescent="0.25">
      <c r="A2" s="5" t="s">
        <v>6</v>
      </c>
      <c r="B2" s="6" t="s">
        <v>181</v>
      </c>
      <c r="C2" s="7" t="s">
        <v>3</v>
      </c>
      <c r="D2" s="8" t="s">
        <v>4</v>
      </c>
    </row>
    <row r="3" spans="1:4" ht="13.8" x14ac:dyDescent="0.3">
      <c r="A3" s="1" t="s">
        <v>182</v>
      </c>
      <c r="B3" s="2">
        <v>281645</v>
      </c>
      <c r="C3" s="9">
        <f>SupremeCourtJusticeJudicialDistrict12General[[#This Row],[Bronx County Vote Results]]</f>
        <v>281645</v>
      </c>
      <c r="D3" s="10">
        <f>SUM(SupremeCourtJusticeJudicialDistrict12General[[#This Row],[Total Votes by Party]])</f>
        <v>281645</v>
      </c>
    </row>
    <row r="4" spans="1:4" ht="13.8" x14ac:dyDescent="0.3">
      <c r="A4" s="1" t="s">
        <v>183</v>
      </c>
      <c r="B4" s="2">
        <v>63480</v>
      </c>
      <c r="C4" s="9">
        <f>SupremeCourtJusticeJudicialDistrict12General[[#This Row],[Bronx County Vote Results]]</f>
        <v>63480</v>
      </c>
      <c r="D4" s="10">
        <f>SUM(SupremeCourtJusticeJudicialDistrict12General[[#This Row],[Total Votes by Party]])</f>
        <v>63480</v>
      </c>
    </row>
    <row r="5" spans="1:4" ht="13.8" x14ac:dyDescent="0.3">
      <c r="A5" s="1" t="s">
        <v>184</v>
      </c>
      <c r="B5" s="2">
        <v>256162</v>
      </c>
      <c r="C5" s="9">
        <f>SupremeCourtJusticeJudicialDistrict12General[[#This Row],[Bronx County Vote Results]]</f>
        <v>256162</v>
      </c>
      <c r="D5" s="10">
        <f>SUM(SupremeCourtJusticeJudicialDistrict12General[[#This Row],[Total Votes by Party]])</f>
        <v>256162</v>
      </c>
    </row>
    <row r="6" spans="1:4" ht="13.8" x14ac:dyDescent="0.3">
      <c r="A6" s="1" t="s">
        <v>185</v>
      </c>
      <c r="B6" s="2">
        <v>259913</v>
      </c>
      <c r="C6" s="9">
        <f>SupremeCourtJusticeJudicialDistrict12General[[#This Row],[Bronx County Vote Results]]</f>
        <v>259913</v>
      </c>
      <c r="D6" s="10">
        <f>SUM(SupremeCourtJusticeJudicialDistrict12General[[#This Row],[Total Votes by Party]])</f>
        <v>259913</v>
      </c>
    </row>
    <row r="7" spans="1:4" ht="13.8" x14ac:dyDescent="0.3">
      <c r="A7" s="3" t="s">
        <v>0</v>
      </c>
      <c r="B7" s="2">
        <v>431414</v>
      </c>
      <c r="C7" s="9">
        <f>SupremeCourtJusticeJudicialDistrict12General[[#This Row],[Bronx County Vote Results]]</f>
        <v>431414</v>
      </c>
      <c r="D7" s="11"/>
    </row>
    <row r="8" spans="1:4" ht="13.8" x14ac:dyDescent="0.3">
      <c r="A8" s="3" t="s">
        <v>1</v>
      </c>
      <c r="B8" s="2">
        <v>0</v>
      </c>
      <c r="C8" s="9">
        <f>SupremeCourtJusticeJudicialDistrict12General[[#This Row],[Bronx County Vote Results]]</f>
        <v>0</v>
      </c>
      <c r="D8" s="11"/>
    </row>
    <row r="9" spans="1:4" ht="13.8" x14ac:dyDescent="0.3">
      <c r="A9" s="3" t="s">
        <v>12</v>
      </c>
      <c r="B9" s="2">
        <v>1448</v>
      </c>
      <c r="C9" s="9">
        <f>SupremeCourtJusticeJudicialDistrict12General[[#This Row],[Bronx County Vote Results]]</f>
        <v>1448</v>
      </c>
      <c r="D9" s="11"/>
    </row>
    <row r="10" spans="1:4" ht="13.8" x14ac:dyDescent="0.3">
      <c r="A10" s="12" t="s">
        <v>2</v>
      </c>
      <c r="B10" s="2">
        <f>SUM(SupremeCourtJusticeJudicialDistrict12General[Bronx County Vote Results])</f>
        <v>1294062</v>
      </c>
      <c r="C10" s="9">
        <f>SUM(SupremeCourtJusticeJudicialDistrict12General[Total Votes by Party])</f>
        <v>1294062</v>
      </c>
      <c r="D10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65CE-704F-450E-85D0-6C33023045D6}">
  <dimension ref="A1:D13"/>
  <sheetViews>
    <sheetView topLeftCell="A2" workbookViewId="0">
      <selection activeCell="C17" sqref="C17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186</v>
      </c>
    </row>
    <row r="2" spans="1:4" ht="24.9" customHeight="1" x14ac:dyDescent="0.25">
      <c r="A2" s="5" t="s">
        <v>6</v>
      </c>
      <c r="B2" s="6" t="s">
        <v>187</v>
      </c>
      <c r="C2" s="7" t="s">
        <v>3</v>
      </c>
      <c r="D2" s="8" t="s">
        <v>4</v>
      </c>
    </row>
    <row r="3" spans="1:4" ht="13.8" x14ac:dyDescent="0.3">
      <c r="A3" s="1" t="s">
        <v>188</v>
      </c>
      <c r="B3" s="2">
        <v>76005</v>
      </c>
      <c r="C3" s="9">
        <f>SupremeCourtJusticeJudicialDistrict13General[[#This Row],[Richmond County Vote Results]]</f>
        <v>76005</v>
      </c>
      <c r="D3" s="10">
        <f>SUM(SupremeCourtJusticeJudicialDistrict13General[[#This Row],[Total Votes by Party]],C4,C5)</f>
        <v>183707</v>
      </c>
    </row>
    <row r="4" spans="1:4" ht="13.8" x14ac:dyDescent="0.3">
      <c r="A4" s="1" t="s">
        <v>189</v>
      </c>
      <c r="B4" s="2">
        <v>106557</v>
      </c>
      <c r="C4" s="9">
        <f>SupremeCourtJusticeJudicialDistrict13General[[#This Row],[Richmond County Vote Results]]</f>
        <v>106557</v>
      </c>
      <c r="D4" s="11"/>
    </row>
    <row r="5" spans="1:4" ht="13.8" x14ac:dyDescent="0.3">
      <c r="A5" s="1" t="s">
        <v>190</v>
      </c>
      <c r="B5" s="2">
        <v>1145</v>
      </c>
      <c r="C5" s="9">
        <f>SupremeCourtJusticeJudicialDistrict13General[[#This Row],[Richmond County Vote Results]]</f>
        <v>1145</v>
      </c>
      <c r="D5" s="11"/>
    </row>
    <row r="6" spans="1:4" ht="13.8" x14ac:dyDescent="0.3">
      <c r="A6" s="1" t="s">
        <v>191</v>
      </c>
      <c r="B6" s="2">
        <v>64775</v>
      </c>
      <c r="C6" s="9">
        <f>SupremeCourtJusticeJudicialDistrict13General[[#This Row],[Richmond County Vote Results]]</f>
        <v>64775</v>
      </c>
      <c r="D6" s="10">
        <f>SUM(SupremeCourtJusticeJudicialDistrict13General[[#This Row],[Total Votes by Party]],C7,C8,C9)</f>
        <v>156393</v>
      </c>
    </row>
    <row r="7" spans="1:4" ht="13.8" x14ac:dyDescent="0.3">
      <c r="A7" s="1" t="s">
        <v>192</v>
      </c>
      <c r="B7" s="2">
        <v>82758</v>
      </c>
      <c r="C7" s="9">
        <f>SupremeCourtJusticeJudicialDistrict13General[[#This Row],[Richmond County Vote Results]]</f>
        <v>82758</v>
      </c>
      <c r="D7" s="11"/>
    </row>
    <row r="8" spans="1:4" ht="13.8" x14ac:dyDescent="0.3">
      <c r="A8" s="1" t="s">
        <v>193</v>
      </c>
      <c r="B8" s="2">
        <v>7844</v>
      </c>
      <c r="C8" s="9">
        <f>SupremeCourtJusticeJudicialDistrict13General[[#This Row],[Richmond County Vote Results]]</f>
        <v>7844</v>
      </c>
      <c r="D8" s="11"/>
    </row>
    <row r="9" spans="1:4" ht="13.8" x14ac:dyDescent="0.3">
      <c r="A9" s="1" t="s">
        <v>194</v>
      </c>
      <c r="B9" s="2">
        <v>1016</v>
      </c>
      <c r="C9" s="9">
        <f>SupremeCourtJusticeJudicialDistrict13General[[#This Row],[Richmond County Vote Results]]</f>
        <v>1016</v>
      </c>
      <c r="D9" s="11"/>
    </row>
    <row r="10" spans="1:4" ht="13.8" x14ac:dyDescent="0.3">
      <c r="A10" s="3" t="s">
        <v>0</v>
      </c>
      <c r="B10" s="2">
        <v>94844</v>
      </c>
      <c r="C10" s="9">
        <f>SupremeCourtJusticeJudicialDistrict13General[[#This Row],[Richmond County Vote Results]]</f>
        <v>94844</v>
      </c>
      <c r="D10" s="11"/>
    </row>
    <row r="11" spans="1:4" ht="13.8" x14ac:dyDescent="0.3">
      <c r="A11" s="3" t="s">
        <v>1</v>
      </c>
      <c r="B11" s="2">
        <v>60</v>
      </c>
      <c r="C11" s="9">
        <f>SupremeCourtJusticeJudicialDistrict13General[[#This Row],[Richmond County Vote Results]]</f>
        <v>60</v>
      </c>
      <c r="D11" s="11"/>
    </row>
    <row r="12" spans="1:4" ht="13.8" x14ac:dyDescent="0.3">
      <c r="A12" s="3" t="s">
        <v>12</v>
      </c>
      <c r="B12" s="2">
        <v>788</v>
      </c>
      <c r="C12" s="9">
        <f>SupremeCourtJusticeJudicialDistrict13General[[#This Row],[Richmond County Vote Results]]</f>
        <v>788</v>
      </c>
      <c r="D12" s="11"/>
    </row>
    <row r="13" spans="1:4" ht="13.8" x14ac:dyDescent="0.3">
      <c r="A13" s="12" t="s">
        <v>2</v>
      </c>
      <c r="B13" s="2">
        <f>SUM(SupremeCourtJusticeJudicialDistrict13General[Richmond County Vote Results])</f>
        <v>435792</v>
      </c>
      <c r="C13" s="9">
        <f>SUM(SupremeCourtJusticeJudicialDistrict13General[Total Votes by Party])</f>
        <v>435792</v>
      </c>
      <c r="D13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5EF6-9245-4919-A45B-A413F1263EDA}">
  <dimension ref="A1:D22"/>
  <sheetViews>
    <sheetView topLeftCell="A4" zoomScaleNormal="100" zoomScaleSheetLayoutView="100" workbookViewId="0">
      <selection activeCell="F9" sqref="F9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13</v>
      </c>
    </row>
    <row r="2" spans="1:4" ht="24.9" customHeight="1" x14ac:dyDescent="0.25">
      <c r="A2" s="5" t="s">
        <v>6</v>
      </c>
      <c r="B2" s="6" t="s">
        <v>14</v>
      </c>
      <c r="C2" s="7" t="s">
        <v>3</v>
      </c>
      <c r="D2" s="14" t="s">
        <v>4</v>
      </c>
    </row>
    <row r="3" spans="1:4" ht="13.8" x14ac:dyDescent="0.3">
      <c r="A3" s="1" t="s">
        <v>15</v>
      </c>
      <c r="B3" s="22">
        <v>628897</v>
      </c>
      <c r="C3" s="9">
        <f>SupremeCourtJusticeJudicialDistrict2General[[#This Row],[Kings County Vote Results]]</f>
        <v>628897</v>
      </c>
      <c r="D3" s="15">
        <f>SUM(SupremeCourtJusticeJudicialDistrict2General[[#This Row],[Total Votes by Party]])</f>
        <v>628897</v>
      </c>
    </row>
    <row r="4" spans="1:4" ht="13.8" x14ac:dyDescent="0.3">
      <c r="A4" s="1" t="s">
        <v>16</v>
      </c>
      <c r="B4" s="22">
        <v>146370</v>
      </c>
      <c r="C4" s="9">
        <f>SupremeCourtJusticeJudicialDistrict2General[[#This Row],[Kings County Vote Results]]</f>
        <v>146370</v>
      </c>
      <c r="D4" s="15">
        <f>SUM(SupremeCourtJusticeJudicialDistrict2General[[#This Row],[Total Votes by Party]],C5)</f>
        <v>164820</v>
      </c>
    </row>
    <row r="5" spans="1:4" ht="13.8" x14ac:dyDescent="0.3">
      <c r="A5" s="1" t="s">
        <v>17</v>
      </c>
      <c r="B5" s="22">
        <v>18450</v>
      </c>
      <c r="C5" s="9">
        <f>SupremeCourtJusticeJudicialDistrict2General[[#This Row],[Kings County Vote Results]]</f>
        <v>18450</v>
      </c>
      <c r="D5" s="16"/>
    </row>
    <row r="6" spans="1:4" ht="13.8" x14ac:dyDescent="0.3">
      <c r="A6" s="1" t="s">
        <v>18</v>
      </c>
      <c r="B6" s="22">
        <v>589139</v>
      </c>
      <c r="C6" s="9">
        <f>SupremeCourtJusticeJudicialDistrict2General[[#This Row],[Kings County Vote Results]]</f>
        <v>589139</v>
      </c>
      <c r="D6" s="15">
        <f>SUM(SupremeCourtJusticeJudicialDistrict2General[[#This Row],[Total Votes by Party]],C7,C8)</f>
        <v>738222</v>
      </c>
    </row>
    <row r="7" spans="1:4" ht="13.8" x14ac:dyDescent="0.3">
      <c r="A7" s="1" t="s">
        <v>19</v>
      </c>
      <c r="B7" s="22">
        <v>132123</v>
      </c>
      <c r="C7" s="9">
        <f>SupremeCourtJusticeJudicialDistrict2General[[#This Row],[Kings County Vote Results]]</f>
        <v>132123</v>
      </c>
      <c r="D7" s="16"/>
    </row>
    <row r="8" spans="1:4" ht="13.8" x14ac:dyDescent="0.3">
      <c r="A8" s="1" t="s">
        <v>20</v>
      </c>
      <c r="B8" s="22">
        <v>16960</v>
      </c>
      <c r="C8" s="9">
        <f>SupremeCourtJusticeJudicialDistrict2General[[#This Row],[Kings County Vote Results]]</f>
        <v>16960</v>
      </c>
      <c r="D8" s="16"/>
    </row>
    <row r="9" spans="1:4" ht="13.8" x14ac:dyDescent="0.3">
      <c r="A9" s="1" t="s">
        <v>21</v>
      </c>
      <c r="B9" s="22">
        <v>588501</v>
      </c>
      <c r="C9" s="9">
        <f>SupremeCourtJusticeJudicialDistrict2General[[#This Row],[Kings County Vote Results]]</f>
        <v>588501</v>
      </c>
      <c r="D9" s="15">
        <f>SUM(SupremeCourtJusticeJudicialDistrict2General[[#This Row],[Total Votes by Party]],C10,C11)</f>
        <v>735107</v>
      </c>
    </row>
    <row r="10" spans="1:4" ht="13.8" x14ac:dyDescent="0.3">
      <c r="A10" s="1" t="s">
        <v>22</v>
      </c>
      <c r="B10" s="22">
        <v>129598</v>
      </c>
      <c r="C10" s="9">
        <f>SupremeCourtJusticeJudicialDistrict2General[[#This Row],[Kings County Vote Results]]</f>
        <v>129598</v>
      </c>
      <c r="D10" s="16"/>
    </row>
    <row r="11" spans="1:4" ht="13.8" x14ac:dyDescent="0.3">
      <c r="A11" s="1" t="s">
        <v>23</v>
      </c>
      <c r="B11" s="22">
        <v>17008</v>
      </c>
      <c r="C11" s="9">
        <f>SupremeCourtJusticeJudicialDistrict2General[[#This Row],[Kings County Vote Results]]</f>
        <v>17008</v>
      </c>
      <c r="D11" s="16"/>
    </row>
    <row r="12" spans="1:4" ht="13.8" x14ac:dyDescent="0.3">
      <c r="A12" s="1" t="s">
        <v>24</v>
      </c>
      <c r="B12" s="22">
        <v>631672</v>
      </c>
      <c r="C12" s="9">
        <f>SupremeCourtJusticeJudicialDistrict2General[[#This Row],[Kings County Vote Results]]</f>
        <v>631672</v>
      </c>
      <c r="D12" s="15">
        <f>SUM(SupremeCourtJusticeJudicialDistrict2General[[#This Row],[Total Votes by Party]])</f>
        <v>631672</v>
      </c>
    </row>
    <row r="13" spans="1:4" ht="13.8" x14ac:dyDescent="0.3">
      <c r="A13" s="1" t="s">
        <v>25</v>
      </c>
      <c r="B13" s="22">
        <v>573405</v>
      </c>
      <c r="C13" s="9">
        <f>SupremeCourtJusticeJudicialDistrict2General[[#This Row],[Kings County Vote Results]]</f>
        <v>573405</v>
      </c>
      <c r="D13" s="15">
        <f>SUM(SupremeCourtJusticeJudicialDistrict2General[[#This Row],[Total Votes by Party]],C14,C15)</f>
        <v>719149</v>
      </c>
    </row>
    <row r="14" spans="1:4" ht="13.8" x14ac:dyDescent="0.3">
      <c r="A14" s="1" t="s">
        <v>26</v>
      </c>
      <c r="B14" s="22">
        <v>129240</v>
      </c>
      <c r="C14" s="9">
        <f>SupremeCourtJusticeJudicialDistrict2General[[#This Row],[Kings County Vote Results]]</f>
        <v>129240</v>
      </c>
      <c r="D14" s="16"/>
    </row>
    <row r="15" spans="1:4" ht="13.8" x14ac:dyDescent="0.3">
      <c r="A15" s="1" t="s">
        <v>27</v>
      </c>
      <c r="B15" s="22">
        <v>16504</v>
      </c>
      <c r="C15" s="9">
        <f>SupremeCourtJusticeJudicialDistrict2General[[#This Row],[Kings County Vote Results]]</f>
        <v>16504</v>
      </c>
      <c r="D15" s="16"/>
    </row>
    <row r="16" spans="1:4" ht="13.8" x14ac:dyDescent="0.3">
      <c r="A16" s="1" t="s">
        <v>28</v>
      </c>
      <c r="B16" s="22">
        <v>567170</v>
      </c>
      <c r="C16" s="9">
        <f>SupremeCourtJusticeJudicialDistrict2General[[#This Row],[Kings County Vote Results]]</f>
        <v>567170</v>
      </c>
      <c r="D16" s="15">
        <f>SUM(SupremeCourtJusticeJudicialDistrict2General[[#This Row],[Total Votes by Party]],C17,C18)</f>
        <v>710512</v>
      </c>
    </row>
    <row r="17" spans="1:4" ht="13.8" x14ac:dyDescent="0.3">
      <c r="A17" s="1" t="s">
        <v>29</v>
      </c>
      <c r="B17" s="22">
        <v>126715</v>
      </c>
      <c r="C17" s="9">
        <f>SupremeCourtJusticeJudicialDistrict2General[[#This Row],[Kings County Vote Results]]</f>
        <v>126715</v>
      </c>
      <c r="D17" s="16"/>
    </row>
    <row r="18" spans="1:4" ht="13.8" x14ac:dyDescent="0.3">
      <c r="A18" s="1" t="s">
        <v>30</v>
      </c>
      <c r="B18" s="22">
        <v>16627</v>
      </c>
      <c r="C18" s="9">
        <f>SupremeCourtJusticeJudicialDistrict2General[[#This Row],[Kings County Vote Results]]</f>
        <v>16627</v>
      </c>
      <c r="D18" s="16"/>
    </row>
    <row r="19" spans="1:4" ht="13.8" x14ac:dyDescent="0.3">
      <c r="A19" s="1" t="s">
        <v>0</v>
      </c>
      <c r="B19" s="22">
        <v>1148993</v>
      </c>
      <c r="C19" s="9">
        <f>SupremeCourtJusticeJudicialDistrict2General[[#This Row],[Kings County Vote Results]]</f>
        <v>1148993</v>
      </c>
      <c r="D19" s="16"/>
    </row>
    <row r="20" spans="1:4" ht="13.8" x14ac:dyDescent="0.3">
      <c r="A20" s="1" t="s">
        <v>1</v>
      </c>
      <c r="B20" s="21">
        <v>221</v>
      </c>
      <c r="C20" s="9">
        <f>SupremeCourtJusticeJudicialDistrict2General[[#This Row],[Kings County Vote Results]]</f>
        <v>221</v>
      </c>
      <c r="D20" s="16"/>
    </row>
    <row r="21" spans="1:4" ht="13.8" x14ac:dyDescent="0.3">
      <c r="A21" s="1" t="s">
        <v>12</v>
      </c>
      <c r="B21" s="22">
        <v>11339</v>
      </c>
      <c r="C21" s="9">
        <f>SupremeCourtJusticeJudicialDistrict2General[[#This Row],[Kings County Vote Results]]</f>
        <v>11339</v>
      </c>
      <c r="D21" s="16"/>
    </row>
    <row r="22" spans="1:4" ht="13.8" x14ac:dyDescent="0.3">
      <c r="A22" s="3" t="s">
        <v>2</v>
      </c>
      <c r="B22" s="4">
        <f>SUM(SupremeCourtJusticeJudicialDistrict2General[Kings County Vote Results])</f>
        <v>5488932</v>
      </c>
      <c r="C22" s="9">
        <f>SUM(SupremeCourtJusticeJudicialDistrict2General[Total Votes by Party])</f>
        <v>5488932</v>
      </c>
      <c r="D2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4F75-F081-4EA4-A334-01D130911137}">
  <dimension ref="A1:I9"/>
  <sheetViews>
    <sheetView topLeftCell="A2" zoomScaleNormal="100" zoomScaleSheetLayoutView="100" workbookViewId="0">
      <selection activeCell="F3" sqref="F3:F9"/>
    </sheetView>
  </sheetViews>
  <sheetFormatPr defaultRowHeight="13.2" x14ac:dyDescent="0.25"/>
  <cols>
    <col min="1" max="1" width="25.5546875" customWidth="1"/>
    <col min="2" max="9" width="20.5546875" customWidth="1"/>
    <col min="10" max="11" width="23.5546875" customWidth="1"/>
  </cols>
  <sheetData>
    <row r="1" spans="1:9" ht="24.9" customHeight="1" x14ac:dyDescent="0.25">
      <c r="A1" s="27" t="s">
        <v>31</v>
      </c>
    </row>
    <row r="2" spans="1:9" ht="27.6" x14ac:dyDescent="0.25">
      <c r="A2" s="5" t="s">
        <v>6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7" t="s">
        <v>3</v>
      </c>
      <c r="I2" s="8" t="s">
        <v>4</v>
      </c>
    </row>
    <row r="3" spans="1:9" ht="13.8" x14ac:dyDescent="0.3">
      <c r="A3" s="1" t="s">
        <v>38</v>
      </c>
      <c r="B3" s="2">
        <v>8282</v>
      </c>
      <c r="C3" s="2">
        <v>14062</v>
      </c>
      <c r="D3" s="2">
        <v>2604</v>
      </c>
      <c r="E3" s="2">
        <v>36508</v>
      </c>
      <c r="F3" s="28">
        <v>128037</v>
      </c>
      <c r="G3" s="2">
        <v>18187</v>
      </c>
      <c r="H3" s="9">
        <f>SUM(SupremeCourtJusticeJudicialDistrict5General[[#This Row],[Herkimer County Vote Results]:[Oswego County Vote Results]])</f>
        <v>207680</v>
      </c>
      <c r="I3" s="10">
        <f>SUM(SupremeCourtJusticeJudicialDistrict5General[[#This Row],[Total Votes by Party]],H5)</f>
        <v>241478</v>
      </c>
    </row>
    <row r="4" spans="1:9" ht="13.8" x14ac:dyDescent="0.3">
      <c r="A4" s="1" t="s">
        <v>39</v>
      </c>
      <c r="B4" s="2">
        <v>15984</v>
      </c>
      <c r="C4" s="2">
        <v>24666</v>
      </c>
      <c r="D4" s="2">
        <v>8551</v>
      </c>
      <c r="E4" s="2">
        <v>48640</v>
      </c>
      <c r="F4" s="28">
        <v>78251</v>
      </c>
      <c r="G4" s="2">
        <v>27982</v>
      </c>
      <c r="H4" s="9">
        <f>SUM(SupremeCourtJusticeJudicialDistrict5General[[#This Row],[Herkimer County Vote Results]:[Oswego County Vote Results]])</f>
        <v>204074</v>
      </c>
      <c r="I4" s="10">
        <f>SupremeCourtJusticeJudicialDistrict5General[[#This Row],[Total Votes by Party]]</f>
        <v>204074</v>
      </c>
    </row>
    <row r="5" spans="1:9" ht="13.8" x14ac:dyDescent="0.3">
      <c r="A5" s="1" t="s">
        <v>40</v>
      </c>
      <c r="B5" s="2">
        <v>1639</v>
      </c>
      <c r="C5" s="2">
        <v>2121</v>
      </c>
      <c r="D5" s="2">
        <v>989</v>
      </c>
      <c r="E5" s="2">
        <v>6327</v>
      </c>
      <c r="F5" s="28">
        <v>18722</v>
      </c>
      <c r="G5" s="2">
        <v>4000</v>
      </c>
      <c r="H5" s="9">
        <f>SUM(SupremeCourtJusticeJudicialDistrict5General[[#This Row],[Herkimer County Vote Results]:[Oswego County Vote Results]])</f>
        <v>33798</v>
      </c>
      <c r="I5" s="11"/>
    </row>
    <row r="6" spans="1:9" ht="13.8" x14ac:dyDescent="0.3">
      <c r="A6" s="3" t="s">
        <v>0</v>
      </c>
      <c r="B6" s="2">
        <v>3619</v>
      </c>
      <c r="C6" s="2">
        <v>3150</v>
      </c>
      <c r="D6" s="2">
        <v>877</v>
      </c>
      <c r="E6" s="2">
        <v>10055</v>
      </c>
      <c r="F6" s="28">
        <v>11709</v>
      </c>
      <c r="G6" s="2">
        <v>4521</v>
      </c>
      <c r="H6" s="9">
        <f>SUM(SupremeCourtJusticeJudicialDistrict5General[[#This Row],[Herkimer County Vote Results]:[Oswego County Vote Results]])</f>
        <v>33931</v>
      </c>
      <c r="I6" s="11"/>
    </row>
    <row r="7" spans="1:9" ht="13.8" x14ac:dyDescent="0.3">
      <c r="A7" s="3" t="s">
        <v>1</v>
      </c>
      <c r="B7" s="2">
        <v>30</v>
      </c>
      <c r="C7" s="2">
        <v>31</v>
      </c>
      <c r="D7" s="2">
        <v>9</v>
      </c>
      <c r="E7" s="2">
        <v>9</v>
      </c>
      <c r="F7" s="28">
        <v>33</v>
      </c>
      <c r="G7" s="2">
        <v>30</v>
      </c>
      <c r="H7" s="9">
        <f>SUM(SupremeCourtJusticeJudicialDistrict5General[[#This Row],[Herkimer County Vote Results]:[Oswego County Vote Results]])</f>
        <v>142</v>
      </c>
      <c r="I7" s="11"/>
    </row>
    <row r="8" spans="1:9" ht="13.8" x14ac:dyDescent="0.3">
      <c r="A8" s="3" t="s">
        <v>12</v>
      </c>
      <c r="B8" s="2">
        <v>6</v>
      </c>
      <c r="C8" s="2">
        <v>22</v>
      </c>
      <c r="D8" s="2">
        <v>6</v>
      </c>
      <c r="E8" s="2">
        <v>66</v>
      </c>
      <c r="F8" s="28">
        <v>148</v>
      </c>
      <c r="G8" s="2">
        <v>35</v>
      </c>
      <c r="H8" s="9">
        <f>SUM(SupremeCourtJusticeJudicialDistrict5General[[#This Row],[Herkimer County Vote Results]:[Oswego County Vote Results]])</f>
        <v>283</v>
      </c>
      <c r="I8" s="11"/>
    </row>
    <row r="9" spans="1:9" ht="13.8" x14ac:dyDescent="0.3">
      <c r="A9" s="12" t="s">
        <v>2</v>
      </c>
      <c r="B9" s="2">
        <f>SUM(SupremeCourtJusticeJudicialDistrict5General[Herkimer County Vote Results])</f>
        <v>29560</v>
      </c>
      <c r="C9" s="2">
        <f>SUM(SupremeCourtJusticeJudicialDistrict5General[Jefferson County Vote Results])</f>
        <v>44052</v>
      </c>
      <c r="D9" s="2">
        <f>SUM(SupremeCourtJusticeJudicialDistrict5General[Lewis County Vote Results])</f>
        <v>13036</v>
      </c>
      <c r="E9" s="2">
        <f>SUM(SupremeCourtJusticeJudicialDistrict5General[Oneida County Vote Results])</f>
        <v>101605</v>
      </c>
      <c r="F9" s="28">
        <f>SUM(SupremeCourtJusticeJudicialDistrict5General[Onondaga County Vote Results])</f>
        <v>236900</v>
      </c>
      <c r="G9" s="2">
        <f>SUM(SupremeCourtJusticeJudicialDistrict5General[Oswego County Vote Results])</f>
        <v>54755</v>
      </c>
      <c r="H9" s="9">
        <f>SUM(SupremeCourtJusticeJudicialDistrict5General[Total Votes by Party])</f>
        <v>479908</v>
      </c>
      <c r="I9" s="11"/>
    </row>
  </sheetData>
  <pageMargins left="0.7" right="0.7" top="0.75" bottom="0.75" header="0.3" footer="0.3"/>
  <pageSetup paperSize="5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E381-9019-4D90-80FC-805EBBEC0565}">
  <dimension ref="A1:M9"/>
  <sheetViews>
    <sheetView zoomScaleNormal="100" zoomScaleSheetLayoutView="100" workbookViewId="0">
      <pane xSplit="1" topLeftCell="B1" activePane="topRight" state="frozen"/>
      <selection pane="topRight" activeCell="B9" sqref="B9"/>
    </sheetView>
  </sheetViews>
  <sheetFormatPr defaultRowHeight="13.2" x14ac:dyDescent="0.25"/>
  <cols>
    <col min="1" max="1" width="25.5546875" customWidth="1"/>
    <col min="2" max="13" width="20.5546875" customWidth="1"/>
    <col min="14" max="15" width="23.5546875" customWidth="1"/>
  </cols>
  <sheetData>
    <row r="1" spans="1:13" ht="24.9" customHeight="1" x14ac:dyDescent="0.25">
      <c r="A1" s="27" t="s">
        <v>41</v>
      </c>
    </row>
    <row r="2" spans="1:13" ht="27.6" x14ac:dyDescent="0.25">
      <c r="A2" s="5" t="s">
        <v>6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  <c r="K2" s="6" t="s">
        <v>51</v>
      </c>
      <c r="L2" s="7" t="s">
        <v>3</v>
      </c>
      <c r="M2" s="8" t="s">
        <v>4</v>
      </c>
    </row>
    <row r="3" spans="1:13" ht="13.8" x14ac:dyDescent="0.3">
      <c r="A3" s="1" t="s">
        <v>52</v>
      </c>
      <c r="B3" s="2">
        <v>43756</v>
      </c>
      <c r="C3" s="2">
        <v>15500</v>
      </c>
      <c r="D3" s="18">
        <v>8413</v>
      </c>
      <c r="E3" s="2">
        <v>9892</v>
      </c>
      <c r="F3" s="2">
        <v>8611</v>
      </c>
      <c r="G3" s="2">
        <v>14197</v>
      </c>
      <c r="H3" s="2">
        <v>10952</v>
      </c>
      <c r="I3" s="2">
        <v>3737</v>
      </c>
      <c r="J3" s="19">
        <v>9542</v>
      </c>
      <c r="K3" s="19">
        <v>30346</v>
      </c>
      <c r="L3" s="9">
        <f>SUM(SupremeCourtJusticeJudicialDistrict6General[[#This Row],[Broome County Vote Results]:[Tompkins County Vote Results]])</f>
        <v>154946</v>
      </c>
      <c r="M3" s="10">
        <f>SUM(SupremeCourtJusticeJudicialDistrict6General[[#This Row],[Total Votes by Party]],L5)</f>
        <v>171259</v>
      </c>
    </row>
    <row r="4" spans="1:13" ht="13.8" x14ac:dyDescent="0.3">
      <c r="A4" s="3" t="s">
        <v>53</v>
      </c>
      <c r="B4" s="2">
        <v>43719</v>
      </c>
      <c r="C4" s="2">
        <v>21506</v>
      </c>
      <c r="D4" s="18">
        <v>12788</v>
      </c>
      <c r="E4" s="2">
        <v>11118</v>
      </c>
      <c r="F4" s="2">
        <v>13166</v>
      </c>
      <c r="G4" s="2">
        <v>18718</v>
      </c>
      <c r="H4" s="2">
        <v>15889</v>
      </c>
      <c r="I4" s="2">
        <v>5456</v>
      </c>
      <c r="J4" s="19">
        <v>15254</v>
      </c>
      <c r="K4" s="19">
        <v>12634</v>
      </c>
      <c r="L4" s="9">
        <f>SUM(SupremeCourtJusticeJudicialDistrict6General[[#This Row],[Broome County Vote Results]:[Tompkins County Vote Results]])</f>
        <v>170248</v>
      </c>
      <c r="M4" s="10">
        <f>SUM(SupremeCourtJusticeJudicialDistrict6General[[#This Row],[Total Votes by Party]])</f>
        <v>170248</v>
      </c>
    </row>
    <row r="5" spans="1:13" ht="13.8" x14ac:dyDescent="0.3">
      <c r="A5" s="1" t="s">
        <v>54</v>
      </c>
      <c r="B5" s="2">
        <v>4252</v>
      </c>
      <c r="C5" s="2">
        <v>1989</v>
      </c>
      <c r="D5" s="18">
        <v>1258</v>
      </c>
      <c r="E5" s="2">
        <v>1106</v>
      </c>
      <c r="F5" s="2">
        <v>772</v>
      </c>
      <c r="G5" s="2">
        <v>2183</v>
      </c>
      <c r="H5" s="2">
        <v>898</v>
      </c>
      <c r="I5" s="2">
        <v>473</v>
      </c>
      <c r="J5" s="19">
        <v>1584</v>
      </c>
      <c r="K5" s="19">
        <v>1798</v>
      </c>
      <c r="L5" s="9">
        <f>SUM(SupremeCourtJusticeJudicialDistrict6General[[#This Row],[Broome County Vote Results]:[Tompkins County Vote Results]])</f>
        <v>16313</v>
      </c>
      <c r="M5" s="13"/>
    </row>
    <row r="6" spans="1:13" ht="13.8" x14ac:dyDescent="0.3">
      <c r="A6" s="3" t="s">
        <v>0</v>
      </c>
      <c r="B6" s="2">
        <v>95026</v>
      </c>
      <c r="C6" s="2">
        <v>40199</v>
      </c>
      <c r="D6" s="18">
        <v>22237</v>
      </c>
      <c r="E6" s="2">
        <v>21628</v>
      </c>
      <c r="F6" s="2">
        <v>23572</v>
      </c>
      <c r="G6" s="2">
        <v>33121</v>
      </c>
      <c r="H6" s="2">
        <v>28496</v>
      </c>
      <c r="I6" s="2">
        <v>9923</v>
      </c>
      <c r="J6" s="19">
        <v>23838</v>
      </c>
      <c r="K6" s="19">
        <v>45781</v>
      </c>
      <c r="L6" s="9">
        <f>SUM(SupremeCourtJusticeJudicialDistrict6General[[#This Row],[Broome County Vote Results]:[Tompkins County Vote Results]])</f>
        <v>343821</v>
      </c>
      <c r="M6" s="11"/>
    </row>
    <row r="7" spans="1:13" ht="13.8" x14ac:dyDescent="0.3">
      <c r="A7" s="3" t="s">
        <v>1</v>
      </c>
      <c r="B7" s="2">
        <v>48</v>
      </c>
      <c r="C7" s="2">
        <v>0</v>
      </c>
      <c r="D7" s="18">
        <v>0</v>
      </c>
      <c r="E7" s="2">
        <v>20</v>
      </c>
      <c r="F7" s="2">
        <v>0</v>
      </c>
      <c r="G7" s="2">
        <v>1</v>
      </c>
      <c r="H7" s="2">
        <v>4</v>
      </c>
      <c r="I7" s="2">
        <v>2</v>
      </c>
      <c r="J7" s="19">
        <v>11</v>
      </c>
      <c r="K7" s="19">
        <v>12</v>
      </c>
      <c r="L7" s="9">
        <f>SUM(SupremeCourtJusticeJudicialDistrict6General[[#This Row],[Broome County Vote Results]:[Tompkins County Vote Results]])</f>
        <v>98</v>
      </c>
      <c r="M7" s="11"/>
    </row>
    <row r="8" spans="1:13" ht="13.8" x14ac:dyDescent="0.3">
      <c r="A8" s="3" t="s">
        <v>12</v>
      </c>
      <c r="B8" s="2">
        <v>115</v>
      </c>
      <c r="C8" s="2">
        <v>0</v>
      </c>
      <c r="D8" s="18">
        <v>31</v>
      </c>
      <c r="E8" s="2">
        <v>20</v>
      </c>
      <c r="F8" s="2">
        <v>27</v>
      </c>
      <c r="G8" s="2">
        <v>68</v>
      </c>
      <c r="H8" s="2">
        <v>33</v>
      </c>
      <c r="I8" s="2">
        <v>7</v>
      </c>
      <c r="J8" s="19">
        <v>37</v>
      </c>
      <c r="K8" s="19">
        <v>105</v>
      </c>
      <c r="L8" s="9">
        <f>SUM(SupremeCourtJusticeJudicialDistrict6General[[#This Row],[Broome County Vote Results]:[Tompkins County Vote Results]])</f>
        <v>443</v>
      </c>
      <c r="M8" s="11"/>
    </row>
    <row r="9" spans="1:13" ht="13.8" x14ac:dyDescent="0.3">
      <c r="A9" s="12" t="s">
        <v>2</v>
      </c>
      <c r="B9" s="2">
        <f>SUM(SupremeCourtJusticeJudicialDistrict6General[Broome County Vote Results])</f>
        <v>186916</v>
      </c>
      <c r="C9" s="2">
        <f>SUM(SupremeCourtJusticeJudicialDistrict6General[Chemung County Vote Results])</f>
        <v>79194</v>
      </c>
      <c r="D9" s="2">
        <f>SUM(SupremeCourtJusticeJudicialDistrict6General[Chenango County Vote Results])</f>
        <v>44727</v>
      </c>
      <c r="E9" s="2">
        <f>SUM(SupremeCourtJusticeJudicialDistrict6General[Cortland County Vote Results])</f>
        <v>43784</v>
      </c>
      <c r="F9" s="2">
        <f>SUM(SupremeCourtJusticeJudicialDistrict6General[Delaware County Vote Results])</f>
        <v>46148</v>
      </c>
      <c r="G9" s="2">
        <f>SUM(SupremeCourtJusticeJudicialDistrict6General[Madison County Vote Results])</f>
        <v>68288</v>
      </c>
      <c r="H9" s="2">
        <f>SUM(SupremeCourtJusticeJudicialDistrict6General[Otsego County Vote Results])</f>
        <v>56272</v>
      </c>
      <c r="I9" s="2">
        <f>SUM(SupremeCourtJusticeJudicialDistrict6General[Schuyler County Vote Results])</f>
        <v>19598</v>
      </c>
      <c r="J9" s="2">
        <f>SUM(SupremeCourtJusticeJudicialDistrict6General[Tioga County Vote Results])</f>
        <v>50266</v>
      </c>
      <c r="K9" s="2">
        <f>SUM(SupremeCourtJusticeJudicialDistrict6General[Tompkins County Vote Results])</f>
        <v>90676</v>
      </c>
      <c r="L9" s="9">
        <f>SUM(SupremeCourtJusticeJudicialDistrict6General[Total Votes by Party])</f>
        <v>685869</v>
      </c>
      <c r="M9" s="11"/>
    </row>
  </sheetData>
  <pageMargins left="0.7" right="0.7" top="0.75" bottom="0.75" header="0.3" footer="0.3"/>
  <pageSetup paperSize="5" scale="6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83BF-0515-4B25-BDCD-56BA7A50050D}">
  <dimension ref="A1:K26"/>
  <sheetViews>
    <sheetView zoomScaleNormal="100" zoomScaleSheetLayoutView="100" workbookViewId="0">
      <pane xSplit="1" topLeftCell="B1" activePane="topRight" state="frozen"/>
      <selection pane="topRight" activeCell="E26" sqref="E26"/>
    </sheetView>
  </sheetViews>
  <sheetFormatPr defaultRowHeight="13.2" x14ac:dyDescent="0.25"/>
  <cols>
    <col min="1" max="1" width="25.5546875" customWidth="1"/>
    <col min="2" max="11" width="20.5546875" customWidth="1"/>
    <col min="12" max="13" width="23.5546875" customWidth="1"/>
  </cols>
  <sheetData>
    <row r="1" spans="1:11" ht="24.9" customHeight="1" x14ac:dyDescent="0.25">
      <c r="A1" s="27" t="s">
        <v>55</v>
      </c>
    </row>
    <row r="2" spans="1:11" ht="27.6" x14ac:dyDescent="0.25">
      <c r="A2" s="5" t="s">
        <v>6</v>
      </c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G2" s="6" t="s">
        <v>61</v>
      </c>
      <c r="H2" s="6" t="s">
        <v>62</v>
      </c>
      <c r="I2" s="6" t="s">
        <v>63</v>
      </c>
      <c r="J2" s="7" t="s">
        <v>3</v>
      </c>
      <c r="K2" s="8" t="s">
        <v>4</v>
      </c>
    </row>
    <row r="3" spans="1:11" ht="13.8" x14ac:dyDescent="0.3">
      <c r="A3" s="1" t="s">
        <v>64</v>
      </c>
      <c r="B3" s="19">
        <v>12225</v>
      </c>
      <c r="C3" s="2">
        <v>8935</v>
      </c>
      <c r="D3" s="2">
        <v>165866</v>
      </c>
      <c r="E3" s="19">
        <v>20937</v>
      </c>
      <c r="F3" s="2">
        <v>5115</v>
      </c>
      <c r="G3" s="2">
        <v>11593</v>
      </c>
      <c r="H3" s="2">
        <v>12198</v>
      </c>
      <c r="I3" s="2">
        <v>2874</v>
      </c>
      <c r="J3" s="9">
        <f>SUM(SupremeCourtJusticeJudicialDistrict7General[[#This Row],[Monroe County Vote Results]:[Yates County Vote Results]])</f>
        <v>218583</v>
      </c>
      <c r="K3" s="10">
        <f>SUM(SupremeCourtJusticeJudicialDistrict7General[[#This Row],[Total Votes by Party]])</f>
        <v>218583</v>
      </c>
    </row>
    <row r="4" spans="1:11" ht="13.8" x14ac:dyDescent="0.3">
      <c r="A4" s="1" t="s">
        <v>65</v>
      </c>
      <c r="B4" s="19">
        <v>11690</v>
      </c>
      <c r="C4" s="2">
        <v>8668</v>
      </c>
      <c r="D4" s="2">
        <v>154426</v>
      </c>
      <c r="E4" s="19">
        <v>20953</v>
      </c>
      <c r="F4" s="2">
        <v>4923</v>
      </c>
      <c r="G4" s="2">
        <v>11315</v>
      </c>
      <c r="H4" s="2">
        <v>11627</v>
      </c>
      <c r="I4" s="2">
        <v>2751</v>
      </c>
      <c r="J4" s="9">
        <f>SUM(SupremeCourtJusticeJudicialDistrict7General[[#This Row],[Monroe County Vote Results]:[Yates County Vote Results]])</f>
        <v>205995</v>
      </c>
      <c r="K4" s="10">
        <f>SUM(SupremeCourtJusticeJudicialDistrict7General[[#This Row],[Total Votes by Party]])</f>
        <v>205995</v>
      </c>
    </row>
    <row r="5" spans="1:11" ht="13.8" x14ac:dyDescent="0.3">
      <c r="A5" s="1" t="s">
        <v>66</v>
      </c>
      <c r="B5" s="19">
        <v>12364</v>
      </c>
      <c r="C5" s="2">
        <v>9249</v>
      </c>
      <c r="D5" s="2">
        <v>170557</v>
      </c>
      <c r="E5" s="19">
        <v>22300</v>
      </c>
      <c r="F5" s="2">
        <v>5247</v>
      </c>
      <c r="G5" s="2">
        <v>12094</v>
      </c>
      <c r="H5" s="2">
        <v>12745</v>
      </c>
      <c r="I5" s="2">
        <v>3014</v>
      </c>
      <c r="J5" s="9">
        <f>SUM(SupremeCourtJusticeJudicialDistrict7General[[#This Row],[Monroe County Vote Results]:[Yates County Vote Results]])</f>
        <v>225957</v>
      </c>
      <c r="K5" s="10">
        <f>SUM(SupremeCourtJusticeJudicialDistrict7General[[#This Row],[Total Votes by Party]],J17)</f>
        <v>247383</v>
      </c>
    </row>
    <row r="6" spans="1:11" ht="13.8" x14ac:dyDescent="0.3">
      <c r="A6" s="1" t="s">
        <v>67</v>
      </c>
      <c r="B6" s="19">
        <v>11458</v>
      </c>
      <c r="C6" s="2">
        <v>8493</v>
      </c>
      <c r="D6" s="2">
        <v>154564</v>
      </c>
      <c r="E6" s="19">
        <v>20777</v>
      </c>
      <c r="F6" s="2">
        <v>4863</v>
      </c>
      <c r="G6" s="2">
        <v>11071</v>
      </c>
      <c r="H6" s="2">
        <v>11768</v>
      </c>
      <c r="I6" s="2">
        <v>2761</v>
      </c>
      <c r="J6" s="9">
        <f>SUM(SupremeCourtJusticeJudicialDistrict7General[[#This Row],[Monroe County Vote Results]:[Yates County Vote Results]])</f>
        <v>205804</v>
      </c>
      <c r="K6" s="10">
        <f>SUM(SupremeCourtJusticeJudicialDistrict7General[[#This Row],[Total Votes by Party]],J10,J14,J18,J22)</f>
        <v>442163</v>
      </c>
    </row>
    <row r="7" spans="1:11" ht="13.8" x14ac:dyDescent="0.3">
      <c r="A7" s="1" t="s">
        <v>68</v>
      </c>
      <c r="B7" s="19">
        <v>16708</v>
      </c>
      <c r="C7" s="2">
        <v>15911</v>
      </c>
      <c r="D7" s="2">
        <v>127066</v>
      </c>
      <c r="E7" s="19">
        <v>26543</v>
      </c>
      <c r="F7" s="2">
        <v>7562</v>
      </c>
      <c r="G7" s="2">
        <v>25476</v>
      </c>
      <c r="H7" s="2">
        <v>22637</v>
      </c>
      <c r="I7" s="2">
        <v>5627</v>
      </c>
      <c r="J7" s="9">
        <f>SUM(SupremeCourtJusticeJudicialDistrict7General[[#This Row],[Monroe County Vote Results]:[Yates County Vote Results]])</f>
        <v>214911</v>
      </c>
      <c r="K7" s="10">
        <f>SUM(SupremeCourtJusticeJudicialDistrict7General[[#This Row],[Total Votes by Party]],J11,J15,J19)</f>
        <v>270486</v>
      </c>
    </row>
    <row r="8" spans="1:11" ht="13.8" x14ac:dyDescent="0.3">
      <c r="A8" s="1" t="s">
        <v>69</v>
      </c>
      <c r="B8" s="19">
        <v>15440</v>
      </c>
      <c r="C8" s="2">
        <v>14361</v>
      </c>
      <c r="D8" s="2">
        <v>122878</v>
      </c>
      <c r="E8" s="19">
        <v>24773</v>
      </c>
      <c r="F8" s="2">
        <v>6785</v>
      </c>
      <c r="G8" s="2">
        <v>23264</v>
      </c>
      <c r="H8" s="2">
        <v>20933</v>
      </c>
      <c r="I8" s="2">
        <v>4820</v>
      </c>
      <c r="J8" s="9">
        <f>SUM(SupremeCourtJusticeJudicialDistrict7General[[#This Row],[Monroe County Vote Results]:[Yates County Vote Results]])</f>
        <v>203453</v>
      </c>
      <c r="K8" s="10">
        <f>SUM(SupremeCourtJusticeJudicialDistrict7General[[#This Row],[Total Votes by Party]],J12,J16,J20)</f>
        <v>258290</v>
      </c>
    </row>
    <row r="9" spans="1:11" ht="13.8" x14ac:dyDescent="0.3">
      <c r="A9" s="1" t="s">
        <v>70</v>
      </c>
      <c r="B9" s="19">
        <v>14842</v>
      </c>
      <c r="C9" s="2">
        <v>15191</v>
      </c>
      <c r="D9" s="2">
        <v>131714</v>
      </c>
      <c r="E9" s="19">
        <v>26051</v>
      </c>
      <c r="F9" s="2">
        <v>6717</v>
      </c>
      <c r="G9" s="2">
        <v>22607</v>
      </c>
      <c r="H9" s="2">
        <v>21864</v>
      </c>
      <c r="I9" s="2">
        <v>4895</v>
      </c>
      <c r="J9" s="9">
        <f>SUM(SupremeCourtJusticeJudicialDistrict7General[[#This Row],[Monroe County Vote Results]:[Yates County Vote Results]])</f>
        <v>213848</v>
      </c>
      <c r="K9" s="10">
        <f>SUM(SupremeCourtJusticeJudicialDistrict7General[[#This Row],[Total Votes by Party]],J13,J21)</f>
        <v>256413</v>
      </c>
    </row>
    <row r="10" spans="1:11" ht="13.8" x14ac:dyDescent="0.3">
      <c r="A10" s="1" t="s">
        <v>71</v>
      </c>
      <c r="B10" s="19">
        <v>14818</v>
      </c>
      <c r="C10" s="2">
        <v>13220</v>
      </c>
      <c r="D10" s="2">
        <v>106565</v>
      </c>
      <c r="E10" s="19">
        <v>23367</v>
      </c>
      <c r="F10" s="2">
        <v>6453</v>
      </c>
      <c r="G10" s="2">
        <v>22521</v>
      </c>
      <c r="H10" s="2">
        <v>19785</v>
      </c>
      <c r="I10" s="2">
        <v>4497</v>
      </c>
      <c r="J10" s="9">
        <f>SUM(SupremeCourtJusticeJudicialDistrict7General[[#This Row],[Monroe County Vote Results]:[Yates County Vote Results]])</f>
        <v>183188</v>
      </c>
      <c r="K10" s="11"/>
    </row>
    <row r="11" spans="1:11" ht="13.8" x14ac:dyDescent="0.3">
      <c r="A11" s="1" t="s">
        <v>72</v>
      </c>
      <c r="B11" s="19">
        <v>2073</v>
      </c>
      <c r="C11" s="2">
        <v>2201</v>
      </c>
      <c r="D11" s="2">
        <v>21510</v>
      </c>
      <c r="E11" s="19">
        <v>3733</v>
      </c>
      <c r="F11" s="2">
        <v>771</v>
      </c>
      <c r="G11" s="2">
        <v>2162</v>
      </c>
      <c r="H11" s="2">
        <v>3592</v>
      </c>
      <c r="I11" s="2">
        <v>640</v>
      </c>
      <c r="J11" s="9">
        <f>SUM(SupremeCourtJusticeJudicialDistrict7General[[#This Row],[Monroe County Vote Results]:[Yates County Vote Results]])</f>
        <v>32408</v>
      </c>
      <c r="K11" s="11"/>
    </row>
    <row r="12" spans="1:11" ht="13.8" x14ac:dyDescent="0.3">
      <c r="A12" s="1" t="s">
        <v>73</v>
      </c>
      <c r="B12" s="19">
        <v>2030</v>
      </c>
      <c r="C12" s="2">
        <v>2096</v>
      </c>
      <c r="D12" s="2">
        <v>21847</v>
      </c>
      <c r="E12" s="19">
        <v>3715</v>
      </c>
      <c r="F12" s="2">
        <v>748</v>
      </c>
      <c r="G12" s="2">
        <v>2144</v>
      </c>
      <c r="H12" s="2">
        <v>3488</v>
      </c>
      <c r="I12" s="2">
        <v>575</v>
      </c>
      <c r="J12" s="9">
        <f>SUM(SupremeCourtJusticeJudicialDistrict7General[[#This Row],[Monroe County Vote Results]:[Yates County Vote Results]])</f>
        <v>32517</v>
      </c>
      <c r="K12" s="11"/>
    </row>
    <row r="13" spans="1:11" ht="13.8" x14ac:dyDescent="0.3">
      <c r="A13" s="3" t="s">
        <v>74</v>
      </c>
      <c r="B13" s="19">
        <v>2042</v>
      </c>
      <c r="C13" s="2">
        <v>2229</v>
      </c>
      <c r="D13" s="2">
        <v>23864</v>
      </c>
      <c r="E13" s="19">
        <v>3926</v>
      </c>
      <c r="F13" s="2">
        <v>789</v>
      </c>
      <c r="G13" s="2">
        <v>2107</v>
      </c>
      <c r="H13" s="2">
        <v>3737</v>
      </c>
      <c r="I13" s="2">
        <v>606</v>
      </c>
      <c r="J13" s="9">
        <f>SUM(SupremeCourtJusticeJudicialDistrict7General[[#This Row],[Monroe County Vote Results]:[Yates County Vote Results]])</f>
        <v>35029</v>
      </c>
      <c r="K13" s="11"/>
    </row>
    <row r="14" spans="1:11" ht="13.8" x14ac:dyDescent="0.3">
      <c r="A14" s="3" t="s">
        <v>75</v>
      </c>
      <c r="B14" s="19">
        <v>1967</v>
      </c>
      <c r="C14" s="2">
        <v>1919</v>
      </c>
      <c r="D14" s="2">
        <v>19440</v>
      </c>
      <c r="E14" s="19">
        <v>3458</v>
      </c>
      <c r="F14" s="2">
        <v>691</v>
      </c>
      <c r="G14" s="2">
        <v>2027</v>
      </c>
      <c r="H14" s="2">
        <v>3285</v>
      </c>
      <c r="I14" s="2">
        <v>540</v>
      </c>
      <c r="J14" s="9">
        <f>SUM(SupremeCourtJusticeJudicialDistrict7General[[#This Row],[Monroe County Vote Results]:[Yates County Vote Results]])</f>
        <v>29441</v>
      </c>
      <c r="K14" s="11"/>
    </row>
    <row r="15" spans="1:11" ht="13.8" x14ac:dyDescent="0.3">
      <c r="A15" s="3" t="s">
        <v>76</v>
      </c>
      <c r="B15" s="19">
        <v>816</v>
      </c>
      <c r="C15" s="2">
        <v>693</v>
      </c>
      <c r="D15" s="2">
        <v>11350</v>
      </c>
      <c r="E15" s="19">
        <v>1576</v>
      </c>
      <c r="F15" s="2">
        <v>392</v>
      </c>
      <c r="G15" s="2">
        <v>829</v>
      </c>
      <c r="H15" s="2">
        <v>1112</v>
      </c>
      <c r="I15" s="2">
        <v>278</v>
      </c>
      <c r="J15" s="9">
        <f>SUM(SupremeCourtJusticeJudicialDistrict7General[[#This Row],[Monroe County Vote Results]:[Yates County Vote Results]])</f>
        <v>15537</v>
      </c>
      <c r="K15" s="11"/>
    </row>
    <row r="16" spans="1:11" ht="13.8" x14ac:dyDescent="0.3">
      <c r="A16" s="3" t="s">
        <v>77</v>
      </c>
      <c r="B16" s="19">
        <v>736</v>
      </c>
      <c r="C16" s="2">
        <v>643</v>
      </c>
      <c r="D16" s="2">
        <v>11222</v>
      </c>
      <c r="E16" s="19">
        <v>1456</v>
      </c>
      <c r="F16" s="2">
        <v>370</v>
      </c>
      <c r="G16" s="2">
        <v>771</v>
      </c>
      <c r="H16" s="2">
        <v>1039</v>
      </c>
      <c r="I16" s="2">
        <v>213</v>
      </c>
      <c r="J16" s="9">
        <f>SUM(SupremeCourtJusticeJudicialDistrict7General[[#This Row],[Monroe County Vote Results]:[Yates County Vote Results]])</f>
        <v>15071</v>
      </c>
      <c r="K16" s="11"/>
    </row>
    <row r="17" spans="1:11" ht="13.8" x14ac:dyDescent="0.3">
      <c r="A17" s="3" t="s">
        <v>78</v>
      </c>
      <c r="B17" s="19">
        <v>1146</v>
      </c>
      <c r="C17" s="2">
        <v>1060</v>
      </c>
      <c r="D17" s="2">
        <v>15744</v>
      </c>
      <c r="E17" s="19">
        <v>2168</v>
      </c>
      <c r="F17" s="2">
        <v>575</v>
      </c>
      <c r="G17" s="2">
        <v>1246</v>
      </c>
      <c r="H17" s="2">
        <v>1358</v>
      </c>
      <c r="I17" s="2">
        <v>335</v>
      </c>
      <c r="J17" s="9">
        <f>SUM(SupremeCourtJusticeJudicialDistrict7General[[#This Row],[Monroe County Vote Results]:[Yates County Vote Results]])</f>
        <v>21426</v>
      </c>
      <c r="K17" s="11"/>
    </row>
    <row r="18" spans="1:11" ht="13.8" x14ac:dyDescent="0.3">
      <c r="A18" s="3" t="s">
        <v>79</v>
      </c>
      <c r="B18" s="19">
        <v>833</v>
      </c>
      <c r="C18" s="2">
        <v>751</v>
      </c>
      <c r="D18" s="2">
        <v>12177</v>
      </c>
      <c r="E18" s="19">
        <v>1530</v>
      </c>
      <c r="F18" s="2">
        <v>429</v>
      </c>
      <c r="G18" s="2">
        <v>908</v>
      </c>
      <c r="H18" s="2">
        <v>1058</v>
      </c>
      <c r="I18" s="2">
        <v>222</v>
      </c>
      <c r="J18" s="9">
        <f>SUM(SupremeCourtJusticeJudicialDistrict7General[[#This Row],[Monroe County Vote Results]:[Yates County Vote Results]])</f>
        <v>16324</v>
      </c>
      <c r="K18" s="11"/>
    </row>
    <row r="19" spans="1:11" ht="13.8" x14ac:dyDescent="0.3">
      <c r="A19" s="3" t="s">
        <v>80</v>
      </c>
      <c r="B19" s="19">
        <v>456</v>
      </c>
      <c r="C19" s="2">
        <v>457</v>
      </c>
      <c r="D19" s="2">
        <v>5357</v>
      </c>
      <c r="E19" s="19">
        <v>891</v>
      </c>
      <c r="F19" s="2">
        <v>245</v>
      </c>
      <c r="G19" s="2">
        <v>452</v>
      </c>
      <c r="H19" s="2">
        <v>563</v>
      </c>
      <c r="I19" s="2">
        <v>122</v>
      </c>
      <c r="J19" s="9">
        <f>SUM(SupremeCourtJusticeJudicialDistrict7General[[#This Row],[Monroe County Vote Results]:[Yates County Vote Results]])</f>
        <v>7630</v>
      </c>
      <c r="K19" s="11"/>
    </row>
    <row r="20" spans="1:11" ht="13.8" x14ac:dyDescent="0.3">
      <c r="A20" s="3" t="s">
        <v>81</v>
      </c>
      <c r="B20" s="19">
        <v>398</v>
      </c>
      <c r="C20" s="2">
        <v>404</v>
      </c>
      <c r="D20" s="2">
        <v>5168</v>
      </c>
      <c r="E20" s="19">
        <v>819</v>
      </c>
      <c r="F20" s="2">
        <v>207</v>
      </c>
      <c r="G20" s="2">
        <v>423</v>
      </c>
      <c r="H20" s="2">
        <v>531</v>
      </c>
      <c r="I20" s="2">
        <v>101</v>
      </c>
      <c r="J20" s="9">
        <f>SUM(SupremeCourtJusticeJudicialDistrict7General[[#This Row],[Monroe County Vote Results]:[Yates County Vote Results]])</f>
        <v>7249</v>
      </c>
      <c r="K20" s="11"/>
    </row>
    <row r="21" spans="1:11" ht="13.8" x14ac:dyDescent="0.3">
      <c r="A21" s="3" t="s">
        <v>82</v>
      </c>
      <c r="B21" s="19">
        <v>370</v>
      </c>
      <c r="C21" s="2">
        <v>449</v>
      </c>
      <c r="D21" s="2">
        <v>5426</v>
      </c>
      <c r="E21" s="19">
        <v>880</v>
      </c>
      <c r="F21" s="2">
        <v>212</v>
      </c>
      <c r="G21" s="2">
        <v>384</v>
      </c>
      <c r="H21" s="2">
        <v>533</v>
      </c>
      <c r="I21" s="2">
        <v>101</v>
      </c>
      <c r="J21" s="9">
        <f>SUM(SupremeCourtJusticeJudicialDistrict7General[[#This Row],[Monroe County Vote Results]:[Yates County Vote Results]])</f>
        <v>7536</v>
      </c>
      <c r="K21" s="11"/>
    </row>
    <row r="22" spans="1:11" ht="13.8" x14ac:dyDescent="0.3">
      <c r="A22" s="3" t="s">
        <v>83</v>
      </c>
      <c r="B22" s="19">
        <v>431</v>
      </c>
      <c r="C22" s="2">
        <v>403</v>
      </c>
      <c r="D22" s="2">
        <v>5196</v>
      </c>
      <c r="E22" s="19">
        <v>878</v>
      </c>
      <c r="F22" s="2">
        <v>230</v>
      </c>
      <c r="G22" s="2">
        <v>470</v>
      </c>
      <c r="H22" s="2">
        <v>526</v>
      </c>
      <c r="I22" s="2">
        <v>106</v>
      </c>
      <c r="J22" s="9">
        <f>SUM(SupremeCourtJusticeJudicialDistrict7General[[#This Row],[Monroe County Vote Results]:[Yates County Vote Results]])</f>
        <v>7406</v>
      </c>
      <c r="K22" s="11"/>
    </row>
    <row r="23" spans="1:11" ht="13.8" x14ac:dyDescent="0.3">
      <c r="A23" s="3" t="s">
        <v>0</v>
      </c>
      <c r="B23" s="19">
        <v>23976</v>
      </c>
      <c r="C23" s="2">
        <v>18966</v>
      </c>
      <c r="D23" s="2">
        <v>234708</v>
      </c>
      <c r="E23" s="19">
        <v>29177</v>
      </c>
      <c r="F23" s="2">
        <v>9500</v>
      </c>
      <c r="G23" s="2">
        <v>31634</v>
      </c>
      <c r="H23" s="2">
        <v>25603</v>
      </c>
      <c r="I23" s="2">
        <v>7870</v>
      </c>
      <c r="J23" s="9">
        <f>SUM(SupremeCourtJusticeJudicialDistrict7General[[#This Row],[Monroe County Vote Results]:[Yates County Vote Results]])</f>
        <v>338492</v>
      </c>
      <c r="K23" s="11"/>
    </row>
    <row r="24" spans="1:11" ht="13.8" x14ac:dyDescent="0.3">
      <c r="A24" s="3" t="s">
        <v>1</v>
      </c>
      <c r="B24" s="19">
        <v>172</v>
      </c>
      <c r="C24" s="2">
        <v>60</v>
      </c>
      <c r="D24" s="2">
        <v>2096</v>
      </c>
      <c r="E24" s="19">
        <v>136</v>
      </c>
      <c r="F24" s="2">
        <v>28</v>
      </c>
      <c r="G24" s="2">
        <v>145</v>
      </c>
      <c r="H24" s="2">
        <v>128</v>
      </c>
      <c r="I24" s="2">
        <v>52</v>
      </c>
      <c r="J24" s="9">
        <f>SUM(SupremeCourtJusticeJudicialDistrict7General[[#This Row],[Monroe County Vote Results]:[Yates County Vote Results]])</f>
        <v>2585</v>
      </c>
      <c r="K24" s="11"/>
    </row>
    <row r="25" spans="1:11" ht="13.8" x14ac:dyDescent="0.3">
      <c r="A25" s="3" t="s">
        <v>12</v>
      </c>
      <c r="B25" s="20">
        <v>49</v>
      </c>
      <c r="C25" s="4">
        <v>17</v>
      </c>
      <c r="D25" s="2">
        <v>395</v>
      </c>
      <c r="E25" s="19">
        <v>47</v>
      </c>
      <c r="F25" s="2">
        <v>20</v>
      </c>
      <c r="G25" s="2">
        <v>41</v>
      </c>
      <c r="H25" s="2">
        <v>14</v>
      </c>
      <c r="I25" s="2">
        <v>8</v>
      </c>
      <c r="J25" s="9">
        <f>SUM(SupremeCourtJusticeJudicialDistrict7General[[#This Row],[Monroe County Vote Results]:[Yates County Vote Results]])</f>
        <v>525</v>
      </c>
      <c r="K25" s="11"/>
    </row>
    <row r="26" spans="1:11" ht="13.8" x14ac:dyDescent="0.3">
      <c r="A26" s="12" t="s">
        <v>2</v>
      </c>
      <c r="B26" s="2">
        <f>SUM(SupremeCourtJusticeJudicialDistrict7General[Cayuga County Vote Results])</f>
        <v>147040</v>
      </c>
      <c r="C26" s="2">
        <f>SUM(SupremeCourtJusticeJudicialDistrict7General[Livingston County Vote Results])</f>
        <v>126376</v>
      </c>
      <c r="D26" s="2">
        <f>SUM(SupremeCourtJusticeJudicialDistrict7General[Monroe County Vote Results])</f>
        <v>1529136</v>
      </c>
      <c r="E26" s="19">
        <f>SUM(SupremeCourtJusticeJudicialDistrict7General[Ontario County Vote Results])</f>
        <v>240091</v>
      </c>
      <c r="F26" s="2">
        <f>SUM(SupremeCourtJusticeJudicialDistrict7General[Seneca County Vote Results])</f>
        <v>62872</v>
      </c>
      <c r="G26" s="2">
        <f>SUM(SupremeCourtJusticeJudicialDistrict7General[Steuben County Vote Results])</f>
        <v>185684</v>
      </c>
      <c r="H26" s="2">
        <f>SUM(SupremeCourtJusticeJudicialDistrict7General[Wayne County Vote Results])</f>
        <v>180124</v>
      </c>
      <c r="I26" s="2">
        <f>SUM(SupremeCourtJusticeJudicialDistrict7General[Yates County Vote Results])</f>
        <v>43008</v>
      </c>
      <c r="J26" s="9">
        <f>SUM(SupremeCourtJusticeJudicialDistrict7General[Total Votes by Party])</f>
        <v>2240915</v>
      </c>
      <c r="K26" s="11"/>
    </row>
  </sheetData>
  <pageMargins left="0.7" right="0.7" top="0.75" bottom="0.75" header="0.3" footer="0.3"/>
  <pageSetup paperSize="5" scale="7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4D4F-8F8C-40EE-96A4-816A95CE2593}">
  <dimension ref="A1:K11"/>
  <sheetViews>
    <sheetView zoomScaleNormal="100" zoomScaleSheetLayoutView="90" workbookViewId="0">
      <pane xSplit="1" topLeftCell="B1" activePane="topRight" state="frozen"/>
      <selection pane="topRight" activeCell="B16" sqref="B16"/>
    </sheetView>
  </sheetViews>
  <sheetFormatPr defaultRowHeight="13.2" x14ac:dyDescent="0.25"/>
  <cols>
    <col min="1" max="1" width="25.5546875" customWidth="1"/>
    <col min="2" max="11" width="20.5546875" customWidth="1"/>
    <col min="12" max="13" width="23.5546875" customWidth="1"/>
  </cols>
  <sheetData>
    <row r="1" spans="1:11" ht="24.9" customHeight="1" x14ac:dyDescent="0.25">
      <c r="A1" s="27" t="s">
        <v>84</v>
      </c>
    </row>
    <row r="2" spans="1:11" ht="27.6" x14ac:dyDescent="0.25">
      <c r="A2" s="5" t="s">
        <v>6</v>
      </c>
      <c r="B2" s="6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7" t="s">
        <v>3</v>
      </c>
      <c r="K2" s="8" t="s">
        <v>4</v>
      </c>
    </row>
    <row r="3" spans="1:11" ht="13.8" x14ac:dyDescent="0.3">
      <c r="A3" s="1" t="s">
        <v>93</v>
      </c>
      <c r="B3" s="2">
        <v>5457</v>
      </c>
      <c r="C3" s="2">
        <v>11167</v>
      </c>
      <c r="D3" s="2">
        <v>21933</v>
      </c>
      <c r="E3" s="2">
        <v>243338</v>
      </c>
      <c r="F3" s="2">
        <v>8482</v>
      </c>
      <c r="G3" s="2">
        <v>42158</v>
      </c>
      <c r="H3" s="2">
        <v>4786</v>
      </c>
      <c r="I3" s="2">
        <v>4808</v>
      </c>
      <c r="J3" s="9">
        <f>SUM(SupremeCourtJusticeJudicialDistrict8General[[#This Row],[Allegany County Vote Results]:[Wyoming County Vote Results]])</f>
        <v>342129</v>
      </c>
      <c r="K3" s="10">
        <f>SUM(SupremeCourtJusticeJudicialDistrict8General[[#This Row],[Total Votes by Party]],J6)</f>
        <v>381872</v>
      </c>
    </row>
    <row r="4" spans="1:11" ht="13.8" x14ac:dyDescent="0.3">
      <c r="A4" s="1" t="s">
        <v>94</v>
      </c>
      <c r="B4" s="2">
        <v>12344</v>
      </c>
      <c r="C4" s="2">
        <v>17939</v>
      </c>
      <c r="D4" s="2">
        <v>27192</v>
      </c>
      <c r="E4" s="2">
        <v>146965</v>
      </c>
      <c r="F4" s="2">
        <v>15243</v>
      </c>
      <c r="G4" s="2">
        <v>41574</v>
      </c>
      <c r="H4" s="2">
        <v>9641</v>
      </c>
      <c r="I4" s="2">
        <v>11425</v>
      </c>
      <c r="J4" s="9">
        <f>SUM(SupremeCourtJusticeJudicialDistrict8General[[#This Row],[Allegany County Vote Results]:[Wyoming County Vote Results]])</f>
        <v>282323</v>
      </c>
      <c r="K4" s="10">
        <f>SUM(SupremeCourtJusticeJudicialDistrict8General[[#This Row],[Total Votes by Party]],J5,J7)</f>
        <v>337831</v>
      </c>
    </row>
    <row r="5" spans="1:11" ht="13.8" x14ac:dyDescent="0.3">
      <c r="A5" s="1" t="s">
        <v>95</v>
      </c>
      <c r="B5" s="2">
        <v>1090</v>
      </c>
      <c r="C5" s="2">
        <v>1907</v>
      </c>
      <c r="D5" s="2">
        <v>3590</v>
      </c>
      <c r="E5" s="2">
        <v>27833</v>
      </c>
      <c r="F5" s="2">
        <v>2062</v>
      </c>
      <c r="G5" s="2">
        <v>7002</v>
      </c>
      <c r="H5" s="2">
        <v>1242</v>
      </c>
      <c r="I5" s="2">
        <v>1417</v>
      </c>
      <c r="J5" s="9">
        <f>SUM(SupremeCourtJusticeJudicialDistrict8General[[#This Row],[Allegany County Vote Results]:[Wyoming County Vote Results]])</f>
        <v>46143</v>
      </c>
      <c r="K5" s="11"/>
    </row>
    <row r="6" spans="1:11" ht="13.8" x14ac:dyDescent="0.3">
      <c r="A6" s="1" t="s">
        <v>96</v>
      </c>
      <c r="B6" s="2">
        <v>693</v>
      </c>
      <c r="C6" s="2">
        <v>1409</v>
      </c>
      <c r="D6" s="2">
        <v>2833</v>
      </c>
      <c r="E6" s="2">
        <v>27222</v>
      </c>
      <c r="F6" s="2">
        <v>1120</v>
      </c>
      <c r="G6" s="2">
        <v>5059</v>
      </c>
      <c r="H6" s="2">
        <v>630</v>
      </c>
      <c r="I6" s="2">
        <v>777</v>
      </c>
      <c r="J6" s="9">
        <f>SUM(SupremeCourtJusticeJudicialDistrict8General[[#This Row],[Allegany County Vote Results]:[Wyoming County Vote Results]])</f>
        <v>39743</v>
      </c>
      <c r="K6" s="11"/>
    </row>
    <row r="7" spans="1:11" ht="13.8" x14ac:dyDescent="0.3">
      <c r="A7" s="1" t="s">
        <v>97</v>
      </c>
      <c r="B7" s="2">
        <v>218</v>
      </c>
      <c r="C7" s="2">
        <v>402</v>
      </c>
      <c r="D7" s="2">
        <v>725</v>
      </c>
      <c r="E7" s="2">
        <v>5734</v>
      </c>
      <c r="F7" s="2">
        <v>400</v>
      </c>
      <c r="G7" s="2">
        <v>1462</v>
      </c>
      <c r="H7" s="2">
        <v>211</v>
      </c>
      <c r="I7" s="2">
        <v>213</v>
      </c>
      <c r="J7" s="9">
        <f>SUM(SupremeCourtJusticeJudicialDistrict8General[[#This Row],[Allegany County Vote Results]:[Wyoming County Vote Results]])</f>
        <v>9365</v>
      </c>
      <c r="K7" s="11"/>
    </row>
    <row r="8" spans="1:11" ht="13.8" x14ac:dyDescent="0.3">
      <c r="A8" s="3" t="s">
        <v>0</v>
      </c>
      <c r="B8" s="2">
        <v>1085</v>
      </c>
      <c r="C8" s="2">
        <v>2083</v>
      </c>
      <c r="D8" s="2">
        <v>3314</v>
      </c>
      <c r="E8" s="2">
        <v>23369</v>
      </c>
      <c r="F8" s="2">
        <v>2092</v>
      </c>
      <c r="G8" s="2">
        <v>7114</v>
      </c>
      <c r="H8" s="2">
        <v>1792</v>
      </c>
      <c r="I8" s="2">
        <v>778</v>
      </c>
      <c r="J8" s="9">
        <f>SUM(SupremeCourtJusticeJudicialDistrict8General[[#This Row],[Allegany County Vote Results]:[Wyoming County Vote Results]])</f>
        <v>41627</v>
      </c>
      <c r="K8" s="11"/>
    </row>
    <row r="9" spans="1:11" ht="13.8" x14ac:dyDescent="0.3">
      <c r="A9" s="3" t="s">
        <v>1</v>
      </c>
      <c r="B9" s="2">
        <v>4</v>
      </c>
      <c r="C9" s="2">
        <v>29</v>
      </c>
      <c r="D9" s="2">
        <v>31</v>
      </c>
      <c r="E9" s="2">
        <v>154</v>
      </c>
      <c r="F9" s="2">
        <v>22</v>
      </c>
      <c r="G9" s="2">
        <v>24</v>
      </c>
      <c r="H9" s="2">
        <v>9</v>
      </c>
      <c r="I9" s="2">
        <v>0</v>
      </c>
      <c r="J9" s="9">
        <f>SUM(SupremeCourtJusticeJudicialDistrict8General[[#This Row],[Allegany County Vote Results]:[Wyoming County Vote Results]])</f>
        <v>273</v>
      </c>
      <c r="K9" s="11"/>
    </row>
    <row r="10" spans="1:11" ht="13.8" x14ac:dyDescent="0.3">
      <c r="A10" s="3" t="s">
        <v>12</v>
      </c>
      <c r="B10" s="2">
        <v>4</v>
      </c>
      <c r="C10" s="2">
        <v>2</v>
      </c>
      <c r="D10" s="2">
        <v>31</v>
      </c>
      <c r="E10" s="2">
        <v>359</v>
      </c>
      <c r="F10" s="2">
        <v>10</v>
      </c>
      <c r="G10" s="2">
        <v>30</v>
      </c>
      <c r="H10" s="2">
        <v>3</v>
      </c>
      <c r="I10" s="2">
        <v>3</v>
      </c>
      <c r="J10" s="9">
        <f>SUM(SupremeCourtJusticeJudicialDistrict8General[[#This Row],[Allegany County Vote Results]:[Wyoming County Vote Results]])</f>
        <v>442</v>
      </c>
      <c r="K10" s="11"/>
    </row>
    <row r="11" spans="1:11" ht="13.8" x14ac:dyDescent="0.3">
      <c r="A11" s="12" t="s">
        <v>2</v>
      </c>
      <c r="B11" s="2">
        <f>SUM(SupremeCourtJusticeJudicialDistrict8General[Allegany County Vote Results])</f>
        <v>20895</v>
      </c>
      <c r="C11" s="2">
        <f>SUM(SupremeCourtJusticeJudicialDistrict8General[Cattaraugus County Vote Results])</f>
        <v>34938</v>
      </c>
      <c r="D11" s="2">
        <f>SUM(SupremeCourtJusticeJudicialDistrict8General[Chautauqua County Vote Results])</f>
        <v>59649</v>
      </c>
      <c r="E11" s="2">
        <f>SUM(SupremeCourtJusticeJudicialDistrict8General[Erie County Vote Results])</f>
        <v>474974</v>
      </c>
      <c r="F11" s="2">
        <f>SUM(SupremeCourtJusticeJudicialDistrict8General[Genesee County Vote Results])</f>
        <v>29431</v>
      </c>
      <c r="G11" s="2">
        <f>SUM(SupremeCourtJusticeJudicialDistrict8General[Niagara County Vote Results])</f>
        <v>104423</v>
      </c>
      <c r="H11" s="2">
        <f>SUM(SupremeCourtJusticeJudicialDistrict8General[Orleans County Vote Results])</f>
        <v>18314</v>
      </c>
      <c r="I11" s="2">
        <f>SUM(SupremeCourtJusticeJudicialDistrict8General[Wyoming County Vote Results])</f>
        <v>19421</v>
      </c>
      <c r="J11" s="9">
        <f>SUM(SupremeCourtJusticeJudicialDistrict8General[Total Votes by Party])</f>
        <v>762045</v>
      </c>
      <c r="K11" s="11"/>
    </row>
  </sheetData>
  <pageMargins left="0.7" right="0.7" top="0.75" bottom="0.75" header="0.3" footer="0.3"/>
  <pageSetup paperSize="5" scale="7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ADC0-968C-457A-9196-665DB14A9828}">
  <dimension ref="A1:H18"/>
  <sheetViews>
    <sheetView zoomScaleNormal="100" zoomScaleSheetLayoutView="90" workbookViewId="0">
      <selection activeCell="F17" sqref="F3:F17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24.9" customHeight="1" x14ac:dyDescent="0.25">
      <c r="A1" s="27" t="s">
        <v>98</v>
      </c>
    </row>
    <row r="2" spans="1:8" ht="27.6" x14ac:dyDescent="0.25">
      <c r="A2" s="5" t="s">
        <v>6</v>
      </c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7" t="s">
        <v>3</v>
      </c>
      <c r="H2" s="8" t="s">
        <v>4</v>
      </c>
    </row>
    <row r="3" spans="1:8" ht="13.8" x14ac:dyDescent="0.3">
      <c r="A3" s="1" t="s">
        <v>104</v>
      </c>
      <c r="B3" s="19">
        <v>68079</v>
      </c>
      <c r="C3" s="2">
        <v>74460</v>
      </c>
      <c r="D3" s="2">
        <v>21430</v>
      </c>
      <c r="E3" s="19">
        <v>68669</v>
      </c>
      <c r="F3" s="19">
        <v>257463</v>
      </c>
      <c r="G3" s="9">
        <f>SUM(SupremeCourtJusticeJudicialDistrict9General[[#This Row],[Dutchess County Vote Results]:[Westchester County Vote Results]])</f>
        <v>490101</v>
      </c>
      <c r="H3" s="10">
        <f>SUM(SupremeCourtJusticeJudicialDistrict9General[[#This Row],[Total Votes by Party]])</f>
        <v>490101</v>
      </c>
    </row>
    <row r="4" spans="1:8" ht="13.8" x14ac:dyDescent="0.3">
      <c r="A4" s="1" t="s">
        <v>105</v>
      </c>
      <c r="B4" s="19">
        <v>68660</v>
      </c>
      <c r="C4" s="2">
        <v>75803</v>
      </c>
      <c r="D4" s="2">
        <v>22161</v>
      </c>
      <c r="E4" s="19">
        <v>68971</v>
      </c>
      <c r="F4" s="19">
        <v>269991</v>
      </c>
      <c r="G4" s="9">
        <f>SUM(SupremeCourtJusticeJudicialDistrict9General[[#This Row],[Dutchess County Vote Results]:[Westchester County Vote Results]])</f>
        <v>505586</v>
      </c>
      <c r="H4" s="10">
        <f>SUM(SupremeCourtJusticeJudicialDistrict9General[[#This Row],[Total Votes by Party]],G12)</f>
        <v>557827</v>
      </c>
    </row>
    <row r="5" spans="1:8" ht="13.8" x14ac:dyDescent="0.3">
      <c r="A5" s="1" t="s">
        <v>106</v>
      </c>
      <c r="B5" s="19">
        <v>62263</v>
      </c>
      <c r="C5" s="2">
        <v>63347</v>
      </c>
      <c r="D5" s="2">
        <v>20464</v>
      </c>
      <c r="E5" s="19">
        <v>63908</v>
      </c>
      <c r="F5" s="19">
        <v>247152</v>
      </c>
      <c r="G5" s="9">
        <f>SUM(SupremeCourtJusticeJudicialDistrict9General[[#This Row],[Dutchess County Vote Results]:[Westchester County Vote Results]])</f>
        <v>457134</v>
      </c>
      <c r="H5" s="10">
        <f>SUM(SupremeCourtJusticeJudicialDistrict9General[[#This Row],[Total Votes by Party]],G13)</f>
        <v>500595</v>
      </c>
    </row>
    <row r="6" spans="1:8" ht="13.8" x14ac:dyDescent="0.3">
      <c r="A6" s="1" t="s">
        <v>107</v>
      </c>
      <c r="B6" s="19">
        <v>62906</v>
      </c>
      <c r="C6" s="2">
        <v>68326</v>
      </c>
      <c r="D6" s="2">
        <v>20524</v>
      </c>
      <c r="E6" s="19">
        <v>64737</v>
      </c>
      <c r="F6" s="19">
        <v>251203</v>
      </c>
      <c r="G6" s="9">
        <f>SUM(SupremeCourtJusticeJudicialDistrict9General[[#This Row],[Dutchess County Vote Results]:[Westchester County Vote Results]])</f>
        <v>467696</v>
      </c>
      <c r="H6" s="10">
        <f>SUM(SupremeCourtJusticeJudicialDistrict9General[[#This Row],[Total Votes by Party]],G10,G14)</f>
        <v>810179</v>
      </c>
    </row>
    <row r="7" spans="1:8" ht="13.8" x14ac:dyDescent="0.3">
      <c r="A7" s="1" t="s">
        <v>108</v>
      </c>
      <c r="B7" s="19">
        <v>54659</v>
      </c>
      <c r="C7" s="2">
        <v>67129</v>
      </c>
      <c r="D7" s="2">
        <v>24019</v>
      </c>
      <c r="E7" s="19">
        <v>54190</v>
      </c>
      <c r="F7" s="19">
        <v>122452</v>
      </c>
      <c r="G7" s="9">
        <f>SUM(SupremeCourtJusticeJudicialDistrict9General[[#This Row],[Dutchess County Vote Results]:[Westchester County Vote Results]])</f>
        <v>322449</v>
      </c>
      <c r="H7" s="10">
        <f>SUM(SupremeCourtJusticeJudicialDistrict9General[[#This Row],[Total Votes by Party]],G11)</f>
        <v>366494</v>
      </c>
    </row>
    <row r="8" spans="1:8" ht="13.8" x14ac:dyDescent="0.3">
      <c r="A8" s="1" t="s">
        <v>109</v>
      </c>
      <c r="B8" s="19">
        <v>51722</v>
      </c>
      <c r="C8" s="2">
        <v>59600</v>
      </c>
      <c r="D8" s="2">
        <v>22828</v>
      </c>
      <c r="E8" s="19">
        <v>51815</v>
      </c>
      <c r="F8" s="19">
        <v>117339</v>
      </c>
      <c r="G8" s="9">
        <f>SUM(SupremeCourtJusticeJudicialDistrict9General[[#This Row],[Dutchess County Vote Results]:[Westchester County Vote Results]])</f>
        <v>303304</v>
      </c>
      <c r="H8" s="10">
        <f>SUM(SupremeCourtJusticeJudicialDistrict9General[[#This Row],[Total Votes by Party]])</f>
        <v>303304</v>
      </c>
    </row>
    <row r="9" spans="1:8" ht="13.8" x14ac:dyDescent="0.3">
      <c r="A9" s="1" t="s">
        <v>110</v>
      </c>
      <c r="B9" s="19">
        <v>51726</v>
      </c>
      <c r="C9" s="2">
        <v>64583</v>
      </c>
      <c r="D9" s="2">
        <v>23114</v>
      </c>
      <c r="E9" s="19">
        <v>52006</v>
      </c>
      <c r="F9" s="19">
        <v>118187</v>
      </c>
      <c r="G9" s="9">
        <f>SUM(SupremeCourtJusticeJudicialDistrict9General[[#This Row],[Dutchess County Vote Results]:[Westchester County Vote Results]])</f>
        <v>309616</v>
      </c>
      <c r="H9" s="10">
        <f>SUM(SupremeCourtJusticeJudicialDistrict9General[[#This Row],[Total Votes by Party]])</f>
        <v>309616</v>
      </c>
    </row>
    <row r="10" spans="1:8" ht="13.8" x14ac:dyDescent="0.3">
      <c r="A10" s="1" t="s">
        <v>111</v>
      </c>
      <c r="B10" s="19">
        <v>50661</v>
      </c>
      <c r="C10" s="2">
        <v>57909</v>
      </c>
      <c r="D10" s="2">
        <v>22775</v>
      </c>
      <c r="E10" s="19">
        <v>51356</v>
      </c>
      <c r="F10" s="19">
        <v>116271</v>
      </c>
      <c r="G10" s="9">
        <f>SUM(SupremeCourtJusticeJudicialDistrict9General[[#This Row],[Dutchess County Vote Results]:[Westchester County Vote Results]])</f>
        <v>298972</v>
      </c>
      <c r="H10" s="11"/>
    </row>
    <row r="11" spans="1:8" ht="13.8" x14ac:dyDescent="0.3">
      <c r="A11" s="1" t="s">
        <v>112</v>
      </c>
      <c r="B11" s="19">
        <v>8340</v>
      </c>
      <c r="C11" s="2">
        <v>9274</v>
      </c>
      <c r="D11" s="2">
        <v>3390</v>
      </c>
      <c r="E11" s="19">
        <v>6933</v>
      </c>
      <c r="F11" s="19">
        <v>16108</v>
      </c>
      <c r="G11" s="9">
        <f>SUM(SupremeCourtJusticeJudicialDistrict9General[[#This Row],[Dutchess County Vote Results]:[Westchester County Vote Results]])</f>
        <v>44045</v>
      </c>
      <c r="H11" s="11"/>
    </row>
    <row r="12" spans="1:8" ht="13.8" x14ac:dyDescent="0.3">
      <c r="A12" s="1" t="s">
        <v>113</v>
      </c>
      <c r="B12" s="19">
        <v>9285</v>
      </c>
      <c r="C12" s="2">
        <v>10053</v>
      </c>
      <c r="D12" s="2">
        <v>3953</v>
      </c>
      <c r="E12" s="19">
        <v>9034</v>
      </c>
      <c r="F12" s="19">
        <v>19916</v>
      </c>
      <c r="G12" s="9">
        <f>SUM(SupremeCourtJusticeJudicialDistrict9General[[#This Row],[Dutchess County Vote Results]:[Westchester County Vote Results]])</f>
        <v>52241</v>
      </c>
      <c r="H12" s="11"/>
    </row>
    <row r="13" spans="1:8" ht="13.8" x14ac:dyDescent="0.3">
      <c r="A13" s="1" t="s">
        <v>114</v>
      </c>
      <c r="B13" s="19">
        <v>7636</v>
      </c>
      <c r="C13" s="2">
        <v>7988</v>
      </c>
      <c r="D13" s="2">
        <v>3439</v>
      </c>
      <c r="E13" s="19">
        <v>7834</v>
      </c>
      <c r="F13" s="19">
        <v>16564</v>
      </c>
      <c r="G13" s="9">
        <f>SUM(SupremeCourtJusticeJudicialDistrict9General[[#This Row],[Dutchess County Vote Results]:[Westchester County Vote Results]])</f>
        <v>43461</v>
      </c>
      <c r="H13" s="11"/>
    </row>
    <row r="14" spans="1:8" ht="13.8" x14ac:dyDescent="0.3">
      <c r="A14" s="1" t="s">
        <v>115</v>
      </c>
      <c r="B14" s="19">
        <v>8013</v>
      </c>
      <c r="C14" s="2">
        <v>8336</v>
      </c>
      <c r="D14" s="2">
        <v>3365</v>
      </c>
      <c r="E14" s="19">
        <v>8015</v>
      </c>
      <c r="F14" s="19">
        <v>15782</v>
      </c>
      <c r="G14" s="9">
        <f>SUM(SupremeCourtJusticeJudicialDistrict9General[[#This Row],[Dutchess County Vote Results]:[Westchester County Vote Results]])</f>
        <v>43511</v>
      </c>
      <c r="H14" s="11"/>
    </row>
    <row r="15" spans="1:8" ht="13.8" x14ac:dyDescent="0.3">
      <c r="A15" s="3" t="s">
        <v>0</v>
      </c>
      <c r="B15" s="19">
        <v>100705</v>
      </c>
      <c r="C15" s="2">
        <v>126002</v>
      </c>
      <c r="D15" s="2">
        <v>29714</v>
      </c>
      <c r="E15" s="19">
        <v>97192</v>
      </c>
      <c r="F15" s="19"/>
      <c r="G15" s="9">
        <f>SUM(SupremeCourtJusticeJudicialDistrict9General[[#This Row],[Dutchess County Vote Results]:[Westchester County Vote Results]])</f>
        <v>353613</v>
      </c>
      <c r="H15" s="11"/>
    </row>
    <row r="16" spans="1:8" ht="13.8" x14ac:dyDescent="0.3">
      <c r="A16" s="3" t="s">
        <v>1</v>
      </c>
      <c r="B16" s="19">
        <f>576+128</f>
        <v>704</v>
      </c>
      <c r="C16" s="2">
        <v>0</v>
      </c>
      <c r="D16" s="2">
        <v>0</v>
      </c>
      <c r="E16" s="19">
        <v>508</v>
      </c>
      <c r="F16" s="19"/>
      <c r="G16" s="9">
        <f>SUM(SupremeCourtJusticeJudicialDistrict9General[[#This Row],[Dutchess County Vote Results]:[Westchester County Vote Results]])</f>
        <v>1212</v>
      </c>
      <c r="H16" s="11"/>
    </row>
    <row r="17" spans="1:8" ht="13.8" x14ac:dyDescent="0.3">
      <c r="A17" s="3" t="s">
        <v>12</v>
      </c>
      <c r="B17" s="19">
        <v>101</v>
      </c>
      <c r="C17" s="2">
        <v>258</v>
      </c>
      <c r="D17" s="2">
        <v>96</v>
      </c>
      <c r="E17" s="19">
        <v>356</v>
      </c>
      <c r="F17" s="19">
        <v>436</v>
      </c>
      <c r="G17" s="9">
        <f>SUM(SupremeCourtJusticeJudicialDistrict9General[[#This Row],[Dutchess County Vote Results]:[Westchester County Vote Results]])</f>
        <v>1247</v>
      </c>
      <c r="H17" s="11"/>
    </row>
    <row r="18" spans="1:8" ht="13.8" x14ac:dyDescent="0.3">
      <c r="A18" s="12" t="s">
        <v>2</v>
      </c>
      <c r="B18" s="19">
        <f>SUM(SupremeCourtJusticeJudicialDistrict9General[Dutchess County Vote Results])</f>
        <v>605460</v>
      </c>
      <c r="C18" s="2">
        <f>SUM(SupremeCourtJusticeJudicialDistrict9General[Orange County Vote Results])</f>
        <v>693068</v>
      </c>
      <c r="D18" s="2">
        <f>SUM(SupremeCourtJusticeJudicialDistrict9General[Putnam County Vote Results])</f>
        <v>221272</v>
      </c>
      <c r="E18" s="19">
        <f>SUM(SupremeCourtJusticeJudicialDistrict9General[Rockland County Vote Results])</f>
        <v>605524</v>
      </c>
      <c r="F18" s="2">
        <f>SUM(SupremeCourtJusticeJudicialDistrict9General[Westchester County Vote Results])</f>
        <v>1568864</v>
      </c>
      <c r="G18" s="9">
        <f>SUM(SupremeCourtJusticeJudicialDistrict9General[Total Votes by Party])</f>
        <v>3694188</v>
      </c>
      <c r="H18" s="11"/>
    </row>
  </sheetData>
  <pageMargins left="0.7" right="0.7" top="0.75" bottom="0.75" header="0.3" footer="0.3"/>
  <pageSetup paperSize="5" scale="96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DE47-0CF6-4DB4-B51C-96037B053BC1}">
  <dimension ref="A1:E42"/>
  <sheetViews>
    <sheetView zoomScaleNormal="100" zoomScaleSheetLayoutView="90" workbookViewId="0">
      <selection activeCell="C3" sqref="C3:C38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9" customHeight="1" x14ac:dyDescent="0.25">
      <c r="A1" s="27" t="s">
        <v>116</v>
      </c>
    </row>
    <row r="2" spans="1:5" ht="27.6" x14ac:dyDescent="0.25">
      <c r="A2" s="5" t="s">
        <v>6</v>
      </c>
      <c r="B2" s="6" t="s">
        <v>117</v>
      </c>
      <c r="C2" s="6" t="s">
        <v>118</v>
      </c>
      <c r="D2" s="7" t="s">
        <v>3</v>
      </c>
      <c r="E2" s="8" t="s">
        <v>4</v>
      </c>
    </row>
    <row r="3" spans="1:5" ht="13.8" x14ac:dyDescent="0.3">
      <c r="A3" s="1" t="s">
        <v>119</v>
      </c>
      <c r="B3" s="19">
        <v>330379</v>
      </c>
      <c r="C3" s="19">
        <v>302174</v>
      </c>
      <c r="D3" s="9">
        <f>SUM(SupremeCourtJusticeJudicialDistrict10General[[#This Row],[Nassau County Vote Results]:[Suffolk County Vote Results]])</f>
        <v>632553</v>
      </c>
      <c r="E3" s="10">
        <f>SUM(SupremeCourtJusticeJudicialDistrict10General[[#This Row],[Total Votes by Party]],D11,D19,D27)</f>
        <v>1273054</v>
      </c>
    </row>
    <row r="4" spans="1:5" ht="13.8" x14ac:dyDescent="0.3">
      <c r="A4" s="1" t="s">
        <v>120</v>
      </c>
      <c r="B4" s="19">
        <v>309828</v>
      </c>
      <c r="C4" s="19">
        <v>276497</v>
      </c>
      <c r="D4" s="9">
        <f>SUM(SupremeCourtJusticeJudicialDistrict10General[[#This Row],[Nassau County Vote Results]:[Suffolk County Vote Results]])</f>
        <v>586325</v>
      </c>
      <c r="E4" s="10">
        <f>SUM(SupremeCourtJusticeJudicialDistrict10General[[#This Row],[Total Votes by Party]],D12,D20)</f>
        <v>1193418</v>
      </c>
    </row>
    <row r="5" spans="1:5" ht="13.8" x14ac:dyDescent="0.3">
      <c r="A5" s="1" t="s">
        <v>121</v>
      </c>
      <c r="B5" s="19">
        <v>311914</v>
      </c>
      <c r="C5" s="19">
        <v>278600</v>
      </c>
      <c r="D5" s="9">
        <f>SUM(SupremeCourtJusticeJudicialDistrict10General[[#This Row],[Nassau County Vote Results]:[Suffolk County Vote Results]])</f>
        <v>590514</v>
      </c>
      <c r="E5" s="10">
        <f>SUM(SupremeCourtJusticeJudicialDistrict10General[[#This Row],[Total Votes by Party]],D13,D21,D29)</f>
        <v>1212307</v>
      </c>
    </row>
    <row r="6" spans="1:5" ht="13.8" x14ac:dyDescent="0.3">
      <c r="A6" s="1" t="s">
        <v>122</v>
      </c>
      <c r="B6" s="19">
        <v>315968</v>
      </c>
      <c r="C6" s="19">
        <v>280664</v>
      </c>
      <c r="D6" s="9">
        <f>SUM(SupremeCourtJusticeJudicialDistrict10General[[#This Row],[Nassau County Vote Results]:[Suffolk County Vote Results]])</f>
        <v>596632</v>
      </c>
      <c r="E6" s="10">
        <f>SUM(SupremeCourtJusticeJudicialDistrict10General[[#This Row],[Total Votes by Party]],D14,D22,)</f>
        <v>1202128</v>
      </c>
    </row>
    <row r="7" spans="1:5" ht="13.8" x14ac:dyDescent="0.3">
      <c r="A7" s="1" t="s">
        <v>123</v>
      </c>
      <c r="B7" s="19">
        <v>315579</v>
      </c>
      <c r="C7" s="19">
        <v>282164</v>
      </c>
      <c r="D7" s="9">
        <f>SUM(SupremeCourtJusticeJudicialDistrict10General[[#This Row],[Nassau County Vote Results]:[Suffolk County Vote Results]])</f>
        <v>597743</v>
      </c>
      <c r="E7" s="10">
        <f>SUM(SupremeCourtJusticeJudicialDistrict10General[[#This Row],[Total Votes by Party]],D15,D23,D31)</f>
        <v>1221329</v>
      </c>
    </row>
    <row r="8" spans="1:5" ht="13.8" x14ac:dyDescent="0.3">
      <c r="A8" s="1" t="s">
        <v>124</v>
      </c>
      <c r="B8" s="19">
        <v>304667</v>
      </c>
      <c r="C8" s="19">
        <v>272088</v>
      </c>
      <c r="D8" s="9">
        <f>SUM(SupremeCourtJusticeJudicialDistrict10General[[#This Row],[Nassau County Vote Results]:[Suffolk County Vote Results]])</f>
        <v>576755</v>
      </c>
      <c r="E8" s="10">
        <f>SUM(SupremeCourtJusticeJudicialDistrict10General[[#This Row],[Total Votes by Party]],D16,D24)</f>
        <v>1183835</v>
      </c>
    </row>
    <row r="9" spans="1:5" ht="13.8" x14ac:dyDescent="0.3">
      <c r="A9" s="1" t="s">
        <v>125</v>
      </c>
      <c r="B9" s="19">
        <v>300124</v>
      </c>
      <c r="C9" s="19">
        <v>271146</v>
      </c>
      <c r="D9" s="9">
        <f>SUM(SupremeCourtJusticeJudicialDistrict10General[[#This Row],[Nassau County Vote Results]:[Suffolk County Vote Results]])</f>
        <v>571270</v>
      </c>
      <c r="E9" s="10">
        <f>SUM(SupremeCourtJusticeJudicialDistrict10General[[#This Row],[Total Votes by Party]],D17,D25,D33)</f>
        <v>1190226</v>
      </c>
    </row>
    <row r="10" spans="1:5" ht="13.8" x14ac:dyDescent="0.3">
      <c r="A10" s="1" t="s">
        <v>126</v>
      </c>
      <c r="B10" s="19">
        <v>287111</v>
      </c>
      <c r="C10" s="19">
        <v>259037</v>
      </c>
      <c r="D10" s="9">
        <f>SUM(SupremeCourtJusticeJudicialDistrict10General[[#This Row],[Nassau County Vote Results]:[Suffolk County Vote Results]])</f>
        <v>546148</v>
      </c>
      <c r="E10" s="10">
        <f>SUM(SupremeCourtJusticeJudicialDistrict10General[[#This Row],[Total Votes by Party]],D18,D26)</f>
        <v>1127537</v>
      </c>
    </row>
    <row r="11" spans="1:5" ht="13.8" x14ac:dyDescent="0.3">
      <c r="A11" s="1" t="s">
        <v>127</v>
      </c>
      <c r="B11" s="19">
        <v>269706</v>
      </c>
      <c r="C11" s="19">
        <v>290635</v>
      </c>
      <c r="D11" s="9">
        <f>SUM(SupremeCourtJusticeJudicialDistrict10General[[#This Row],[Nassau County Vote Results]:[Suffolk County Vote Results]])</f>
        <v>560341</v>
      </c>
      <c r="E11" s="11"/>
    </row>
    <row r="12" spans="1:5" ht="13.8" x14ac:dyDescent="0.3">
      <c r="A12" s="1" t="s">
        <v>128</v>
      </c>
      <c r="B12" s="19">
        <v>264204</v>
      </c>
      <c r="C12" s="19">
        <v>278499</v>
      </c>
      <c r="D12" s="9">
        <f>SUM(SupremeCourtJusticeJudicialDistrict10General[[#This Row],[Nassau County Vote Results]:[Suffolk County Vote Results]])</f>
        <v>542703</v>
      </c>
      <c r="E12" s="11"/>
    </row>
    <row r="13" spans="1:5" ht="13.8" x14ac:dyDescent="0.3">
      <c r="A13" s="1" t="s">
        <v>129</v>
      </c>
      <c r="B13" s="19">
        <v>262798</v>
      </c>
      <c r="C13" s="19">
        <v>277164</v>
      </c>
      <c r="D13" s="9">
        <f>SUM(SupremeCourtJusticeJudicialDistrict10General[[#This Row],[Nassau County Vote Results]:[Suffolk County Vote Results]])</f>
        <v>539962</v>
      </c>
      <c r="E13" s="11"/>
    </row>
    <row r="14" spans="1:5" ht="13.8" x14ac:dyDescent="0.3">
      <c r="A14" s="1" t="s">
        <v>130</v>
      </c>
      <c r="B14" s="19">
        <v>263901</v>
      </c>
      <c r="C14" s="19">
        <v>276961</v>
      </c>
      <c r="D14" s="9">
        <f>SUM(SupremeCourtJusticeJudicialDistrict10General[[#This Row],[Nassau County Vote Results]:[Suffolk County Vote Results]])</f>
        <v>540862</v>
      </c>
      <c r="E14" s="11"/>
    </row>
    <row r="15" spans="1:5" ht="13.8" x14ac:dyDescent="0.3">
      <c r="A15" s="1" t="s">
        <v>131</v>
      </c>
      <c r="B15" s="19">
        <v>263696</v>
      </c>
      <c r="C15" s="19">
        <v>277919</v>
      </c>
      <c r="D15" s="9">
        <f>SUM(SupremeCourtJusticeJudicialDistrict10General[[#This Row],[Nassau County Vote Results]:[Suffolk County Vote Results]])</f>
        <v>541615</v>
      </c>
      <c r="E15" s="11"/>
    </row>
    <row r="16" spans="1:5" ht="13.8" x14ac:dyDescent="0.3">
      <c r="A16" s="1" t="s">
        <v>132</v>
      </c>
      <c r="B16" s="19">
        <v>263910</v>
      </c>
      <c r="C16" s="19">
        <v>277803</v>
      </c>
      <c r="D16" s="9">
        <f>SUM(SupremeCourtJusticeJudicialDistrict10General[[#This Row],[Nassau County Vote Results]:[Suffolk County Vote Results]])</f>
        <v>541713</v>
      </c>
      <c r="E16" s="11"/>
    </row>
    <row r="17" spans="1:5" ht="13.8" x14ac:dyDescent="0.3">
      <c r="A17" s="1" t="s">
        <v>133</v>
      </c>
      <c r="B17" s="19">
        <v>261814</v>
      </c>
      <c r="C17" s="19">
        <v>277758</v>
      </c>
      <c r="D17" s="9">
        <f>SUM(SupremeCourtJusticeJudicialDistrict10General[[#This Row],[Nassau County Vote Results]:[Suffolk County Vote Results]])</f>
        <v>539572</v>
      </c>
      <c r="E17" s="11"/>
    </row>
    <row r="18" spans="1:5" ht="13.8" x14ac:dyDescent="0.3">
      <c r="A18" s="1" t="s">
        <v>134</v>
      </c>
      <c r="B18" s="19">
        <v>252215</v>
      </c>
      <c r="C18" s="19">
        <v>266430</v>
      </c>
      <c r="D18" s="9">
        <f>SUM(SupremeCourtJusticeJudicialDistrict10General[[#This Row],[Nassau County Vote Results]:[Suffolk County Vote Results]])</f>
        <v>518645</v>
      </c>
      <c r="E18" s="11"/>
    </row>
    <row r="19" spans="1:5" ht="13.8" x14ac:dyDescent="0.3">
      <c r="A19" s="1" t="s">
        <v>135</v>
      </c>
      <c r="B19" s="19">
        <v>25205</v>
      </c>
      <c r="C19" s="19">
        <v>37789</v>
      </c>
      <c r="D19" s="9">
        <f>SUM(SupremeCourtJusticeJudicialDistrict10General[[#This Row],[Nassau County Vote Results]:[Suffolk County Vote Results]])</f>
        <v>62994</v>
      </c>
      <c r="E19" s="11"/>
    </row>
    <row r="20" spans="1:5" ht="13.8" x14ac:dyDescent="0.3">
      <c r="A20" s="1" t="s">
        <v>136</v>
      </c>
      <c r="B20" s="19">
        <v>24981</v>
      </c>
      <c r="C20" s="19">
        <v>39409</v>
      </c>
      <c r="D20" s="9">
        <f>SUM(SupremeCourtJusticeJudicialDistrict10General[[#This Row],[Nassau County Vote Results]:[Suffolk County Vote Results]])</f>
        <v>64390</v>
      </c>
      <c r="E20" s="11"/>
    </row>
    <row r="21" spans="1:5" ht="13.8" x14ac:dyDescent="0.3">
      <c r="A21" s="1" t="s">
        <v>137</v>
      </c>
      <c r="B21" s="19">
        <v>25346</v>
      </c>
      <c r="C21" s="19">
        <v>39659</v>
      </c>
      <c r="D21" s="9">
        <f>SUM(SupremeCourtJusticeJudicialDistrict10General[[#This Row],[Nassau County Vote Results]:[Suffolk County Vote Results]])</f>
        <v>65005</v>
      </c>
      <c r="E21" s="11"/>
    </row>
    <row r="22" spans="1:5" ht="13.8" x14ac:dyDescent="0.3">
      <c r="A22" s="1" t="s">
        <v>138</v>
      </c>
      <c r="B22" s="19">
        <v>25256</v>
      </c>
      <c r="C22" s="19">
        <v>39378</v>
      </c>
      <c r="D22" s="9">
        <f>SUM(SupremeCourtJusticeJudicialDistrict10General[[#This Row],[Nassau County Vote Results]:[Suffolk County Vote Results]])</f>
        <v>64634</v>
      </c>
      <c r="E22" s="11"/>
    </row>
    <row r="23" spans="1:5" ht="13.8" x14ac:dyDescent="0.3">
      <c r="A23" s="1" t="s">
        <v>139</v>
      </c>
      <c r="B23" s="19">
        <v>25163</v>
      </c>
      <c r="C23" s="19">
        <v>39422</v>
      </c>
      <c r="D23" s="9">
        <f>SUM(SupremeCourtJusticeJudicialDistrict10General[[#This Row],[Nassau County Vote Results]:[Suffolk County Vote Results]])</f>
        <v>64585</v>
      </c>
      <c r="E23" s="11"/>
    </row>
    <row r="24" spans="1:5" ht="13.8" x14ac:dyDescent="0.3">
      <c r="A24" s="1" t="s">
        <v>140</v>
      </c>
      <c r="B24" s="19">
        <v>25576</v>
      </c>
      <c r="C24" s="19">
        <v>39791</v>
      </c>
      <c r="D24" s="9">
        <f>SUM(SupremeCourtJusticeJudicialDistrict10General[[#This Row],[Nassau County Vote Results]:[Suffolk County Vote Results]])</f>
        <v>65367</v>
      </c>
      <c r="E24" s="11"/>
    </row>
    <row r="25" spans="1:5" ht="13.8" x14ac:dyDescent="0.3">
      <c r="A25" s="1" t="s">
        <v>141</v>
      </c>
      <c r="B25" s="19">
        <v>25177</v>
      </c>
      <c r="C25" s="19">
        <v>37268</v>
      </c>
      <c r="D25" s="9">
        <f>SUM(SupremeCourtJusticeJudicialDistrict10General[[#This Row],[Nassau County Vote Results]:[Suffolk County Vote Results]])</f>
        <v>62445</v>
      </c>
      <c r="E25" s="11"/>
    </row>
    <row r="26" spans="1:5" ht="13.8" x14ac:dyDescent="0.3">
      <c r="A26" s="1" t="s">
        <v>142</v>
      </c>
      <c r="B26" s="19">
        <v>24389</v>
      </c>
      <c r="C26" s="19">
        <v>38355</v>
      </c>
      <c r="D26" s="9">
        <f>SUM(SupremeCourtJusticeJudicialDistrict10General[[#This Row],[Nassau County Vote Results]:[Suffolk County Vote Results]])</f>
        <v>62744</v>
      </c>
      <c r="E26" s="11"/>
    </row>
    <row r="27" spans="1:5" ht="13.8" x14ac:dyDescent="0.3">
      <c r="A27" s="1" t="s">
        <v>143</v>
      </c>
      <c r="B27" s="19">
        <v>6651</v>
      </c>
      <c r="C27" s="19">
        <v>10515</v>
      </c>
      <c r="D27" s="9">
        <f>SUM(SupremeCourtJusticeJudicialDistrict10General[[#This Row],[Nassau County Vote Results]:[Suffolk County Vote Results]])</f>
        <v>17166</v>
      </c>
      <c r="E27" s="11"/>
    </row>
    <row r="28" spans="1:5" ht="13.8" x14ac:dyDescent="0.3">
      <c r="A28" s="1" t="s">
        <v>144</v>
      </c>
      <c r="B28" s="19">
        <v>9249</v>
      </c>
      <c r="C28" s="19">
        <v>14259</v>
      </c>
      <c r="D28" s="9">
        <f>SUM(SupremeCourtJusticeJudicialDistrict10General[[#This Row],[Nassau County Vote Results]:[Suffolk County Vote Results]])</f>
        <v>23508</v>
      </c>
      <c r="E28" s="10">
        <f>SUM(SupremeCourtJusticeJudicialDistrict10General[[#This Row],[Total Votes by Party]])</f>
        <v>23508</v>
      </c>
    </row>
    <row r="29" spans="1:5" ht="13.8" x14ac:dyDescent="0.3">
      <c r="A29" s="1" t="s">
        <v>145</v>
      </c>
      <c r="B29" s="19">
        <v>6556</v>
      </c>
      <c r="C29" s="19">
        <v>10270</v>
      </c>
      <c r="D29" s="9">
        <f>SUM(SupremeCourtJusticeJudicialDistrict10General[[#This Row],[Nassau County Vote Results]:[Suffolk County Vote Results]])</f>
        <v>16826</v>
      </c>
      <c r="E29" s="11"/>
    </row>
    <row r="30" spans="1:5" ht="13.8" x14ac:dyDescent="0.3">
      <c r="A30" s="3" t="s">
        <v>146</v>
      </c>
      <c r="B30" s="19">
        <v>10363</v>
      </c>
      <c r="C30" s="19">
        <v>15898</v>
      </c>
      <c r="D30" s="9">
        <f>SUM(SupremeCourtJusticeJudicialDistrict10General[[#This Row],[Nassau County Vote Results]:[Suffolk County Vote Results]])</f>
        <v>26261</v>
      </c>
      <c r="E30" s="10">
        <f>SUM(SupremeCourtJusticeJudicialDistrict10General[[#This Row],[Total Votes by Party]])</f>
        <v>26261</v>
      </c>
    </row>
    <row r="31" spans="1:5" ht="13.8" x14ac:dyDescent="0.3">
      <c r="A31" s="3" t="s">
        <v>147</v>
      </c>
      <c r="B31" s="19">
        <v>6762</v>
      </c>
      <c r="C31" s="19">
        <v>10624</v>
      </c>
      <c r="D31" s="9">
        <f>SUM(SupremeCourtJusticeJudicialDistrict10General[[#This Row],[Nassau County Vote Results]:[Suffolk County Vote Results]])</f>
        <v>17386</v>
      </c>
      <c r="E31" s="11"/>
    </row>
    <row r="32" spans="1:5" ht="13.8" x14ac:dyDescent="0.3">
      <c r="A32" s="3" t="s">
        <v>148</v>
      </c>
      <c r="B32" s="19">
        <v>9598</v>
      </c>
      <c r="C32" s="19">
        <v>15128</v>
      </c>
      <c r="D32" s="9">
        <f>SUM(SupremeCourtJusticeJudicialDistrict10General[[#This Row],[Nassau County Vote Results]:[Suffolk County Vote Results]])</f>
        <v>24726</v>
      </c>
      <c r="E32" s="10">
        <f>SUM(SupremeCourtJusticeJudicialDistrict10General[[#This Row],[Total Votes by Party]])</f>
        <v>24726</v>
      </c>
    </row>
    <row r="33" spans="1:5" ht="13.8" x14ac:dyDescent="0.3">
      <c r="A33" s="3" t="s">
        <v>149</v>
      </c>
      <c r="B33" s="19">
        <v>6493</v>
      </c>
      <c r="C33" s="19">
        <v>10446</v>
      </c>
      <c r="D33" s="9">
        <f>SUM(SupremeCourtJusticeJudicialDistrict10General[[#This Row],[Nassau County Vote Results]:[Suffolk County Vote Results]])</f>
        <v>16939</v>
      </c>
      <c r="E33" s="11"/>
    </row>
    <row r="34" spans="1:5" ht="13.8" x14ac:dyDescent="0.3">
      <c r="A34" s="3" t="s">
        <v>150</v>
      </c>
      <c r="B34" s="19">
        <v>10050</v>
      </c>
      <c r="C34" s="19">
        <v>15516</v>
      </c>
      <c r="D34" s="9">
        <f>SUM(SupremeCourtJusticeJudicialDistrict10General[[#This Row],[Nassau County Vote Results]:[Suffolk County Vote Results]])</f>
        <v>25566</v>
      </c>
      <c r="E34" s="10">
        <f>SUM(SupremeCourtJusticeJudicialDistrict10General[[#This Row],[Total Votes by Party]])</f>
        <v>25566</v>
      </c>
    </row>
    <row r="35" spans="1:5" ht="13.8" x14ac:dyDescent="0.3">
      <c r="A35" s="3" t="s">
        <v>0</v>
      </c>
      <c r="B35" s="19">
        <v>1039186</v>
      </c>
      <c r="C35" s="19">
        <v>1187389</v>
      </c>
      <c r="D35" s="9">
        <f>SUM(SupremeCourtJusticeJudicialDistrict10General[[#This Row],[Nassau County Vote Results]:[Suffolk County Vote Results]])</f>
        <v>2226575</v>
      </c>
      <c r="E35" s="11"/>
    </row>
    <row r="36" spans="1:5" ht="13.8" x14ac:dyDescent="0.3">
      <c r="A36" s="3" t="s">
        <v>1</v>
      </c>
      <c r="B36" s="19">
        <v>1240</v>
      </c>
      <c r="C36" s="19">
        <v>2792</v>
      </c>
      <c r="D36" s="9">
        <f>SUM(SupremeCourtJusticeJudicialDistrict10General[[#This Row],[Nassau County Vote Results]:[Suffolk County Vote Results]])</f>
        <v>4032</v>
      </c>
      <c r="E36" s="11"/>
    </row>
    <row r="37" spans="1:5" ht="13.8" x14ac:dyDescent="0.3">
      <c r="A37" s="3" t="s">
        <v>12</v>
      </c>
      <c r="B37" s="19">
        <v>2193</v>
      </c>
      <c r="C37" s="19">
        <v>1761</v>
      </c>
      <c r="D37" s="9">
        <f>SUM(SupremeCourtJusticeJudicialDistrict10General[[#This Row],[Nassau County Vote Results]:[Suffolk County Vote Results]])</f>
        <v>3954</v>
      </c>
      <c r="E37" s="11"/>
    </row>
    <row r="38" spans="1:5" ht="13.8" x14ac:dyDescent="0.3">
      <c r="A38" s="12" t="s">
        <v>2</v>
      </c>
      <c r="B38" s="19">
        <f>SUM(SupremeCourtJusticeJudicialDistrict10General[Nassau County Vote Results])</f>
        <v>5887248</v>
      </c>
      <c r="C38" s="19">
        <f>SUM(SupremeCourtJusticeJudicialDistrict10General[Suffolk County Vote Results])</f>
        <v>6051208</v>
      </c>
      <c r="D38" s="9">
        <f>SUM(SupremeCourtJusticeJudicialDistrict10General[Total Votes by Party])</f>
        <v>11938456</v>
      </c>
      <c r="E38" s="11"/>
    </row>
    <row r="39" spans="1:5" x14ac:dyDescent="0.25">
      <c r="B39" s="26"/>
    </row>
    <row r="40" spans="1:5" x14ac:dyDescent="0.25">
      <c r="B40" s="26"/>
    </row>
    <row r="41" spans="1:5" x14ac:dyDescent="0.25">
      <c r="B41" s="26"/>
    </row>
    <row r="42" spans="1:5" x14ac:dyDescent="0.25">
      <c r="B42" s="26"/>
    </row>
  </sheetData>
  <pageMargins left="0.7" right="0.7" top="0.75" bottom="0.75" header="0.3" footer="0.3"/>
  <pageSetup orientation="landscape" r:id="rId1"/>
  <ignoredErrors>
    <ignoredError sqref="E4 E6" formula="1"/>
  </ignoredError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5F02-30A4-453C-A03C-FED3C27DDFDC}">
  <dimension ref="A1:D33"/>
  <sheetViews>
    <sheetView zoomScaleNormal="100" zoomScaleSheetLayoutView="110" workbookViewId="0">
      <selection activeCell="B33" sqref="B33"/>
    </sheetView>
  </sheetViews>
  <sheetFormatPr defaultRowHeight="13.2" x14ac:dyDescent="0.25"/>
  <cols>
    <col min="1" max="1" width="26.3320312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151</v>
      </c>
    </row>
    <row r="2" spans="1:4" ht="24.9" customHeight="1" x14ac:dyDescent="0.25">
      <c r="A2" s="5" t="s">
        <v>6</v>
      </c>
      <c r="B2" s="6" t="s">
        <v>152</v>
      </c>
      <c r="C2" s="7" t="s">
        <v>3</v>
      </c>
      <c r="D2" s="8" t="s">
        <v>4</v>
      </c>
    </row>
    <row r="3" spans="1:4" ht="13.8" x14ac:dyDescent="0.3">
      <c r="A3" s="1" t="s">
        <v>153</v>
      </c>
      <c r="B3" s="23">
        <v>421359</v>
      </c>
      <c r="C3" s="9">
        <f>SupremeCourtJusticeJudicialDistrict11General[[#This Row],[Queens County Vote Results]]</f>
        <v>421359</v>
      </c>
      <c r="D3" s="10">
        <f>SUM(SupremeCourtJusticeJudicialDistrict11General[[#This Row],[Total Votes by Party]],C4,C5)</f>
        <v>582484</v>
      </c>
    </row>
    <row r="4" spans="1:4" ht="13.8" x14ac:dyDescent="0.3">
      <c r="A4" s="1" t="s">
        <v>154</v>
      </c>
      <c r="B4" s="23">
        <v>145779</v>
      </c>
      <c r="C4" s="9">
        <f>SupremeCourtJusticeJudicialDistrict11General[[#This Row],[Queens County Vote Results]]</f>
        <v>145779</v>
      </c>
      <c r="D4" s="11"/>
    </row>
    <row r="5" spans="1:4" ht="13.8" x14ac:dyDescent="0.3">
      <c r="A5" s="1" t="s">
        <v>155</v>
      </c>
      <c r="B5" s="23">
        <v>15346</v>
      </c>
      <c r="C5" s="9">
        <f>SupremeCourtJusticeJudicialDistrict11General[[#This Row],[Queens County Vote Results]]</f>
        <v>15346</v>
      </c>
      <c r="D5" s="11"/>
    </row>
    <row r="6" spans="1:4" ht="13.8" x14ac:dyDescent="0.3">
      <c r="A6" s="1" t="s">
        <v>156</v>
      </c>
      <c r="B6" s="23">
        <v>65031</v>
      </c>
      <c r="C6" s="9">
        <f>SupremeCourtJusticeJudicialDistrict11General[[#This Row],[Queens County Vote Results]]</f>
        <v>65031</v>
      </c>
      <c r="D6" s="10">
        <f>SupremeCourtJusticeJudicialDistrict11General[[#This Row],[Total Votes by Party]]</f>
        <v>65031</v>
      </c>
    </row>
    <row r="7" spans="1:4" ht="13.8" x14ac:dyDescent="0.3">
      <c r="A7" s="1" t="s">
        <v>157</v>
      </c>
      <c r="B7" s="23">
        <v>392623</v>
      </c>
      <c r="C7" s="9">
        <f>SupremeCourtJusticeJudicialDistrict11General[[#This Row],[Queens County Vote Results]]</f>
        <v>392623</v>
      </c>
      <c r="D7" s="10">
        <f>SupremeCourtJusticeJudicialDistrict11General[[#This Row],[Total Votes by Party]]</f>
        <v>392623</v>
      </c>
    </row>
    <row r="8" spans="1:4" ht="13.8" x14ac:dyDescent="0.3">
      <c r="A8" s="1" t="s">
        <v>158</v>
      </c>
      <c r="B8" s="23">
        <v>81521</v>
      </c>
      <c r="C8" s="9">
        <f>SupremeCourtJusticeJudicialDistrict11General[[#This Row],[Queens County Vote Results]]</f>
        <v>81521</v>
      </c>
      <c r="D8" s="10">
        <f>SupremeCourtJusticeJudicialDistrict11General[[#This Row],[Total Votes by Party]]</f>
        <v>81521</v>
      </c>
    </row>
    <row r="9" spans="1:4" ht="13.8" x14ac:dyDescent="0.3">
      <c r="A9" s="1" t="s">
        <v>159</v>
      </c>
      <c r="B9" s="23">
        <v>378314</v>
      </c>
      <c r="C9" s="9">
        <f>SupremeCourtJusticeJudicialDistrict11General[[#This Row],[Queens County Vote Results]]</f>
        <v>378314</v>
      </c>
      <c r="D9" s="10">
        <f>SupremeCourtJusticeJudicialDistrict11General[[#This Row],[Total Votes by Party]]</f>
        <v>378314</v>
      </c>
    </row>
    <row r="10" spans="1:4" ht="13.8" x14ac:dyDescent="0.3">
      <c r="A10" s="1" t="s">
        <v>160</v>
      </c>
      <c r="B10" s="23">
        <v>142699</v>
      </c>
      <c r="C10" s="9">
        <f>SupremeCourtJusticeJudicialDistrict11General[[#This Row],[Queens County Vote Results]]</f>
        <v>142699</v>
      </c>
      <c r="D10" s="10">
        <f>SUM(SupremeCourtJusticeJudicialDistrict11General[[#This Row],[Total Votes by Party]],C11)</f>
        <v>158806</v>
      </c>
    </row>
    <row r="11" spans="1:4" ht="13.8" x14ac:dyDescent="0.3">
      <c r="A11" s="1" t="s">
        <v>161</v>
      </c>
      <c r="B11" s="23">
        <v>16107</v>
      </c>
      <c r="C11" s="9">
        <f>SupremeCourtJusticeJudicialDistrict11General[[#This Row],[Queens County Vote Results]]</f>
        <v>16107</v>
      </c>
      <c r="D11" s="11"/>
    </row>
    <row r="12" spans="1:4" ht="13.8" x14ac:dyDescent="0.3">
      <c r="A12" s="1" t="s">
        <v>162</v>
      </c>
      <c r="B12" s="23">
        <v>65833</v>
      </c>
      <c r="C12" s="9">
        <f>SupremeCourtJusticeJudicialDistrict11General[[#This Row],[Queens County Vote Results]]</f>
        <v>65833</v>
      </c>
      <c r="D12" s="10">
        <f>SupremeCourtJusticeJudicialDistrict11General[[#This Row],[Total Votes by Party]]</f>
        <v>65833</v>
      </c>
    </row>
    <row r="13" spans="1:4" ht="13.8" x14ac:dyDescent="0.3">
      <c r="A13" s="1" t="s">
        <v>163</v>
      </c>
      <c r="B13" s="23">
        <v>403191</v>
      </c>
      <c r="C13" s="9">
        <f>SupremeCourtJusticeJudicialDistrict11General[[#This Row],[Queens County Vote Results]]</f>
        <v>403191</v>
      </c>
      <c r="D13" s="10">
        <f>SupremeCourtJusticeJudicialDistrict11General[[#This Row],[Total Votes by Party]]</f>
        <v>403191</v>
      </c>
    </row>
    <row r="14" spans="1:4" ht="13.8" x14ac:dyDescent="0.3">
      <c r="A14" s="1" t="s">
        <v>164</v>
      </c>
      <c r="B14" s="23">
        <v>135238</v>
      </c>
      <c r="C14" s="9">
        <f>SupremeCourtJusticeJudicialDistrict11General[[#This Row],[Queens County Vote Results]]</f>
        <v>135238</v>
      </c>
      <c r="D14" s="10">
        <f>SUM(SupremeCourtJusticeJudicialDistrict11General[[#This Row],[Total Votes by Party]],C15)</f>
        <v>151043</v>
      </c>
    </row>
    <row r="15" spans="1:4" ht="13.8" x14ac:dyDescent="0.3">
      <c r="A15" s="1" t="s">
        <v>165</v>
      </c>
      <c r="B15" s="23">
        <v>15805</v>
      </c>
      <c r="C15" s="9">
        <f>SupremeCourtJusticeJudicialDistrict11General[[#This Row],[Queens County Vote Results]]</f>
        <v>15805</v>
      </c>
      <c r="D15" s="11"/>
    </row>
    <row r="16" spans="1:4" ht="13.8" x14ac:dyDescent="0.3">
      <c r="A16" s="1" t="s">
        <v>166</v>
      </c>
      <c r="B16" s="23">
        <v>49866</v>
      </c>
      <c r="C16" s="9">
        <f>SupremeCourtJusticeJudicialDistrict11General[[#This Row],[Queens County Vote Results]]</f>
        <v>49866</v>
      </c>
      <c r="D16" s="10">
        <f>SupremeCourtJusticeJudicialDistrict11General[[#This Row],[Total Votes by Party]]</f>
        <v>49866</v>
      </c>
    </row>
    <row r="17" spans="1:4" ht="13.8" x14ac:dyDescent="0.3">
      <c r="A17" s="1" t="s">
        <v>167</v>
      </c>
      <c r="B17" s="23">
        <v>442269</v>
      </c>
      <c r="C17" s="9">
        <f>SupremeCourtJusticeJudicialDistrict11General[[#This Row],[Queens County Vote Results]]</f>
        <v>442269</v>
      </c>
      <c r="D17" s="10">
        <f>SupremeCourtJusticeJudicialDistrict11General[[#This Row],[Total Votes by Party]]</f>
        <v>442269</v>
      </c>
    </row>
    <row r="18" spans="1:4" ht="13.8" x14ac:dyDescent="0.3">
      <c r="A18" s="1" t="s">
        <v>168</v>
      </c>
      <c r="B18" s="23">
        <v>69115</v>
      </c>
      <c r="C18" s="9">
        <f>SupremeCourtJusticeJudicialDistrict11General[[#This Row],[Queens County Vote Results]]</f>
        <v>69115</v>
      </c>
      <c r="D18" s="10">
        <f>SupremeCourtJusticeJudicialDistrict11General[[#This Row],[Total Votes by Party]]</f>
        <v>69115</v>
      </c>
    </row>
    <row r="19" spans="1:4" ht="13.8" x14ac:dyDescent="0.3">
      <c r="A19" s="1" t="s">
        <v>169</v>
      </c>
      <c r="B19" s="23">
        <v>397859</v>
      </c>
      <c r="C19" s="9">
        <f>SupremeCourtJusticeJudicialDistrict11General[[#This Row],[Queens County Vote Results]]</f>
        <v>397859</v>
      </c>
      <c r="D19" s="10">
        <f>SupremeCourtJusticeJudicialDistrict11General[[#This Row],[Total Votes by Party]]</f>
        <v>397859</v>
      </c>
    </row>
    <row r="20" spans="1:4" ht="13.8" x14ac:dyDescent="0.3">
      <c r="A20" s="1" t="s">
        <v>170</v>
      </c>
      <c r="B20" s="23">
        <v>76460</v>
      </c>
      <c r="C20" s="9">
        <f>SupremeCourtJusticeJudicialDistrict11General[[#This Row],[Queens County Vote Results]]</f>
        <v>76460</v>
      </c>
      <c r="D20" s="10">
        <f>SupremeCourtJusticeJudicialDistrict11General[[#This Row],[Total Votes by Party]]</f>
        <v>76460</v>
      </c>
    </row>
    <row r="21" spans="1:4" ht="13.8" x14ac:dyDescent="0.3">
      <c r="A21" s="1" t="s">
        <v>171</v>
      </c>
      <c r="B21" s="23">
        <v>402477</v>
      </c>
      <c r="C21" s="9">
        <f>SupremeCourtJusticeJudicialDistrict11General[[#This Row],[Queens County Vote Results]]</f>
        <v>402477</v>
      </c>
      <c r="D21" s="10">
        <f>SUM(SupremeCourtJusticeJudicialDistrict11General[[#This Row],[Total Votes by Party]],C22,C23)</f>
        <v>550808</v>
      </c>
    </row>
    <row r="22" spans="1:4" ht="13.8" x14ac:dyDescent="0.3">
      <c r="A22" s="1" t="s">
        <v>172</v>
      </c>
      <c r="B22" s="23">
        <v>131882</v>
      </c>
      <c r="C22" s="9">
        <f>SupremeCourtJusticeJudicialDistrict11General[[#This Row],[Queens County Vote Results]]</f>
        <v>131882</v>
      </c>
      <c r="D22" s="11"/>
    </row>
    <row r="23" spans="1:4" ht="13.8" x14ac:dyDescent="0.3">
      <c r="A23" s="1" t="s">
        <v>173</v>
      </c>
      <c r="B23" s="23">
        <v>16449</v>
      </c>
      <c r="C23" s="9">
        <f>SupremeCourtJusticeJudicialDistrict11General[[#This Row],[Queens County Vote Results]]</f>
        <v>16449</v>
      </c>
      <c r="D23" s="11"/>
    </row>
    <row r="24" spans="1:4" ht="13.8" x14ac:dyDescent="0.3">
      <c r="A24" s="1" t="s">
        <v>174</v>
      </c>
      <c r="B24" s="23">
        <v>390221</v>
      </c>
      <c r="C24" s="9">
        <f>SupremeCourtJusticeJudicialDistrict11General[[#This Row],[Queens County Vote Results]]</f>
        <v>390221</v>
      </c>
      <c r="D24" s="10">
        <f>SUM(SupremeCourtJusticeJudicialDistrict11General[[#This Row],[Total Votes by Party]],C25,C26)</f>
        <v>533309</v>
      </c>
    </row>
    <row r="25" spans="1:4" ht="13.8" x14ac:dyDescent="0.3">
      <c r="A25" s="1" t="s">
        <v>175</v>
      </c>
      <c r="B25" s="23">
        <v>127089</v>
      </c>
      <c r="C25" s="9">
        <f>SupremeCourtJusticeJudicialDistrict11General[[#This Row],[Queens County Vote Results]]</f>
        <v>127089</v>
      </c>
      <c r="D25" s="11"/>
    </row>
    <row r="26" spans="1:4" ht="13.8" x14ac:dyDescent="0.3">
      <c r="A26" s="1" t="s">
        <v>176</v>
      </c>
      <c r="B26" s="23">
        <v>15999</v>
      </c>
      <c r="C26" s="9">
        <f>SupremeCourtJusticeJudicialDistrict11General[[#This Row],[Queens County Vote Results]]</f>
        <v>15999</v>
      </c>
      <c r="D26" s="11"/>
    </row>
    <row r="27" spans="1:4" ht="13.8" x14ac:dyDescent="0.3">
      <c r="A27" s="1" t="s">
        <v>177</v>
      </c>
      <c r="B27" s="23">
        <v>383980</v>
      </c>
      <c r="C27" s="9">
        <f>SupremeCourtJusticeJudicialDistrict11General[[#This Row],[Queens County Vote Results]]</f>
        <v>383980</v>
      </c>
      <c r="D27" s="10">
        <f>SUM(SupremeCourtJusticeJudicialDistrict11General[[#This Row],[Total Votes by Party]],C28,C29)</f>
        <v>523891</v>
      </c>
    </row>
    <row r="28" spans="1:4" ht="13.8" x14ac:dyDescent="0.3">
      <c r="A28" s="1" t="s">
        <v>178</v>
      </c>
      <c r="B28" s="23">
        <v>124174</v>
      </c>
      <c r="C28" s="9">
        <f>SupremeCourtJusticeJudicialDistrict11General[[#This Row],[Queens County Vote Results]]</f>
        <v>124174</v>
      </c>
      <c r="D28" s="11"/>
    </row>
    <row r="29" spans="1:4" ht="13.8" x14ac:dyDescent="0.3">
      <c r="A29" s="1" t="s">
        <v>179</v>
      </c>
      <c r="B29" s="23">
        <v>15737</v>
      </c>
      <c r="C29" s="9">
        <f>SupremeCourtJusticeJudicialDistrict11General[[#This Row],[Queens County Vote Results]]</f>
        <v>15737</v>
      </c>
      <c r="D29" s="11"/>
    </row>
    <row r="30" spans="1:4" ht="13.8" x14ac:dyDescent="0.3">
      <c r="A30" s="3" t="s">
        <v>0</v>
      </c>
      <c r="B30" s="24">
        <v>2179608</v>
      </c>
      <c r="C30" s="9">
        <f>SupremeCourtJusticeJudicialDistrict11General[[#This Row],[Queens County Vote Results]]</f>
        <v>2179608</v>
      </c>
      <c r="D30" s="11"/>
    </row>
    <row r="31" spans="1:4" ht="13.8" x14ac:dyDescent="0.3">
      <c r="A31" s="3" t="s">
        <v>1</v>
      </c>
      <c r="B31" s="25">
        <v>969</v>
      </c>
      <c r="C31" s="9">
        <f>SupremeCourtJusticeJudicialDistrict11General[[#This Row],[Queens County Vote Results]]</f>
        <v>969</v>
      </c>
      <c r="D31" s="11"/>
    </row>
    <row r="32" spans="1:4" ht="13.8" x14ac:dyDescent="0.3">
      <c r="A32" s="3" t="s">
        <v>12</v>
      </c>
      <c r="B32" s="25">
        <v>9169</v>
      </c>
      <c r="C32" s="9">
        <f>SupremeCourtJusticeJudicialDistrict11General[[#This Row],[Queens County Vote Results]]</f>
        <v>9169</v>
      </c>
      <c r="D32" s="11"/>
    </row>
    <row r="33" spans="1:4" ht="13.8" x14ac:dyDescent="0.3">
      <c r="A33" s="12" t="s">
        <v>2</v>
      </c>
      <c r="B33" s="2">
        <f>SUM(SupremeCourtJusticeJudicialDistrict11General[Queens County Vote Results])</f>
        <v>7112169</v>
      </c>
      <c r="C33" s="9">
        <f>SUM(SupremeCourtJusticeJudicialDistrict11General[Total Votes by Party])</f>
        <v>7112169</v>
      </c>
      <c r="D33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1st JD</vt:lpstr>
      <vt:lpstr>2nd JD</vt:lpstr>
      <vt:lpstr>5th JD</vt:lpstr>
      <vt:lpstr>6th JD</vt:lpstr>
      <vt:lpstr>7th JD</vt:lpstr>
      <vt:lpstr>8th JD</vt:lpstr>
      <vt:lpstr>9th JD</vt:lpstr>
      <vt:lpstr>10th JD</vt:lpstr>
      <vt:lpstr>11th JD</vt:lpstr>
      <vt:lpstr>12th JD</vt:lpstr>
      <vt:lpstr>13th JD</vt:lpstr>
      <vt:lpstr>'1st JD'!Print_Area</vt:lpstr>
      <vt:lpstr>'2nd JD'!Print_Area</vt:lpstr>
      <vt:lpstr>'5th JD'!Print_Area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Joyce Cornell</cp:lastModifiedBy>
  <cp:revision/>
  <dcterms:created xsi:type="dcterms:W3CDTF">2008-10-28T18:22:21Z</dcterms:created>
  <dcterms:modified xsi:type="dcterms:W3CDTF">2020-12-03T18:17:56Z</dcterms:modified>
  <cp:category/>
  <cp:contentStatus/>
</cp:coreProperties>
</file>