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Oscar\Unal\2025_1S\APM\Proyecto\"/>
    </mc:Choice>
  </mc:AlternateContent>
  <xr:revisionPtr revIDLastSave="0" documentId="13_ncr:1_{1BEDA413-3352-48EF-87BB-1DF3EEDA3B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tividades" sheetId="1" r:id="rId1"/>
    <sheet name="Partes" sheetId="2" r:id="rId2"/>
    <sheet name="Ingresos-Costos" sheetId="3" r:id="rId3"/>
    <sheet name="Mercado" sheetId="4" r:id="rId4"/>
    <sheet name="IC-propuesta" sheetId="5" r:id="rId5"/>
    <sheet name="Hoja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ucseYyA8o98st8FB+jj8TPuyraILzBFFDLRhMRIc38="/>
    </ext>
  </extLst>
</workbook>
</file>

<file path=xl/calcChain.xml><?xml version="1.0" encoding="utf-8"?>
<calcChain xmlns="http://schemas.openxmlformats.org/spreadsheetml/2006/main">
  <c r="H37" i="1" l="1"/>
  <c r="H36" i="1"/>
  <c r="H39" i="1" s="1"/>
  <c r="H35" i="1"/>
  <c r="C10" i="6"/>
  <c r="C9" i="6"/>
  <c r="C8" i="6"/>
  <c r="C7" i="6"/>
  <c r="C29" i="5"/>
  <c r="C28" i="5"/>
  <c r="C27" i="5"/>
  <c r="E15" i="5"/>
  <c r="D15" i="5"/>
  <c r="E14" i="5"/>
  <c r="D14" i="5"/>
  <c r="E13" i="5"/>
  <c r="B18" i="5" s="1"/>
  <c r="D13" i="5"/>
  <c r="E5" i="5"/>
  <c r="G5" i="5" s="1"/>
  <c r="H5" i="5" s="1"/>
  <c r="I5" i="5" s="1"/>
  <c r="D29" i="5" s="1"/>
  <c r="E29" i="5" s="1"/>
  <c r="B35" i="5" s="1"/>
  <c r="D5" i="5"/>
  <c r="C5" i="5"/>
  <c r="E4" i="5"/>
  <c r="D4" i="5"/>
  <c r="G4" i="5" s="1"/>
  <c r="H4" i="5" s="1"/>
  <c r="I4" i="5" s="1"/>
  <c r="D28" i="5" s="1"/>
  <c r="E28" i="5" s="1"/>
  <c r="B34" i="5" s="1"/>
  <c r="C4" i="5"/>
  <c r="E3" i="5"/>
  <c r="G3" i="5" s="1"/>
  <c r="H3" i="5" s="1"/>
  <c r="I3" i="5" s="1"/>
  <c r="D27" i="5" s="1"/>
  <c r="E27" i="5" s="1"/>
  <c r="B33" i="5" s="1"/>
  <c r="B36" i="5" s="1"/>
  <c r="D3" i="5"/>
  <c r="C3" i="5"/>
  <c r="C29" i="3"/>
  <c r="C28" i="3"/>
  <c r="C27" i="3"/>
  <c r="E50" i="1"/>
  <c r="D50" i="1"/>
  <c r="D51" i="1" s="1"/>
  <c r="K24" i="1"/>
  <c r="H9" i="1"/>
  <c r="H10" i="1" s="1"/>
  <c r="D14" i="3"/>
  <c r="E14" i="3" s="1"/>
  <c r="D15" i="3"/>
  <c r="E15" i="3" s="1"/>
  <c r="D13" i="3"/>
  <c r="E13" i="3" s="1"/>
  <c r="C4" i="3"/>
  <c r="E4" i="3" s="1"/>
  <c r="C5" i="3"/>
  <c r="E5" i="3" s="1"/>
  <c r="C3" i="3"/>
  <c r="D3" i="3" s="1"/>
  <c r="B24" i="5" l="1"/>
  <c r="B37" i="5"/>
  <c r="B38" i="5" s="1"/>
  <c r="B18" i="3"/>
  <c r="D5" i="3"/>
  <c r="G5" i="3" s="1"/>
  <c r="H5" i="3" s="1"/>
  <c r="I5" i="3" s="1"/>
  <c r="D29" i="3" s="1"/>
  <c r="E29" i="3" s="1"/>
  <c r="B35" i="3" s="1"/>
  <c r="D4" i="3"/>
  <c r="G4" i="3" s="1"/>
  <c r="H4" i="3" s="1"/>
  <c r="I4" i="3" s="1"/>
  <c r="D28" i="3" s="1"/>
  <c r="E28" i="3" s="1"/>
  <c r="B34" i="3" s="1"/>
  <c r="E3" i="3"/>
  <c r="G3" i="3" s="1"/>
  <c r="H3" i="3" s="1"/>
  <c r="I3" i="3" s="1"/>
  <c r="D27" i="3" s="1"/>
  <c r="E27" i="3" s="1"/>
  <c r="B33" i="3" s="1"/>
  <c r="B36" i="3" s="1"/>
  <c r="B39" i="5" l="1"/>
  <c r="B37" i="3"/>
  <c r="B38" i="3" s="1"/>
  <c r="B24" i="3"/>
  <c r="B39" i="3"/>
</calcChain>
</file>

<file path=xl/sharedStrings.xml><?xml version="1.0" encoding="utf-8"?>
<sst xmlns="http://schemas.openxmlformats.org/spreadsheetml/2006/main" count="378" uniqueCount="272">
  <si>
    <t>Actividad</t>
  </si>
  <si>
    <t>Predecesoras</t>
  </si>
  <si>
    <t>Tiempos (min)</t>
  </si>
  <si>
    <t>Trabajadores</t>
  </si>
  <si>
    <t>A</t>
  </si>
  <si>
    <t xml:space="preserve">Posicionar chasis </t>
  </si>
  <si>
    <t>B</t>
  </si>
  <si>
    <t>Montar tijera sobre el chasis</t>
  </si>
  <si>
    <t>Motos/seman</t>
  </si>
  <si>
    <t>C</t>
  </si>
  <si>
    <t>Montar protector guardabarros trasero</t>
  </si>
  <si>
    <t>D</t>
  </si>
  <si>
    <t>Montar los amortiguadores traseros (2)</t>
  </si>
  <si>
    <t>Motos/año</t>
  </si>
  <si>
    <t>E</t>
  </si>
  <si>
    <t>Montar baterías sobre el chasis.</t>
  </si>
  <si>
    <t>F</t>
  </si>
  <si>
    <t>Cablear baterías</t>
  </si>
  <si>
    <t>G</t>
  </si>
  <si>
    <t>Montar Breaker (Disyuntor) sobre el chasis</t>
  </si>
  <si>
    <t>H</t>
  </si>
  <si>
    <t>Montar controlador sobre el chasis</t>
  </si>
  <si>
    <t>I</t>
  </si>
  <si>
    <t>Montar el freno de banda sobre la rueda trasera</t>
  </si>
  <si>
    <t>J</t>
  </si>
  <si>
    <t>Montar rueda trasera al chasis</t>
  </si>
  <si>
    <t>B,I</t>
  </si>
  <si>
    <t>K</t>
  </si>
  <si>
    <t>Ajustar tornillos (tuercas de la rueda y los 4 tornillos para los dos amortiguadores)</t>
  </si>
  <si>
    <t>D,J</t>
  </si>
  <si>
    <t>L</t>
  </si>
  <si>
    <t>Montar el burro de la moto sobre el chasis</t>
  </si>
  <si>
    <t>M</t>
  </si>
  <si>
    <t>Montar la pata lateral</t>
  </si>
  <si>
    <t>N</t>
  </si>
  <si>
    <t>O</t>
  </si>
  <si>
    <t>P</t>
  </si>
  <si>
    <t>Colocar el protector principal en el chasis</t>
  </si>
  <si>
    <t>Q</t>
  </si>
  <si>
    <t>P,O</t>
  </si>
  <si>
    <t>R</t>
  </si>
  <si>
    <t>Ajustar las cunas</t>
  </si>
  <si>
    <t>S</t>
  </si>
  <si>
    <t>T</t>
  </si>
  <si>
    <t>Montar el sistema de aceleración y frenado</t>
  </si>
  <si>
    <t>U</t>
  </si>
  <si>
    <t>Montar el guardabarros delantero</t>
  </si>
  <si>
    <t>V</t>
  </si>
  <si>
    <t>Asegurar las baterías sobre el chasis</t>
  </si>
  <si>
    <t>W</t>
  </si>
  <si>
    <t>Colocar tornillos para la parte inferior del protector principal</t>
  </si>
  <si>
    <t>X</t>
  </si>
  <si>
    <t>Y</t>
  </si>
  <si>
    <t>Colocar la guaya de apertura del asiento</t>
  </si>
  <si>
    <t>Z</t>
  </si>
  <si>
    <t>Montar la guaya del freno trasero</t>
  </si>
  <si>
    <t>K,T</t>
  </si>
  <si>
    <t>AA</t>
  </si>
  <si>
    <t>Montar el tablero principal</t>
  </si>
  <si>
    <t>AB</t>
  </si>
  <si>
    <t>Acoplar la luz delantera superior al tablero principal</t>
  </si>
  <si>
    <t>AC</t>
  </si>
  <si>
    <t>Colocar el protector superior</t>
  </si>
  <si>
    <t>F,S</t>
  </si>
  <si>
    <t>AD</t>
  </si>
  <si>
    <t>Realizar las conecciones electricas del controlador</t>
  </si>
  <si>
    <t>H,T</t>
  </si>
  <si>
    <t>AE</t>
  </si>
  <si>
    <t>Realizar las conexiones eléctricas de mandos y luces</t>
  </si>
  <si>
    <t>AF</t>
  </si>
  <si>
    <t>Verificar el encendido de la moto, pito, direccionales, luces, luces de parque parqueo y funcionamiento de motor</t>
  </si>
  <si>
    <t>AE, AD,AB</t>
  </si>
  <si>
    <t>AG</t>
  </si>
  <si>
    <t>Montar el carenaje trasero</t>
  </si>
  <si>
    <t>G,V</t>
  </si>
  <si>
    <t>AH</t>
  </si>
  <si>
    <t>Conectar las luces traseras</t>
  </si>
  <si>
    <t>AI</t>
  </si>
  <si>
    <t>Anclar el carenaje trasero al chasis</t>
  </si>
  <si>
    <t>AJ</t>
  </si>
  <si>
    <t>Montar las pastas laterales inferiores</t>
  </si>
  <si>
    <t>AG, AC</t>
  </si>
  <si>
    <t>AK</t>
  </si>
  <si>
    <t>Montar el soporte del espaldar trasero</t>
  </si>
  <si>
    <t>AL</t>
  </si>
  <si>
    <t>Montar el plástico interno del baúl</t>
  </si>
  <si>
    <t>AM</t>
  </si>
  <si>
    <t>Montar la silla</t>
  </si>
  <si>
    <t>AN</t>
  </si>
  <si>
    <t>Validar el cierre de la silla</t>
  </si>
  <si>
    <t>AO</t>
  </si>
  <si>
    <t>Montar los posapiés</t>
  </si>
  <si>
    <t>AP</t>
  </si>
  <si>
    <t>Montar el carenaje delantero con luz principal</t>
  </si>
  <si>
    <t>AB,AJ</t>
  </si>
  <si>
    <t>AQ</t>
  </si>
  <si>
    <t>Montar los protectores de kit de arrastre</t>
  </si>
  <si>
    <t>AR</t>
  </si>
  <si>
    <t>Montar la placa</t>
  </si>
  <si>
    <t>AS</t>
  </si>
  <si>
    <t>Montar el plástico trasero sobre el espaldar</t>
  </si>
  <si>
    <t>AT</t>
  </si>
  <si>
    <t>Verificar el funcionamiento de todas las luces</t>
  </si>
  <si>
    <t>AH,AF,AP</t>
  </si>
  <si>
    <t>AU</t>
  </si>
  <si>
    <t>Verificar el funcionamiento del cargador</t>
  </si>
  <si>
    <t>V,H,T</t>
  </si>
  <si>
    <t>AV</t>
  </si>
  <si>
    <t>Verificar el funcionamiento del cargador USB</t>
  </si>
  <si>
    <t>total:</t>
  </si>
  <si>
    <t>Nota</t>
  </si>
  <si>
    <t>Lostiempos se sacaro de tiempos de procesos de motos convencionales ya que poseen elementos similares.</t>
  </si>
  <si>
    <t>Bibliografia:</t>
  </si>
  <si>
    <t>Hurtado Granados, J. L., Aguirre Toro, S. A., &amp; Vera Gonzales, H. (2022). Ensamblaje de un motor de 4 tiempos. Universidad Industrial de Santander. Recuperado de</t>
  </si>
  <si>
    <t>Universidad Tecnológica de Pereira. (2014). Registro de variables de proceso de una línea ensambladora. Recuperado de</t>
  </si>
  <si>
    <t>Universidad Nacional Autónoma de Nicaragua. (2015). Manual de mantenimiento preventivo para las motocicletas MASESA. Recuperado de</t>
  </si>
  <si>
    <t xml:space="preserve">Chasis </t>
  </si>
  <si>
    <t>Tijera trasera</t>
  </si>
  <si>
    <t>Guardabarros trasero</t>
  </si>
  <si>
    <t>Amortiguadores traseros</t>
  </si>
  <si>
    <t>Pieza</t>
  </si>
  <si>
    <t>Cantidad</t>
  </si>
  <si>
    <t>Baterías de litio.</t>
  </si>
  <si>
    <t>Breaker (Disyuntor)</t>
  </si>
  <si>
    <t>Controlador</t>
  </si>
  <si>
    <t>Freno de banda</t>
  </si>
  <si>
    <t>Caballete central</t>
  </si>
  <si>
    <t>Pata lateral</t>
  </si>
  <si>
    <t>Freno de disco</t>
  </si>
  <si>
    <t>Rueda delantera (R10-12)</t>
  </si>
  <si>
    <t>Rueda trasera con motor (R10-12)</t>
  </si>
  <si>
    <t>Protector principal del chasis</t>
  </si>
  <si>
    <t>Horquilla delantera</t>
  </si>
  <si>
    <t>Manubrio</t>
  </si>
  <si>
    <t>Guardabarros delantero</t>
  </si>
  <si>
    <t xml:space="preserve">Sistema eléctrico </t>
  </si>
  <si>
    <t>Tablero principal</t>
  </si>
  <si>
    <t>Espejos</t>
  </si>
  <si>
    <t>Direccionales</t>
  </si>
  <si>
    <t>Plásticos carenaje trasero</t>
  </si>
  <si>
    <t>Pastas laterales inferiores</t>
  </si>
  <si>
    <t>Soporte de baúl</t>
  </si>
  <si>
    <t>Plástico interno del baúl</t>
  </si>
  <si>
    <t>Silla</t>
  </si>
  <si>
    <t>Posapiés</t>
  </si>
  <si>
    <t>Carenaje delantero con luz principal</t>
  </si>
  <si>
    <t>Protectores de kit de arrastre</t>
  </si>
  <si>
    <t>Placa</t>
  </si>
  <si>
    <t>Cargador de baterías</t>
  </si>
  <si>
    <t xml:space="preserve">Mini Eagle </t>
  </si>
  <si>
    <t>DM5</t>
  </si>
  <si>
    <t>DM9</t>
  </si>
  <si>
    <t>Costo (USD)</t>
  </si>
  <si>
    <t>Costo Transporte</t>
  </si>
  <si>
    <t>Cantidad motos</t>
  </si>
  <si>
    <t>Costo Container</t>
  </si>
  <si>
    <t>Iva (CIF)</t>
  </si>
  <si>
    <t>Aranceles</t>
  </si>
  <si>
    <t>Costos transporte</t>
  </si>
  <si>
    <t>Total</t>
  </si>
  <si>
    <t>TRM</t>
  </si>
  <si>
    <t>Costo Unidad (USD)</t>
  </si>
  <si>
    <t>Costo (COP)</t>
  </si>
  <si>
    <t>Mano de obra</t>
  </si>
  <si>
    <t>servicios públicos</t>
  </si>
  <si>
    <t>cantidad</t>
  </si>
  <si>
    <t>Salario promedio</t>
  </si>
  <si>
    <t>Salario  COP</t>
  </si>
  <si>
    <t>Total/ mes</t>
  </si>
  <si>
    <t>SMLMV</t>
  </si>
  <si>
    <t>Incluye subsidios y aportes</t>
  </si>
  <si>
    <t>Depreciación por uso de la herramienta</t>
  </si>
  <si>
    <t>Producción mensual (20 días hábiles)</t>
  </si>
  <si>
    <t>Valor venta</t>
  </si>
  <si>
    <t>Mini Eagle 20AH Lite</t>
  </si>
  <si>
    <t>Utilidad bruta variable</t>
  </si>
  <si>
    <t xml:space="preserve">Utilidad bruta variable total </t>
  </si>
  <si>
    <t>Ingresos</t>
  </si>
  <si>
    <t>Total Ingresos mensuales</t>
  </si>
  <si>
    <t>Utilidad bruta mensual</t>
  </si>
  <si>
    <t>Total Costos mensuales</t>
  </si>
  <si>
    <t>Empleado de sección</t>
  </si>
  <si>
    <t>Ensamble</t>
  </si>
  <si>
    <t>Administrativos</t>
  </si>
  <si>
    <t>Servicios</t>
  </si>
  <si>
    <t>Costos imprevistos mensuales</t>
  </si>
  <si>
    <t>Costos fijos</t>
  </si>
  <si>
    <t>Gastos administrativos</t>
  </si>
  <si>
    <t>Gastos mantenimiento de equipos</t>
  </si>
  <si>
    <t>Arriendo bodega (1200 m2)</t>
  </si>
  <si>
    <t>Tipode produccion</t>
  </si>
  <si>
    <t>flujo continuo</t>
  </si>
  <si>
    <t>Horas laborales 
semanales</t>
  </si>
  <si>
    <t xml:space="preserve">40 hr </t>
  </si>
  <si>
    <t>cuello de botella:</t>
  </si>
  <si>
    <t>20 min</t>
  </si>
  <si>
    <t>Tiempo de Movlidad
 y tiempo muerto 
por seccion</t>
  </si>
  <si>
    <t>buscar piesas, mover piezas etc</t>
  </si>
  <si>
    <t>5% de fallos(motos) 
semana</t>
  </si>
  <si>
    <t>52 semanas 
laborales</t>
  </si>
  <si>
    <t>Unidades por hora</t>
  </si>
  <si>
    <t>Indicador</t>
  </si>
  <si>
    <t>Valor</t>
  </si>
  <si>
    <t>Montar el disco de freno a la rueda delantera</t>
  </si>
  <si>
    <t>Tiempo de ciclo (cuello de botella teorico)</t>
  </si>
  <si>
    <t>Tiempo de ciclo teórico</t>
  </si>
  <si>
    <t xml:space="preserve"> 20 min/moto</t>
  </si>
  <si>
    <t>Montar rueda delantera sobre la horquilla</t>
  </si>
  <si>
    <t>Tiempo semanal bruto</t>
  </si>
  <si>
    <t>2,400 min (40 h)</t>
  </si>
  <si>
    <t>Tiempo de ciclo real promedio(observado)</t>
  </si>
  <si>
    <t>27.5 min/moto</t>
  </si>
  <si>
    <t>Pausas programadas</t>
  </si>
  <si>
    <t>300 min</t>
  </si>
  <si>
    <t>Tiempo efectivo disponible</t>
  </si>
  <si>
    <t>1,890 min</t>
  </si>
  <si>
    <t>Acoplar la horquilla con el protector y el chasis</t>
  </si>
  <si>
    <t>Tiempo neto antes de pérdidas</t>
  </si>
  <si>
    <t>2,100 min</t>
  </si>
  <si>
    <t>Producción semanal (real)</t>
  </si>
  <si>
    <t>68.7 motos</t>
  </si>
  <si>
    <t>Tiempo muerto (10%)</t>
  </si>
  <si>
    <t>210 min</t>
  </si>
  <si>
    <t>Producción semanal (buenas)</t>
  </si>
  <si>
    <t>65.27 motos</t>
  </si>
  <si>
    <t>Montar el manubrio sobre la horquilla</t>
  </si>
  <si>
    <t>Producción anual (buenas)</t>
  </si>
  <si>
    <t>3,394 motos</t>
  </si>
  <si>
    <t>Producción semanal bruta</t>
  </si>
  <si>
    <t>94.5 motos</t>
  </si>
  <si>
    <t>Disponibilidad</t>
  </si>
  <si>
    <t>89.78 motos</t>
  </si>
  <si>
    <t>Rendimiento</t>
  </si>
  <si>
    <t>4,669 motos</t>
  </si>
  <si>
    <t>Calidad</t>
  </si>
  <si>
    <t>Tasa de calidad</t>
  </si>
  <si>
    <t>OEE real observado</t>
  </si>
  <si>
    <t>60.4%</t>
  </si>
  <si>
    <t>Montar y Ajustar la llave de encendido</t>
  </si>
  <si>
    <t>OEE final</t>
  </si>
  <si>
    <t>83.13%</t>
  </si>
  <si>
    <t>Actividades basadas en el video</t>
  </si>
  <si>
    <t>https://www.youtube.com/watch?v=TO7zHYbBZdk</t>
  </si>
  <si>
    <t>https://www.youtube.com/watch?v=6UPfBTDNbKE</t>
  </si>
  <si>
    <t>Balance</t>
  </si>
  <si>
    <t>Variable</t>
  </si>
  <si>
    <t>Operación</t>
  </si>
  <si>
    <t>Resultado</t>
  </si>
  <si>
    <t>Medida</t>
  </si>
  <si>
    <t>Jornada laboral</t>
  </si>
  <si>
    <t>horas</t>
  </si>
  <si>
    <t>Tiempo de descanso</t>
  </si>
  <si>
    <t>Número de turnos</t>
  </si>
  <si>
    <t>diario</t>
  </si>
  <si>
    <t>Dias por mes</t>
  </si>
  <si>
    <t>días</t>
  </si>
  <si>
    <t>Demanda mensual</t>
  </si>
  <si>
    <t>unidades</t>
  </si>
  <si>
    <t>Tiempo disponible</t>
  </si>
  <si>
    <t>minutos</t>
  </si>
  <si>
    <t>Demanda diaria</t>
  </si>
  <si>
    <t>Tempo tack</t>
  </si>
  <si>
    <t>minutos por día</t>
  </si>
  <si>
    <t>unidades por día</t>
  </si>
  <si>
    <t>minutos por unidad</t>
  </si>
  <si>
    <t>min/día</t>
  </si>
  <si>
    <t>Tiempo muerto</t>
  </si>
  <si>
    <t>Tiempo de operación</t>
  </si>
  <si>
    <t>Tiempo de ciclo estándar</t>
  </si>
  <si>
    <t>Unidades producidas</t>
  </si>
  <si>
    <t>Unidades defectuosas</t>
  </si>
  <si>
    <t>OEE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</si>
</sst>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12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rgb="FF467886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41">
    <xf numFmtId="0" fontId="0" fillId="0" borderId="0" xfId="0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10" fontId="6" fillId="0" borderId="1" xfId="0" applyNumberFormat="1" applyFont="1" applyBorder="1"/>
    <xf numFmtId="0" fontId="6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vertical="center" wrapText="1"/>
    </xf>
    <xf numFmtId="2" fontId="6" fillId="0" borderId="0" xfId="0" applyNumberFormat="1" applyFont="1"/>
    <xf numFmtId="0" fontId="2" fillId="0" borderId="0" xfId="0" applyFont="1"/>
    <xf numFmtId="44" fontId="0" fillId="0" borderId="0" xfId="1" applyFont="1"/>
    <xf numFmtId="0" fontId="0" fillId="0" borderId="0" xfId="1" applyNumberFormat="1" applyFont="1"/>
    <xf numFmtId="44" fontId="0" fillId="0" borderId="0" xfId="0" applyNumberFormat="1"/>
    <xf numFmtId="0" fontId="0" fillId="0" borderId="0" xfId="0" applyAlignment="1">
      <alignment horizontal="right"/>
    </xf>
    <xf numFmtId="0" fontId="9" fillId="0" borderId="0" xfId="0" applyFont="1"/>
    <xf numFmtId="44" fontId="9" fillId="0" borderId="0" xfId="0" applyNumberFormat="1" applyFont="1"/>
    <xf numFmtId="0" fontId="9" fillId="0" borderId="0" xfId="0" applyFont="1" applyAlignment="1">
      <alignment horizontal="center"/>
    </xf>
    <xf numFmtId="10" fontId="6" fillId="0" borderId="0" xfId="0" applyNumberFormat="1" applyFont="1"/>
    <xf numFmtId="9" fontId="2" fillId="0" borderId="0" xfId="0" applyNumberFormat="1" applyFont="1"/>
    <xf numFmtId="0" fontId="10" fillId="0" borderId="0" xfId="0" applyFont="1"/>
    <xf numFmtId="0" fontId="9" fillId="0" borderId="0" xfId="0" applyFont="1" applyAlignment="1">
      <alignment horizontal="right"/>
    </xf>
    <xf numFmtId="44" fontId="9" fillId="0" borderId="0" xfId="1" applyFont="1"/>
    <xf numFmtId="44" fontId="2" fillId="0" borderId="0" xfId="1" applyFont="1"/>
    <xf numFmtId="17" fontId="0" fillId="0" borderId="0" xfId="0" applyNumberFormat="1"/>
    <xf numFmtId="3" fontId="0" fillId="0" borderId="0" xfId="0" applyNumberFormat="1"/>
    <xf numFmtId="0" fontId="1" fillId="0" borderId="0" xfId="0" applyFont="1"/>
    <xf numFmtId="0" fontId="9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9" fontId="0" fillId="0" borderId="0" xfId="2" applyFont="1" applyBorder="1"/>
    <xf numFmtId="0" fontId="0" fillId="0" borderId="7" xfId="0" applyBorder="1"/>
    <xf numFmtId="9" fontId="0" fillId="0" borderId="8" xfId="0" applyNumberFormat="1" applyBorder="1"/>
    <xf numFmtId="0" fontId="0" fillId="0" borderId="9" xfId="0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Registro de motocicletas nuevas en Colombia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Mercado!$B$2:$B$15</c:f>
              <c:numCache>
                <c:formatCode>mmm\-yy</c:formatCode>
                <c:ptCount val="14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</c:numCache>
            </c:numRef>
          </c:cat>
          <c:val>
            <c:numRef>
              <c:f>Mercado!$C$2:$C$15</c:f>
              <c:numCache>
                <c:formatCode>#,##0</c:formatCode>
                <c:ptCount val="14"/>
                <c:pt idx="0">
                  <c:v>68748</c:v>
                </c:pt>
                <c:pt idx="1">
                  <c:v>66167</c:v>
                </c:pt>
                <c:pt idx="2">
                  <c:v>57302</c:v>
                </c:pt>
                <c:pt idx="3">
                  <c:v>71712</c:v>
                </c:pt>
                <c:pt idx="4">
                  <c:v>73759</c:v>
                </c:pt>
                <c:pt idx="5">
                  <c:v>68502</c:v>
                </c:pt>
                <c:pt idx="6">
                  <c:v>74266</c:v>
                </c:pt>
                <c:pt idx="7">
                  <c:v>71124</c:v>
                </c:pt>
                <c:pt idx="8">
                  <c:v>85840</c:v>
                </c:pt>
                <c:pt idx="9">
                  <c:v>73451</c:v>
                </c:pt>
                <c:pt idx="10">
                  <c:v>80585</c:v>
                </c:pt>
                <c:pt idx="11">
                  <c:v>84226</c:v>
                </c:pt>
                <c:pt idx="12">
                  <c:v>80766</c:v>
                </c:pt>
                <c:pt idx="13">
                  <c:v>89909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F-447C-8AD6-05CE43BC4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148032"/>
        <c:axId val="1478158592"/>
      </c:barChart>
      <c:dateAx>
        <c:axId val="14781480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8158592"/>
        <c:crosses val="autoZero"/>
        <c:auto val="1"/>
        <c:lblOffset val="100"/>
        <c:baseTimeUnit val="months"/>
      </c:dateAx>
      <c:valAx>
        <c:axId val="14781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814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119062</xdr:rowOff>
    </xdr:from>
    <xdr:to>
      <xdr:col>11</xdr:col>
      <xdr:colOff>266699</xdr:colOff>
      <xdr:row>18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60CA81-9092-CC65-E67C-34A75066F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6UPfBTDNbKE" TargetMode="External"/><Relationship Id="rId1" Type="http://schemas.openxmlformats.org/officeDocument/2006/relationships/hyperlink" Target="https://www.youtube.com/watch?v=TO7zHYbBZd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B22" workbookViewId="0">
      <selection activeCell="H31" sqref="H31"/>
    </sheetView>
  </sheetViews>
  <sheetFormatPr baseColWidth="10" defaultColWidth="12.5703125" defaultRowHeight="15" customHeight="1" x14ac:dyDescent="0.25"/>
  <cols>
    <col min="1" max="1" width="10.5703125" customWidth="1"/>
    <col min="2" max="2" width="52.7109375" customWidth="1"/>
    <col min="3" max="3" width="13" customWidth="1"/>
    <col min="4" max="4" width="13.42578125" customWidth="1"/>
    <col min="5" max="5" width="12" customWidth="1"/>
    <col min="6" max="6" width="10.5703125" customWidth="1"/>
    <col min="7" max="7" width="26.28515625" customWidth="1"/>
    <col min="8" max="8" width="21.7109375" customWidth="1"/>
    <col min="9" max="9" width="25.42578125" customWidth="1"/>
    <col min="10" max="10" width="12.5703125" customWidth="1"/>
    <col min="11" max="26" width="10.5703125" customWidth="1"/>
  </cols>
  <sheetData>
    <row r="1" spans="1:10" x14ac:dyDescent="0.25">
      <c r="A1" s="1"/>
      <c r="B1" s="2" t="s">
        <v>0</v>
      </c>
      <c r="C1" s="3" t="s">
        <v>1</v>
      </c>
      <c r="D1" s="4" t="s">
        <v>2</v>
      </c>
      <c r="E1" s="5" t="s">
        <v>3</v>
      </c>
    </row>
    <row r="2" spans="1:10" x14ac:dyDescent="0.25">
      <c r="A2" s="6" t="s">
        <v>4</v>
      </c>
      <c r="B2" s="7" t="s">
        <v>5</v>
      </c>
      <c r="C2" s="1"/>
      <c r="D2" s="5">
        <v>5</v>
      </c>
      <c r="E2" s="5">
        <v>1</v>
      </c>
      <c r="G2" s="9" t="s">
        <v>190</v>
      </c>
      <c r="H2" s="9" t="s">
        <v>191</v>
      </c>
    </row>
    <row r="3" spans="1:10" x14ac:dyDescent="0.25">
      <c r="A3" s="6" t="s">
        <v>6</v>
      </c>
      <c r="B3" s="7" t="s">
        <v>7</v>
      </c>
      <c r="C3" s="6" t="s">
        <v>4</v>
      </c>
      <c r="D3" s="5">
        <v>12</v>
      </c>
      <c r="E3" s="5">
        <v>1</v>
      </c>
      <c r="G3" s="9" t="s">
        <v>192</v>
      </c>
      <c r="H3" s="9" t="s">
        <v>193</v>
      </c>
    </row>
    <row r="4" spans="1:10" x14ac:dyDescent="0.25">
      <c r="A4" s="6" t="s">
        <v>9</v>
      </c>
      <c r="B4" s="7" t="s">
        <v>10</v>
      </c>
      <c r="C4" s="6" t="s">
        <v>6</v>
      </c>
      <c r="D4" s="5">
        <v>8</v>
      </c>
      <c r="E4" s="5">
        <v>1</v>
      </c>
      <c r="G4" s="9" t="s">
        <v>194</v>
      </c>
      <c r="H4" s="9" t="s">
        <v>195</v>
      </c>
    </row>
    <row r="5" spans="1:10" x14ac:dyDescent="0.25">
      <c r="A5" s="6" t="s">
        <v>11</v>
      </c>
      <c r="B5" s="7" t="s">
        <v>12</v>
      </c>
      <c r="C5" s="6" t="s">
        <v>9</v>
      </c>
      <c r="D5" s="5">
        <v>10</v>
      </c>
      <c r="E5" s="5">
        <v>1</v>
      </c>
    </row>
    <row r="6" spans="1:10" x14ac:dyDescent="0.25">
      <c r="A6" s="6" t="s">
        <v>14</v>
      </c>
      <c r="B6" s="7" t="s">
        <v>15</v>
      </c>
      <c r="C6" s="6" t="s">
        <v>4</v>
      </c>
      <c r="D6" s="5">
        <v>8</v>
      </c>
      <c r="E6" s="5">
        <v>1</v>
      </c>
    </row>
    <row r="7" spans="1:10" x14ac:dyDescent="0.25">
      <c r="A7" s="6" t="s">
        <v>16</v>
      </c>
      <c r="B7" s="7" t="s">
        <v>17</v>
      </c>
      <c r="C7" s="6" t="s">
        <v>14</v>
      </c>
      <c r="D7" s="5">
        <v>15</v>
      </c>
      <c r="E7" s="5">
        <v>1</v>
      </c>
      <c r="G7" s="5" t="s">
        <v>196</v>
      </c>
      <c r="H7" s="8">
        <v>0.1</v>
      </c>
      <c r="I7" s="9" t="s">
        <v>197</v>
      </c>
    </row>
    <row r="8" spans="1:10" x14ac:dyDescent="0.25">
      <c r="A8" s="6" t="s">
        <v>18</v>
      </c>
      <c r="B8" s="7" t="s">
        <v>19</v>
      </c>
      <c r="C8" s="6" t="s">
        <v>4</v>
      </c>
      <c r="D8" s="5">
        <v>8</v>
      </c>
      <c r="E8" s="5">
        <v>1</v>
      </c>
      <c r="G8" s="5" t="s">
        <v>8</v>
      </c>
      <c r="H8" s="5">
        <v>120</v>
      </c>
    </row>
    <row r="9" spans="1:10" x14ac:dyDescent="0.25">
      <c r="A9" s="6" t="s">
        <v>20</v>
      </c>
      <c r="B9" s="7" t="s">
        <v>21</v>
      </c>
      <c r="C9" s="6" t="s">
        <v>4</v>
      </c>
      <c r="D9" s="5">
        <v>8</v>
      </c>
      <c r="E9" s="5">
        <v>1</v>
      </c>
      <c r="G9" s="5" t="s">
        <v>198</v>
      </c>
      <c r="H9" s="5">
        <f>H8*0.05</f>
        <v>6</v>
      </c>
    </row>
    <row r="10" spans="1:10" x14ac:dyDescent="0.25">
      <c r="A10" s="6" t="s">
        <v>22</v>
      </c>
      <c r="B10" s="7" t="s">
        <v>23</v>
      </c>
      <c r="C10" s="6"/>
      <c r="D10" s="5">
        <v>5</v>
      </c>
      <c r="E10" s="5">
        <v>1</v>
      </c>
      <c r="G10" s="5" t="s">
        <v>13</v>
      </c>
      <c r="H10" s="5">
        <f>(H8-H9)*52</f>
        <v>5928</v>
      </c>
      <c r="I10" s="9" t="s">
        <v>199</v>
      </c>
    </row>
    <row r="11" spans="1:10" x14ac:dyDescent="0.25">
      <c r="A11" s="6" t="s">
        <v>24</v>
      </c>
      <c r="B11" s="7" t="s">
        <v>25</v>
      </c>
      <c r="C11" s="6" t="s">
        <v>26</v>
      </c>
      <c r="D11" s="5">
        <v>8</v>
      </c>
      <c r="E11" s="5">
        <v>1</v>
      </c>
      <c r="G11" s="9" t="s">
        <v>200</v>
      </c>
      <c r="H11" s="9">
        <v>3</v>
      </c>
    </row>
    <row r="12" spans="1:10" ht="30" x14ac:dyDescent="0.25">
      <c r="A12" s="6" t="s">
        <v>27</v>
      </c>
      <c r="B12" s="7" t="s">
        <v>28</v>
      </c>
      <c r="C12" s="6" t="s">
        <v>29</v>
      </c>
      <c r="D12" s="5">
        <v>5</v>
      </c>
      <c r="E12" s="5">
        <v>1</v>
      </c>
    </row>
    <row r="13" spans="1:10" x14ac:dyDescent="0.25">
      <c r="A13" s="6" t="s">
        <v>30</v>
      </c>
      <c r="B13" s="7" t="s">
        <v>31</v>
      </c>
      <c r="C13" s="6" t="s">
        <v>4</v>
      </c>
      <c r="D13" s="5">
        <v>10</v>
      </c>
      <c r="E13" s="5">
        <v>2</v>
      </c>
    </row>
    <row r="14" spans="1:10" x14ac:dyDescent="0.25">
      <c r="A14" s="6" t="s">
        <v>32</v>
      </c>
      <c r="B14" s="7" t="s">
        <v>33</v>
      </c>
      <c r="C14" s="6" t="s">
        <v>4</v>
      </c>
      <c r="D14" s="5">
        <v>5</v>
      </c>
      <c r="E14" s="5">
        <v>1</v>
      </c>
      <c r="G14" s="20" t="s">
        <v>201</v>
      </c>
      <c r="H14" s="20" t="s">
        <v>202</v>
      </c>
      <c r="I14" s="20" t="s">
        <v>201</v>
      </c>
      <c r="J14" s="20" t="s">
        <v>202</v>
      </c>
    </row>
    <row r="15" spans="1:10" x14ac:dyDescent="0.25">
      <c r="A15" s="6" t="s">
        <v>34</v>
      </c>
      <c r="B15" s="7" t="s">
        <v>203</v>
      </c>
      <c r="C15" s="6"/>
      <c r="D15" s="5">
        <v>8</v>
      </c>
      <c r="E15" s="5">
        <v>1</v>
      </c>
      <c r="G15" s="9" t="s">
        <v>204</v>
      </c>
      <c r="H15" s="13" t="s">
        <v>195</v>
      </c>
      <c r="I15" s="9" t="s">
        <v>205</v>
      </c>
      <c r="J15" s="9" t="s">
        <v>206</v>
      </c>
    </row>
    <row r="16" spans="1:10" x14ac:dyDescent="0.25">
      <c r="A16" s="6" t="s">
        <v>35</v>
      </c>
      <c r="B16" s="7" t="s">
        <v>207</v>
      </c>
      <c r="C16" s="6" t="s">
        <v>34</v>
      </c>
      <c r="D16" s="5">
        <v>10</v>
      </c>
      <c r="E16" s="5">
        <v>1</v>
      </c>
      <c r="G16" s="13" t="s">
        <v>208</v>
      </c>
      <c r="H16" s="13" t="s">
        <v>209</v>
      </c>
      <c r="I16" s="9" t="s">
        <v>210</v>
      </c>
      <c r="J16" s="13" t="s">
        <v>211</v>
      </c>
    </row>
    <row r="17" spans="1:11" x14ac:dyDescent="0.25">
      <c r="A17" s="6" t="s">
        <v>36</v>
      </c>
      <c r="B17" s="7" t="s">
        <v>37</v>
      </c>
      <c r="C17" s="6" t="s">
        <v>30</v>
      </c>
      <c r="D17" s="5">
        <v>3</v>
      </c>
      <c r="E17" s="5">
        <v>2</v>
      </c>
      <c r="G17" s="13" t="s">
        <v>212</v>
      </c>
      <c r="H17" s="13" t="s">
        <v>213</v>
      </c>
      <c r="I17" s="13" t="s">
        <v>214</v>
      </c>
      <c r="J17" s="13" t="s">
        <v>215</v>
      </c>
    </row>
    <row r="18" spans="1:11" x14ac:dyDescent="0.25">
      <c r="A18" s="6" t="s">
        <v>38</v>
      </c>
      <c r="B18" s="7" t="s">
        <v>216</v>
      </c>
      <c r="C18" s="6" t="s">
        <v>39</v>
      </c>
      <c r="D18" s="5">
        <v>3</v>
      </c>
      <c r="E18" s="5">
        <v>2</v>
      </c>
      <c r="G18" s="13" t="s">
        <v>217</v>
      </c>
      <c r="H18" s="13" t="s">
        <v>218</v>
      </c>
      <c r="I18" s="13" t="s">
        <v>219</v>
      </c>
      <c r="J18" s="13" t="s">
        <v>220</v>
      </c>
    </row>
    <row r="19" spans="1:11" x14ac:dyDescent="0.25">
      <c r="A19" s="6" t="s">
        <v>40</v>
      </c>
      <c r="B19" s="7" t="s">
        <v>41</v>
      </c>
      <c r="C19" s="6" t="s">
        <v>38</v>
      </c>
      <c r="D19" s="5">
        <v>8</v>
      </c>
      <c r="E19" s="5">
        <v>1</v>
      </c>
      <c r="G19" s="13" t="s">
        <v>221</v>
      </c>
      <c r="H19" s="13" t="s">
        <v>222</v>
      </c>
      <c r="I19" s="13" t="s">
        <v>223</v>
      </c>
      <c r="J19" s="13" t="s">
        <v>224</v>
      </c>
    </row>
    <row r="20" spans="1:11" x14ac:dyDescent="0.25">
      <c r="A20" s="6" t="s">
        <v>42</v>
      </c>
      <c r="B20" s="7" t="s">
        <v>225</v>
      </c>
      <c r="C20" s="6" t="s">
        <v>40</v>
      </c>
      <c r="D20" s="5">
        <v>5</v>
      </c>
      <c r="E20" s="5">
        <v>1</v>
      </c>
      <c r="G20" s="13" t="s">
        <v>214</v>
      </c>
      <c r="H20" s="13" t="s">
        <v>215</v>
      </c>
      <c r="I20" s="13" t="s">
        <v>226</v>
      </c>
      <c r="J20" s="13" t="s">
        <v>227</v>
      </c>
    </row>
    <row r="21" spans="1:11" ht="15.75" customHeight="1" x14ac:dyDescent="0.25">
      <c r="A21" s="6" t="s">
        <v>43</v>
      </c>
      <c r="B21" s="7" t="s">
        <v>44</v>
      </c>
      <c r="C21" s="6" t="s">
        <v>42</v>
      </c>
      <c r="D21" s="5">
        <v>20</v>
      </c>
      <c r="E21" s="5">
        <v>1</v>
      </c>
      <c r="G21" s="13" t="s">
        <v>228</v>
      </c>
      <c r="H21" s="13" t="s">
        <v>229</v>
      </c>
      <c r="I21" s="13" t="s">
        <v>230</v>
      </c>
      <c r="J21" s="21">
        <v>0.875</v>
      </c>
    </row>
    <row r="22" spans="1:11" ht="15.75" customHeight="1" x14ac:dyDescent="0.25">
      <c r="A22" s="6" t="s">
        <v>45</v>
      </c>
      <c r="B22" s="7" t="s">
        <v>46</v>
      </c>
      <c r="C22" s="6" t="s">
        <v>38</v>
      </c>
      <c r="D22" s="5">
        <v>5</v>
      </c>
      <c r="E22" s="5">
        <v>1</v>
      </c>
      <c r="G22" s="13" t="s">
        <v>223</v>
      </c>
      <c r="H22" s="13" t="s">
        <v>231</v>
      </c>
      <c r="I22" s="13" t="s">
        <v>232</v>
      </c>
      <c r="J22" s="21">
        <v>0.72699999999999998</v>
      </c>
    </row>
    <row r="23" spans="1:11" ht="15.75" customHeight="1" x14ac:dyDescent="0.25">
      <c r="A23" s="6" t="s">
        <v>47</v>
      </c>
      <c r="B23" s="7" t="s">
        <v>48</v>
      </c>
      <c r="C23" s="6" t="s">
        <v>16</v>
      </c>
      <c r="D23" s="5">
        <v>8</v>
      </c>
      <c r="E23" s="5">
        <v>1</v>
      </c>
      <c r="G23" s="13" t="s">
        <v>226</v>
      </c>
      <c r="H23" s="13" t="s">
        <v>233</v>
      </c>
      <c r="I23" s="13" t="s">
        <v>234</v>
      </c>
      <c r="J23" s="22">
        <v>0.95</v>
      </c>
    </row>
    <row r="24" spans="1:11" ht="32.25" customHeight="1" x14ac:dyDescent="0.25">
      <c r="A24" s="6" t="s">
        <v>49</v>
      </c>
      <c r="B24" s="7" t="s">
        <v>50</v>
      </c>
      <c r="C24" s="6" t="s">
        <v>38</v>
      </c>
      <c r="D24" s="5">
        <v>5</v>
      </c>
      <c r="E24" s="5">
        <v>1</v>
      </c>
      <c r="G24" s="13" t="s">
        <v>235</v>
      </c>
      <c r="H24" s="22">
        <v>0.95</v>
      </c>
      <c r="I24" s="13" t="s">
        <v>236</v>
      </c>
      <c r="J24" s="13" t="s">
        <v>237</v>
      </c>
      <c r="K24" s="22">
        <f>J21*J22*J23</f>
        <v>0.6043187499999999</v>
      </c>
    </row>
    <row r="25" spans="1:11" ht="15.75" customHeight="1" x14ac:dyDescent="0.25">
      <c r="A25" s="6" t="s">
        <v>51</v>
      </c>
      <c r="B25" s="7" t="s">
        <v>238</v>
      </c>
      <c r="C25" s="6" t="s">
        <v>38</v>
      </c>
      <c r="D25" s="5">
        <v>8</v>
      </c>
      <c r="E25" s="5">
        <v>1</v>
      </c>
      <c r="G25" s="13" t="s">
        <v>239</v>
      </c>
      <c r="H25" s="13" t="s">
        <v>240</v>
      </c>
    </row>
    <row r="26" spans="1:11" ht="15.75" customHeight="1" x14ac:dyDescent="0.25">
      <c r="A26" s="6" t="s">
        <v>52</v>
      </c>
      <c r="B26" s="7" t="s">
        <v>53</v>
      </c>
      <c r="C26" s="6" t="s">
        <v>38</v>
      </c>
      <c r="D26" s="5">
        <v>5</v>
      </c>
      <c r="E26" s="5">
        <v>1</v>
      </c>
    </row>
    <row r="27" spans="1:11" ht="15.75" customHeight="1" thickBot="1" x14ac:dyDescent="0.3">
      <c r="A27" s="6" t="s">
        <v>54</v>
      </c>
      <c r="B27" s="7" t="s">
        <v>55</v>
      </c>
      <c r="C27" s="6" t="s">
        <v>56</v>
      </c>
      <c r="D27" s="5">
        <v>8</v>
      </c>
      <c r="E27" s="5">
        <v>1</v>
      </c>
    </row>
    <row r="28" spans="1:11" ht="15.75" customHeight="1" x14ac:dyDescent="0.25">
      <c r="A28" s="6" t="s">
        <v>57</v>
      </c>
      <c r="B28" s="7" t="s">
        <v>58</v>
      </c>
      <c r="C28" s="6" t="s">
        <v>43</v>
      </c>
      <c r="D28" s="5">
        <v>8</v>
      </c>
      <c r="E28" s="5">
        <v>1</v>
      </c>
      <c r="G28" s="31" t="s">
        <v>258</v>
      </c>
      <c r="H28" s="32">
        <v>480</v>
      </c>
      <c r="I28" s="33" t="s">
        <v>265</v>
      </c>
    </row>
    <row r="29" spans="1:11" ht="15.75" customHeight="1" x14ac:dyDescent="0.25">
      <c r="A29" s="6" t="s">
        <v>59</v>
      </c>
      <c r="B29" s="7" t="s">
        <v>60</v>
      </c>
      <c r="C29" s="6" t="s">
        <v>57</v>
      </c>
      <c r="D29" s="5">
        <v>5</v>
      </c>
      <c r="E29" s="5">
        <v>1</v>
      </c>
      <c r="G29" s="34" t="s">
        <v>266</v>
      </c>
      <c r="H29" s="35">
        <v>80</v>
      </c>
      <c r="I29" s="36" t="s">
        <v>265</v>
      </c>
    </row>
    <row r="30" spans="1:11" ht="15.75" customHeight="1" x14ac:dyDescent="0.25">
      <c r="A30" s="6" t="s">
        <v>61</v>
      </c>
      <c r="B30" s="7" t="s">
        <v>62</v>
      </c>
      <c r="C30" s="6" t="s">
        <v>63</v>
      </c>
      <c r="D30" s="5">
        <v>12</v>
      </c>
      <c r="E30" s="5">
        <v>1</v>
      </c>
      <c r="G30" s="34" t="s">
        <v>267</v>
      </c>
      <c r="H30" s="35">
        <v>400</v>
      </c>
      <c r="I30" s="36" t="s">
        <v>265</v>
      </c>
    </row>
    <row r="31" spans="1:11" ht="15.75" customHeight="1" x14ac:dyDescent="0.25">
      <c r="A31" s="6" t="s">
        <v>64</v>
      </c>
      <c r="B31" s="7" t="s">
        <v>65</v>
      </c>
      <c r="C31" s="6" t="s">
        <v>66</v>
      </c>
      <c r="D31" s="5">
        <v>12</v>
      </c>
      <c r="E31" s="5">
        <v>1</v>
      </c>
      <c r="G31" s="34" t="s">
        <v>268</v>
      </c>
      <c r="H31" s="35">
        <v>35</v>
      </c>
      <c r="I31" s="36" t="s">
        <v>259</v>
      </c>
    </row>
    <row r="32" spans="1:11" ht="15.75" customHeight="1" x14ac:dyDescent="0.25">
      <c r="A32" s="6" t="s">
        <v>67</v>
      </c>
      <c r="B32" s="7" t="s">
        <v>68</v>
      </c>
      <c r="C32" s="6" t="s">
        <v>57</v>
      </c>
      <c r="D32" s="5">
        <v>12</v>
      </c>
      <c r="E32" s="5">
        <v>1</v>
      </c>
      <c r="G32" s="34" t="s">
        <v>269</v>
      </c>
      <c r="H32" s="35">
        <v>10</v>
      </c>
      <c r="I32" s="36"/>
    </row>
    <row r="33" spans="1:9" ht="15.75" customHeight="1" x14ac:dyDescent="0.25">
      <c r="A33" s="6" t="s">
        <v>69</v>
      </c>
      <c r="B33" s="7" t="s">
        <v>70</v>
      </c>
      <c r="C33" s="6" t="s">
        <v>71</v>
      </c>
      <c r="D33" s="5">
        <v>15</v>
      </c>
      <c r="E33" s="5">
        <v>1</v>
      </c>
      <c r="G33" s="34" t="s">
        <v>270</v>
      </c>
      <c r="H33" s="35">
        <v>1</v>
      </c>
      <c r="I33" s="36"/>
    </row>
    <row r="34" spans="1:9" ht="15.75" customHeight="1" x14ac:dyDescent="0.25">
      <c r="A34" s="6" t="s">
        <v>72</v>
      </c>
      <c r="B34" s="7" t="s">
        <v>73</v>
      </c>
      <c r="C34" s="6" t="s">
        <v>74</v>
      </c>
      <c r="D34" s="5">
        <v>5</v>
      </c>
      <c r="E34" s="5">
        <v>1</v>
      </c>
      <c r="G34" s="34"/>
      <c r="H34" s="35"/>
      <c r="I34" s="36"/>
    </row>
    <row r="35" spans="1:9" ht="15.75" customHeight="1" x14ac:dyDescent="0.25">
      <c r="A35" s="6" t="s">
        <v>75</v>
      </c>
      <c r="B35" s="7" t="s">
        <v>76</v>
      </c>
      <c r="C35" s="6" t="s">
        <v>72</v>
      </c>
      <c r="D35" s="5">
        <v>3</v>
      </c>
      <c r="E35" s="5">
        <v>1</v>
      </c>
      <c r="G35" s="34" t="s">
        <v>230</v>
      </c>
      <c r="H35" s="37">
        <f>H30/H28</f>
        <v>0.83333333333333337</v>
      </c>
      <c r="I35" s="36"/>
    </row>
    <row r="36" spans="1:9" ht="15.75" customHeight="1" x14ac:dyDescent="0.25">
      <c r="A36" s="6" t="s">
        <v>77</v>
      </c>
      <c r="B36" s="7" t="s">
        <v>78</v>
      </c>
      <c r="C36" s="6" t="s">
        <v>75</v>
      </c>
      <c r="D36" s="5">
        <v>5</v>
      </c>
      <c r="E36" s="5">
        <v>1</v>
      </c>
      <c r="G36" s="34" t="s">
        <v>232</v>
      </c>
      <c r="H36" s="37">
        <f>H31*H32/H30</f>
        <v>0.875</v>
      </c>
      <c r="I36" s="36"/>
    </row>
    <row r="37" spans="1:9" ht="15.75" customHeight="1" x14ac:dyDescent="0.25">
      <c r="A37" s="6" t="s">
        <v>79</v>
      </c>
      <c r="B37" s="7" t="s">
        <v>80</v>
      </c>
      <c r="C37" s="6" t="s">
        <v>81</v>
      </c>
      <c r="D37" s="5">
        <v>3</v>
      </c>
      <c r="E37" s="5">
        <v>1</v>
      </c>
      <c r="G37" s="34" t="s">
        <v>234</v>
      </c>
      <c r="H37" s="37">
        <f>(H32-H33)/H32</f>
        <v>0.9</v>
      </c>
      <c r="I37" s="36"/>
    </row>
    <row r="38" spans="1:9" ht="15.75" customHeight="1" x14ac:dyDescent="0.25">
      <c r="A38" s="6" t="s">
        <v>82</v>
      </c>
      <c r="B38" s="7" t="s">
        <v>83</v>
      </c>
      <c r="C38" s="6" t="s">
        <v>77</v>
      </c>
      <c r="D38" s="5">
        <v>5</v>
      </c>
      <c r="E38" s="5">
        <v>1</v>
      </c>
      <c r="G38" s="34"/>
      <c r="H38" s="35"/>
      <c r="I38" s="36"/>
    </row>
    <row r="39" spans="1:9" ht="15.75" customHeight="1" thickBot="1" x14ac:dyDescent="0.3">
      <c r="A39" s="6" t="s">
        <v>84</v>
      </c>
      <c r="B39" s="7" t="s">
        <v>85</v>
      </c>
      <c r="C39" s="6" t="s">
        <v>77</v>
      </c>
      <c r="D39" s="5">
        <v>5</v>
      </c>
      <c r="E39" s="5">
        <v>1</v>
      </c>
      <c r="G39" s="38" t="s">
        <v>271</v>
      </c>
      <c r="H39" s="39">
        <f>H35*H36*H37</f>
        <v>0.65625000000000011</v>
      </c>
      <c r="I39" s="40"/>
    </row>
    <row r="40" spans="1:9" ht="15.75" customHeight="1" x14ac:dyDescent="0.25">
      <c r="A40" s="6" t="s">
        <v>86</v>
      </c>
      <c r="B40" s="7" t="s">
        <v>87</v>
      </c>
      <c r="C40" s="6" t="s">
        <v>84</v>
      </c>
      <c r="D40" s="5">
        <v>3</v>
      </c>
      <c r="E40" s="5">
        <v>1</v>
      </c>
    </row>
    <row r="41" spans="1:9" ht="15.75" customHeight="1" x14ac:dyDescent="0.25">
      <c r="A41" s="6" t="s">
        <v>88</v>
      </c>
      <c r="B41" s="7" t="s">
        <v>89</v>
      </c>
      <c r="C41" s="6" t="s">
        <v>86</v>
      </c>
      <c r="D41" s="5">
        <v>2</v>
      </c>
      <c r="E41" s="5">
        <v>1</v>
      </c>
    </row>
    <row r="42" spans="1:9" ht="15.75" customHeight="1" x14ac:dyDescent="0.25">
      <c r="A42" s="6" t="s">
        <v>90</v>
      </c>
      <c r="B42" s="7" t="s">
        <v>91</v>
      </c>
      <c r="C42" s="6" t="s">
        <v>77</v>
      </c>
      <c r="D42" s="5">
        <v>3</v>
      </c>
      <c r="E42" s="5">
        <v>1</v>
      </c>
    </row>
    <row r="43" spans="1:9" ht="15.75" customHeight="1" x14ac:dyDescent="0.25">
      <c r="A43" s="6" t="s">
        <v>92</v>
      </c>
      <c r="B43" s="7" t="s">
        <v>93</v>
      </c>
      <c r="C43" s="6" t="s">
        <v>94</v>
      </c>
      <c r="D43" s="5">
        <v>5</v>
      </c>
      <c r="E43" s="5">
        <v>1</v>
      </c>
    </row>
    <row r="44" spans="1:9" ht="15.75" customHeight="1" x14ac:dyDescent="0.25">
      <c r="A44" s="6" t="s">
        <v>95</v>
      </c>
      <c r="B44" s="7" t="s">
        <v>96</v>
      </c>
      <c r="C44" s="6" t="s">
        <v>32</v>
      </c>
      <c r="D44" s="5">
        <v>5</v>
      </c>
      <c r="E44" s="5">
        <v>1</v>
      </c>
    </row>
    <row r="45" spans="1:9" ht="15.75" customHeight="1" x14ac:dyDescent="0.25">
      <c r="A45" s="6" t="s">
        <v>97</v>
      </c>
      <c r="B45" s="7" t="s">
        <v>98</v>
      </c>
      <c r="C45" s="6" t="s">
        <v>77</v>
      </c>
      <c r="D45" s="5">
        <v>3</v>
      </c>
      <c r="E45" s="5">
        <v>1</v>
      </c>
    </row>
    <row r="46" spans="1:9" ht="15.75" customHeight="1" x14ac:dyDescent="0.25">
      <c r="A46" s="6" t="s">
        <v>99</v>
      </c>
      <c r="B46" s="7" t="s">
        <v>100</v>
      </c>
      <c r="C46" s="6" t="s">
        <v>82</v>
      </c>
      <c r="D46" s="5">
        <v>2</v>
      </c>
      <c r="E46" s="5">
        <v>1</v>
      </c>
    </row>
    <row r="47" spans="1:9" ht="15.75" customHeight="1" x14ac:dyDescent="0.25">
      <c r="A47" s="6" t="s">
        <v>101</v>
      </c>
      <c r="B47" s="7" t="s">
        <v>102</v>
      </c>
      <c r="C47" s="6" t="s">
        <v>103</v>
      </c>
      <c r="D47" s="5">
        <v>8</v>
      </c>
      <c r="E47" s="5">
        <v>1</v>
      </c>
    </row>
    <row r="48" spans="1:9" ht="15.75" customHeight="1" x14ac:dyDescent="0.25">
      <c r="A48" s="6" t="s">
        <v>104</v>
      </c>
      <c r="B48" s="7" t="s">
        <v>105</v>
      </c>
      <c r="C48" s="6" t="s">
        <v>106</v>
      </c>
      <c r="D48" s="5">
        <v>3</v>
      </c>
      <c r="E48" s="5">
        <v>1</v>
      </c>
    </row>
    <row r="49" spans="1:5" ht="15.75" customHeight="1" x14ac:dyDescent="0.25">
      <c r="A49" s="6" t="s">
        <v>107</v>
      </c>
      <c r="B49" s="7" t="s">
        <v>108</v>
      </c>
      <c r="C49" s="6" t="s">
        <v>104</v>
      </c>
      <c r="D49" s="5">
        <v>3</v>
      </c>
      <c r="E49" s="5">
        <v>1</v>
      </c>
    </row>
    <row r="50" spans="1:5" ht="15.75" customHeight="1" x14ac:dyDescent="0.25">
      <c r="A50" s="10"/>
      <c r="B50" s="11"/>
      <c r="C50" s="9" t="s">
        <v>109</v>
      </c>
      <c r="D50" s="13">
        <f t="shared" ref="D50:E50" si="0">SUM(D2:D49)</f>
        <v>330</v>
      </c>
      <c r="E50" s="13">
        <f t="shared" si="0"/>
        <v>51</v>
      </c>
    </row>
    <row r="51" spans="1:5" ht="15.75" customHeight="1" x14ac:dyDescent="0.25">
      <c r="D51" s="12">
        <f>D50/60</f>
        <v>5.5</v>
      </c>
    </row>
    <row r="52" spans="1:5" ht="15.75" customHeight="1" x14ac:dyDescent="0.25">
      <c r="A52" s="9" t="s">
        <v>110</v>
      </c>
      <c r="B52" s="9" t="s">
        <v>111</v>
      </c>
    </row>
    <row r="53" spans="1:5" ht="15.75" customHeight="1" x14ac:dyDescent="0.25"/>
    <row r="54" spans="1:5" ht="15.75" customHeight="1" x14ac:dyDescent="0.25">
      <c r="A54" s="9" t="s">
        <v>112</v>
      </c>
      <c r="B54" s="13" t="s">
        <v>113</v>
      </c>
    </row>
    <row r="55" spans="1:5" ht="15.75" customHeight="1" x14ac:dyDescent="0.25"/>
    <row r="56" spans="1:5" ht="15.75" customHeight="1" x14ac:dyDescent="0.25">
      <c r="B56" s="9" t="s">
        <v>114</v>
      </c>
    </row>
    <row r="57" spans="1:5" ht="15.75" customHeight="1" x14ac:dyDescent="0.25"/>
    <row r="58" spans="1:5" ht="15.75" customHeight="1" x14ac:dyDescent="0.25">
      <c r="B58" s="13" t="s">
        <v>115</v>
      </c>
    </row>
    <row r="59" spans="1:5" ht="15.75" customHeight="1" x14ac:dyDescent="0.25"/>
    <row r="60" spans="1:5" ht="15.75" customHeight="1" x14ac:dyDescent="0.25">
      <c r="B60" s="13" t="s">
        <v>113</v>
      </c>
    </row>
    <row r="61" spans="1:5" ht="15.75" customHeight="1" x14ac:dyDescent="0.25"/>
    <row r="62" spans="1:5" ht="15.75" customHeight="1" x14ac:dyDescent="0.25">
      <c r="A62" s="9" t="s">
        <v>241</v>
      </c>
    </row>
    <row r="63" spans="1:5" ht="15.75" customHeight="1" x14ac:dyDescent="0.25">
      <c r="B63" s="23" t="s">
        <v>242</v>
      </c>
    </row>
    <row r="64" spans="1:5" ht="15.75" customHeight="1" x14ac:dyDescent="0.25">
      <c r="B64" s="23" t="s">
        <v>243</v>
      </c>
    </row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B63" r:id="rId1" xr:uid="{6998A5BD-0383-458F-BF5D-288EC8AB053A}"/>
    <hyperlink ref="B64" r:id="rId2" xr:uid="{7BDA365B-E995-466C-ADC3-2B87C3CC27B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6323-4A7D-4592-BD9F-459D7854311A}">
  <dimension ref="A1:B32"/>
  <sheetViews>
    <sheetView workbookViewId="0">
      <selection activeCell="A28" sqref="A28"/>
    </sheetView>
  </sheetViews>
  <sheetFormatPr baseColWidth="10" defaultRowHeight="15" x14ac:dyDescent="0.25"/>
  <cols>
    <col min="1" max="1" width="49.7109375" customWidth="1"/>
  </cols>
  <sheetData>
    <row r="1" spans="1:2" x14ac:dyDescent="0.25">
      <c r="A1" s="13" t="s">
        <v>120</v>
      </c>
      <c r="B1" s="13" t="s">
        <v>121</v>
      </c>
    </row>
    <row r="2" spans="1:2" x14ac:dyDescent="0.25">
      <c r="A2" s="13" t="s">
        <v>116</v>
      </c>
      <c r="B2">
        <v>1</v>
      </c>
    </row>
    <row r="3" spans="1:2" x14ac:dyDescent="0.25">
      <c r="A3" s="13" t="s">
        <v>117</v>
      </c>
      <c r="B3">
        <v>1</v>
      </c>
    </row>
    <row r="4" spans="1:2" x14ac:dyDescent="0.25">
      <c r="A4" s="13" t="s">
        <v>118</v>
      </c>
      <c r="B4">
        <v>1</v>
      </c>
    </row>
    <row r="5" spans="1:2" x14ac:dyDescent="0.25">
      <c r="A5" s="13" t="s">
        <v>119</v>
      </c>
      <c r="B5">
        <v>2</v>
      </c>
    </row>
    <row r="6" spans="1:2" x14ac:dyDescent="0.25">
      <c r="A6" s="13" t="s">
        <v>122</v>
      </c>
      <c r="B6">
        <v>6</v>
      </c>
    </row>
    <row r="7" spans="1:2" x14ac:dyDescent="0.25">
      <c r="A7" s="13" t="s">
        <v>123</v>
      </c>
      <c r="B7">
        <v>1</v>
      </c>
    </row>
    <row r="8" spans="1:2" x14ac:dyDescent="0.25">
      <c r="A8" s="13" t="s">
        <v>124</v>
      </c>
      <c r="B8">
        <v>1</v>
      </c>
    </row>
    <row r="9" spans="1:2" x14ac:dyDescent="0.25">
      <c r="A9" s="13" t="s">
        <v>125</v>
      </c>
      <c r="B9">
        <v>1</v>
      </c>
    </row>
    <row r="10" spans="1:2" x14ac:dyDescent="0.25">
      <c r="A10" s="13" t="s">
        <v>130</v>
      </c>
      <c r="B10">
        <v>1</v>
      </c>
    </row>
    <row r="11" spans="1:2" x14ac:dyDescent="0.25">
      <c r="A11" s="13" t="s">
        <v>126</v>
      </c>
      <c r="B11">
        <v>1</v>
      </c>
    </row>
    <row r="12" spans="1:2" x14ac:dyDescent="0.25">
      <c r="A12" s="13" t="s">
        <v>127</v>
      </c>
      <c r="B12">
        <v>1</v>
      </c>
    </row>
    <row r="13" spans="1:2" x14ac:dyDescent="0.25">
      <c r="A13" s="13" t="s">
        <v>128</v>
      </c>
      <c r="B13">
        <v>1</v>
      </c>
    </row>
    <row r="14" spans="1:2" x14ac:dyDescent="0.25">
      <c r="A14" s="13" t="s">
        <v>129</v>
      </c>
      <c r="B14">
        <v>1</v>
      </c>
    </row>
    <row r="15" spans="1:2" x14ac:dyDescent="0.25">
      <c r="A15" s="13" t="s">
        <v>131</v>
      </c>
      <c r="B15">
        <v>1</v>
      </c>
    </row>
    <row r="16" spans="1:2" x14ac:dyDescent="0.25">
      <c r="A16" s="13" t="s">
        <v>132</v>
      </c>
      <c r="B16">
        <v>1</v>
      </c>
    </row>
    <row r="17" spans="1:2" x14ac:dyDescent="0.25">
      <c r="A17" s="13" t="s">
        <v>133</v>
      </c>
      <c r="B17">
        <v>1</v>
      </c>
    </row>
    <row r="18" spans="1:2" x14ac:dyDescent="0.25">
      <c r="A18" s="13" t="s">
        <v>135</v>
      </c>
      <c r="B18">
        <v>1</v>
      </c>
    </row>
    <row r="19" spans="1:2" x14ac:dyDescent="0.25">
      <c r="A19" s="13" t="s">
        <v>134</v>
      </c>
      <c r="B19">
        <v>1</v>
      </c>
    </row>
    <row r="20" spans="1:2" x14ac:dyDescent="0.25">
      <c r="A20" s="13" t="s">
        <v>136</v>
      </c>
      <c r="B20">
        <v>1</v>
      </c>
    </row>
    <row r="21" spans="1:2" x14ac:dyDescent="0.25">
      <c r="A21" s="13" t="s">
        <v>137</v>
      </c>
      <c r="B21">
        <v>2</v>
      </c>
    </row>
    <row r="22" spans="1:2" x14ac:dyDescent="0.25">
      <c r="A22" s="13" t="s">
        <v>138</v>
      </c>
      <c r="B22">
        <v>4</v>
      </c>
    </row>
    <row r="23" spans="1:2" x14ac:dyDescent="0.25">
      <c r="A23" s="13" t="s">
        <v>139</v>
      </c>
      <c r="B23">
        <v>1</v>
      </c>
    </row>
    <row r="24" spans="1:2" x14ac:dyDescent="0.25">
      <c r="A24" s="13" t="s">
        <v>140</v>
      </c>
      <c r="B24">
        <v>2</v>
      </c>
    </row>
    <row r="25" spans="1:2" x14ac:dyDescent="0.25">
      <c r="A25" s="13" t="s">
        <v>141</v>
      </c>
      <c r="B25">
        <v>1</v>
      </c>
    </row>
    <row r="26" spans="1:2" x14ac:dyDescent="0.25">
      <c r="A26" s="13" t="s">
        <v>142</v>
      </c>
      <c r="B26">
        <v>1</v>
      </c>
    </row>
    <row r="27" spans="1:2" x14ac:dyDescent="0.25">
      <c r="A27" s="13" t="s">
        <v>143</v>
      </c>
      <c r="B27">
        <v>1</v>
      </c>
    </row>
    <row r="28" spans="1:2" x14ac:dyDescent="0.25">
      <c r="A28" s="13" t="s">
        <v>144</v>
      </c>
      <c r="B28">
        <v>2</v>
      </c>
    </row>
    <row r="29" spans="1:2" x14ac:dyDescent="0.25">
      <c r="A29" s="13" t="s">
        <v>145</v>
      </c>
      <c r="B29">
        <v>1</v>
      </c>
    </row>
    <row r="30" spans="1:2" x14ac:dyDescent="0.25">
      <c r="A30" s="13" t="s">
        <v>146</v>
      </c>
      <c r="B30">
        <v>2</v>
      </c>
    </row>
    <row r="31" spans="1:2" x14ac:dyDescent="0.25">
      <c r="A31" s="13" t="s">
        <v>147</v>
      </c>
      <c r="B31">
        <v>1</v>
      </c>
    </row>
    <row r="32" spans="1:2" x14ac:dyDescent="0.25">
      <c r="A32" s="13" t="s">
        <v>148</v>
      </c>
      <c r="B3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F6CC-ECA4-4464-B207-4DB7294DFEF2}">
  <dimension ref="A2:I39"/>
  <sheetViews>
    <sheetView workbookViewId="0">
      <selection activeCell="K14" sqref="K14"/>
    </sheetView>
  </sheetViews>
  <sheetFormatPr baseColWidth="10" defaultRowHeight="15" x14ac:dyDescent="0.25"/>
  <cols>
    <col min="1" max="1" width="26.5703125" customWidth="1"/>
    <col min="2" max="2" width="16.7109375" bestFit="1" customWidth="1"/>
    <col min="3" max="3" width="16.28515625" customWidth="1"/>
    <col min="4" max="5" width="16.7109375" bestFit="1" customWidth="1"/>
    <col min="6" max="6" width="17.5703125" customWidth="1"/>
    <col min="7" max="7" width="12" bestFit="1" customWidth="1"/>
    <col min="8" max="8" width="18.28515625" customWidth="1"/>
    <col min="9" max="9" width="14.5703125" bestFit="1" customWidth="1"/>
  </cols>
  <sheetData>
    <row r="2" spans="1:9" x14ac:dyDescent="0.25">
      <c r="B2" t="s">
        <v>152</v>
      </c>
      <c r="C2" t="s">
        <v>155</v>
      </c>
      <c r="D2" t="s">
        <v>156</v>
      </c>
      <c r="E2" t="s">
        <v>157</v>
      </c>
      <c r="F2" t="s">
        <v>158</v>
      </c>
      <c r="G2" t="s">
        <v>159</v>
      </c>
      <c r="H2" t="s">
        <v>161</v>
      </c>
      <c r="I2" t="s">
        <v>162</v>
      </c>
    </row>
    <row r="3" spans="1:9" x14ac:dyDescent="0.25">
      <c r="A3" s="17" t="s">
        <v>149</v>
      </c>
      <c r="B3" s="14">
        <v>260</v>
      </c>
      <c r="C3" s="14">
        <f>B3*$B$8+$B$7</f>
        <v>9200</v>
      </c>
      <c r="D3" s="14">
        <f>C3*0.19</f>
        <v>1748</v>
      </c>
      <c r="E3" s="14">
        <f>C3*0.1</f>
        <v>920</v>
      </c>
      <c r="F3" s="14">
        <v>500</v>
      </c>
      <c r="G3" s="14">
        <f>C3+D3+E3+F3</f>
        <v>12368</v>
      </c>
      <c r="H3" s="14">
        <f>G3/20</f>
        <v>618.4</v>
      </c>
      <c r="I3" s="14">
        <f>H3*$B$9</f>
        <v>2782800</v>
      </c>
    </row>
    <row r="4" spans="1:9" x14ac:dyDescent="0.25">
      <c r="A4" s="17" t="s">
        <v>150</v>
      </c>
      <c r="B4" s="14">
        <v>300</v>
      </c>
      <c r="C4" s="14">
        <f t="shared" ref="C4:C5" si="0">B4*$B$8+$B$7</f>
        <v>10000</v>
      </c>
      <c r="D4" s="14">
        <f t="shared" ref="D4:D5" si="1">C4*0.19</f>
        <v>1900</v>
      </c>
      <c r="E4" s="14">
        <f t="shared" ref="E4:E5" si="2">C4*0.1</f>
        <v>1000</v>
      </c>
      <c r="F4" s="14">
        <v>500</v>
      </c>
      <c r="G4" s="14">
        <f t="shared" ref="G4:G5" si="3">C4+D4+E4+F4</f>
        <v>13400</v>
      </c>
      <c r="H4" s="14">
        <f t="shared" ref="H4:H5" si="4">G4/20</f>
        <v>670</v>
      </c>
      <c r="I4" s="14">
        <f t="shared" ref="I4:I5" si="5">H4*$B$9</f>
        <v>3015000</v>
      </c>
    </row>
    <row r="5" spans="1:9" x14ac:dyDescent="0.25">
      <c r="A5" s="17" t="s">
        <v>151</v>
      </c>
      <c r="B5" s="14">
        <v>350</v>
      </c>
      <c r="C5" s="14">
        <f t="shared" si="0"/>
        <v>11000</v>
      </c>
      <c r="D5" s="14">
        <f t="shared" si="1"/>
        <v>2090</v>
      </c>
      <c r="E5" s="14">
        <f t="shared" si="2"/>
        <v>1100</v>
      </c>
      <c r="F5" s="14">
        <v>500</v>
      </c>
      <c r="G5" s="14">
        <f t="shared" si="3"/>
        <v>14690</v>
      </c>
      <c r="H5" s="14">
        <f t="shared" si="4"/>
        <v>734.5</v>
      </c>
      <c r="I5" s="14">
        <f t="shared" si="5"/>
        <v>3305250</v>
      </c>
    </row>
    <row r="7" spans="1:9" x14ac:dyDescent="0.25">
      <c r="A7" t="s">
        <v>153</v>
      </c>
      <c r="B7" s="14">
        <v>4000</v>
      </c>
    </row>
    <row r="8" spans="1:9" x14ac:dyDescent="0.25">
      <c r="A8" s="29" t="s">
        <v>154</v>
      </c>
      <c r="B8">
        <v>20</v>
      </c>
    </row>
    <row r="9" spans="1:9" x14ac:dyDescent="0.25">
      <c r="A9" t="s">
        <v>160</v>
      </c>
      <c r="B9" s="14">
        <v>4500</v>
      </c>
    </row>
    <row r="10" spans="1:9" x14ac:dyDescent="0.25">
      <c r="B10" s="14"/>
    </row>
    <row r="11" spans="1:9" x14ac:dyDescent="0.25">
      <c r="A11" t="s">
        <v>169</v>
      </c>
      <c r="B11" s="14">
        <v>2150000</v>
      </c>
      <c r="C11" t="s">
        <v>170</v>
      </c>
    </row>
    <row r="12" spans="1:9" x14ac:dyDescent="0.25">
      <c r="A12" s="13" t="s">
        <v>181</v>
      </c>
      <c r="B12" s="14" t="s">
        <v>165</v>
      </c>
      <c r="C12" t="s">
        <v>166</v>
      </c>
      <c r="D12" t="s">
        <v>167</v>
      </c>
      <c r="E12" t="s">
        <v>168</v>
      </c>
    </row>
    <row r="13" spans="1:9" x14ac:dyDescent="0.25">
      <c r="A13" s="13" t="s">
        <v>182</v>
      </c>
      <c r="B13" s="15">
        <v>10</v>
      </c>
      <c r="C13">
        <v>2</v>
      </c>
      <c r="D13" s="16">
        <f>$B$11*C13</f>
        <v>4300000</v>
      </c>
      <c r="E13" s="16">
        <f>D13*B13</f>
        <v>43000000</v>
      </c>
    </row>
    <row r="14" spans="1:9" x14ac:dyDescent="0.25">
      <c r="A14" s="13" t="s">
        <v>183</v>
      </c>
      <c r="B14" s="15">
        <v>4</v>
      </c>
      <c r="C14">
        <v>3</v>
      </c>
      <c r="D14" s="16">
        <f t="shared" ref="D14:D15" si="6">$B$11*C14</f>
        <v>6450000</v>
      </c>
      <c r="E14" s="16">
        <f t="shared" ref="E14:E15" si="7">D14*B14</f>
        <v>25800000</v>
      </c>
    </row>
    <row r="15" spans="1:9" x14ac:dyDescent="0.25">
      <c r="A15" s="13" t="s">
        <v>184</v>
      </c>
      <c r="B15" s="15">
        <v>2</v>
      </c>
      <c r="C15">
        <v>1</v>
      </c>
      <c r="D15" s="16">
        <f t="shared" si="6"/>
        <v>2150000</v>
      </c>
      <c r="E15" s="16">
        <f t="shared" si="7"/>
        <v>4300000</v>
      </c>
    </row>
    <row r="17" spans="1:5" x14ac:dyDescent="0.25">
      <c r="A17" s="13" t="s">
        <v>186</v>
      </c>
    </row>
    <row r="18" spans="1:5" x14ac:dyDescent="0.25">
      <c r="A18" s="13" t="s">
        <v>163</v>
      </c>
      <c r="B18" s="16">
        <f>SUM(E13:E15)</f>
        <v>73100000</v>
      </c>
    </row>
    <row r="19" spans="1:5" x14ac:dyDescent="0.25">
      <c r="A19" t="s">
        <v>171</v>
      </c>
      <c r="B19" s="14">
        <v>5000000</v>
      </c>
    </row>
    <row r="20" spans="1:5" x14ac:dyDescent="0.25">
      <c r="A20" s="13" t="s">
        <v>189</v>
      </c>
      <c r="B20" s="14">
        <v>20000000</v>
      </c>
    </row>
    <row r="21" spans="1:5" x14ac:dyDescent="0.25">
      <c r="A21" s="13" t="s">
        <v>188</v>
      </c>
      <c r="B21" s="14">
        <v>10000000</v>
      </c>
    </row>
    <row r="22" spans="1:5" x14ac:dyDescent="0.25">
      <c r="A22" s="13" t="s">
        <v>187</v>
      </c>
      <c r="B22" s="14">
        <v>5000000</v>
      </c>
    </row>
    <row r="23" spans="1:5" x14ac:dyDescent="0.25">
      <c r="A23" t="s">
        <v>164</v>
      </c>
      <c r="B23" s="14">
        <v>3000000</v>
      </c>
    </row>
    <row r="24" spans="1:5" x14ac:dyDescent="0.25">
      <c r="A24" s="24" t="s">
        <v>159</v>
      </c>
      <c r="B24" s="25">
        <f>SUM(B18:B23)</f>
        <v>116100000</v>
      </c>
    </row>
    <row r="26" spans="1:5" x14ac:dyDescent="0.25">
      <c r="A26" t="s">
        <v>172</v>
      </c>
      <c r="B26" s="13" t="s">
        <v>165</v>
      </c>
      <c r="C26" t="s">
        <v>173</v>
      </c>
      <c r="D26" t="s">
        <v>175</v>
      </c>
      <c r="E26" t="s">
        <v>176</v>
      </c>
    </row>
    <row r="27" spans="1:5" x14ac:dyDescent="0.25">
      <c r="A27" t="s">
        <v>174</v>
      </c>
      <c r="B27" s="15">
        <v>100</v>
      </c>
      <c r="C27" s="26">
        <f>4900000*0.65</f>
        <v>3185000</v>
      </c>
      <c r="D27" s="16">
        <f>C27-I3</f>
        <v>402200</v>
      </c>
      <c r="E27" s="16">
        <f>D27*B27</f>
        <v>40220000</v>
      </c>
    </row>
    <row r="28" spans="1:5" x14ac:dyDescent="0.25">
      <c r="A28" t="s">
        <v>150</v>
      </c>
      <c r="B28" s="15">
        <v>70</v>
      </c>
      <c r="C28" s="14">
        <f>7900000*0.65</f>
        <v>5135000</v>
      </c>
      <c r="D28" s="16">
        <f>C28-I4</f>
        <v>2120000</v>
      </c>
      <c r="E28" s="16">
        <f t="shared" ref="E28:E29" si="8">D28*B28</f>
        <v>148400000</v>
      </c>
    </row>
    <row r="29" spans="1:5" x14ac:dyDescent="0.25">
      <c r="A29" t="s">
        <v>151</v>
      </c>
      <c r="B29" s="15">
        <v>30</v>
      </c>
      <c r="C29" s="14">
        <f>10800000*0.65</f>
        <v>7020000</v>
      </c>
      <c r="D29" s="16">
        <f>C29-I5</f>
        <v>3714750</v>
      </c>
      <c r="E29" s="16">
        <f t="shared" si="8"/>
        <v>111442500</v>
      </c>
    </row>
    <row r="30" spans="1:5" x14ac:dyDescent="0.25">
      <c r="B30" s="15"/>
      <c r="C30" s="14"/>
      <c r="D30" s="16"/>
      <c r="E30" s="16"/>
    </row>
    <row r="31" spans="1:5" x14ac:dyDescent="0.25">
      <c r="A31" s="30" t="s">
        <v>244</v>
      </c>
      <c r="B31" s="30"/>
    </row>
    <row r="32" spans="1:5" x14ac:dyDescent="0.25">
      <c r="A32" s="13" t="s">
        <v>177</v>
      </c>
    </row>
    <row r="33" spans="1:2" x14ac:dyDescent="0.25">
      <c r="A33" t="s">
        <v>174</v>
      </c>
      <c r="B33" s="16">
        <f>E27</f>
        <v>40220000</v>
      </c>
    </row>
    <row r="34" spans="1:2" x14ac:dyDescent="0.25">
      <c r="A34" t="s">
        <v>150</v>
      </c>
      <c r="B34" s="16">
        <f t="shared" ref="B34:B35" si="9">E28</f>
        <v>148400000</v>
      </c>
    </row>
    <row r="35" spans="1:2" x14ac:dyDescent="0.25">
      <c r="A35" t="s">
        <v>151</v>
      </c>
      <c r="B35" s="16">
        <f t="shared" si="9"/>
        <v>111442500</v>
      </c>
    </row>
    <row r="36" spans="1:2" x14ac:dyDescent="0.25">
      <c r="A36" s="18" t="s">
        <v>178</v>
      </c>
      <c r="B36" s="19">
        <f>SUM(B33:B35)</f>
        <v>300062500</v>
      </c>
    </row>
    <row r="37" spans="1:2" x14ac:dyDescent="0.25">
      <c r="A37" s="18" t="s">
        <v>180</v>
      </c>
      <c r="B37" s="19">
        <f>SUM(B18:B23)</f>
        <v>116100000</v>
      </c>
    </row>
    <row r="38" spans="1:2" x14ac:dyDescent="0.25">
      <c r="A38" s="18" t="s">
        <v>185</v>
      </c>
      <c r="B38" s="19">
        <f>B37*0.15</f>
        <v>17415000</v>
      </c>
    </row>
    <row r="39" spans="1:2" x14ac:dyDescent="0.25">
      <c r="A39" s="18" t="s">
        <v>179</v>
      </c>
      <c r="B39" s="19">
        <f>B36-B37-B38</f>
        <v>166547500</v>
      </c>
    </row>
  </sheetData>
  <mergeCells count="1">
    <mergeCell ref="A31:B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8073B-C474-4AD3-84A9-F710D334A43E}">
  <dimension ref="B2:C19"/>
  <sheetViews>
    <sheetView workbookViewId="0">
      <selection activeCell="H22" sqref="H22"/>
    </sheetView>
  </sheetViews>
  <sheetFormatPr baseColWidth="10" defaultRowHeight="15" x14ac:dyDescent="0.25"/>
  <sheetData>
    <row r="2" spans="2:3" x14ac:dyDescent="0.25">
      <c r="B2" s="27">
        <v>45383</v>
      </c>
      <c r="C2" s="28">
        <v>68748</v>
      </c>
    </row>
    <row r="3" spans="2:3" x14ac:dyDescent="0.25">
      <c r="B3" s="27">
        <v>45413</v>
      </c>
      <c r="C3" s="28">
        <v>66167</v>
      </c>
    </row>
    <row r="4" spans="2:3" x14ac:dyDescent="0.25">
      <c r="B4" s="27">
        <v>45444</v>
      </c>
      <c r="C4" s="28">
        <v>57302</v>
      </c>
    </row>
    <row r="5" spans="2:3" x14ac:dyDescent="0.25">
      <c r="B5" s="27">
        <v>45474</v>
      </c>
      <c r="C5" s="28">
        <v>71712</v>
      </c>
    </row>
    <row r="6" spans="2:3" x14ac:dyDescent="0.25">
      <c r="B6" s="27">
        <v>45505</v>
      </c>
      <c r="C6" s="28">
        <v>73759</v>
      </c>
    </row>
    <row r="7" spans="2:3" x14ac:dyDescent="0.25">
      <c r="B7" s="27">
        <v>45536</v>
      </c>
      <c r="C7" s="28">
        <v>68502</v>
      </c>
    </row>
    <row r="8" spans="2:3" x14ac:dyDescent="0.25">
      <c r="B8" s="27">
        <v>45566</v>
      </c>
      <c r="C8" s="28">
        <v>74266</v>
      </c>
    </row>
    <row r="9" spans="2:3" x14ac:dyDescent="0.25">
      <c r="B9" s="27">
        <v>45597</v>
      </c>
      <c r="C9" s="28">
        <v>71124</v>
      </c>
    </row>
    <row r="10" spans="2:3" x14ac:dyDescent="0.25">
      <c r="B10" s="27">
        <v>45627</v>
      </c>
      <c r="C10" s="28">
        <v>85840</v>
      </c>
    </row>
    <row r="11" spans="2:3" x14ac:dyDescent="0.25">
      <c r="B11" s="27">
        <v>45658</v>
      </c>
      <c r="C11" s="28">
        <v>73451</v>
      </c>
    </row>
    <row r="12" spans="2:3" x14ac:dyDescent="0.25">
      <c r="B12" s="27">
        <v>45689</v>
      </c>
      <c r="C12" s="28">
        <v>80585</v>
      </c>
    </row>
    <row r="13" spans="2:3" x14ac:dyDescent="0.25">
      <c r="B13" s="27">
        <v>45717</v>
      </c>
      <c r="C13" s="28">
        <v>84226</v>
      </c>
    </row>
    <row r="14" spans="2:3" x14ac:dyDescent="0.25">
      <c r="B14" s="27">
        <v>45748</v>
      </c>
      <c r="C14" s="28">
        <v>80766</v>
      </c>
    </row>
    <row r="15" spans="2:3" x14ac:dyDescent="0.25">
      <c r="B15" s="27">
        <v>45778</v>
      </c>
      <c r="C15" s="28">
        <v>89909</v>
      </c>
    </row>
    <row r="19" spans="2:2" x14ac:dyDescent="0.25">
      <c r="B19" s="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1A3A-27EA-4925-8916-6A1A7C7F3C9B}">
  <dimension ref="A2:I39"/>
  <sheetViews>
    <sheetView topLeftCell="A13" workbookViewId="0">
      <selection activeCell="D14" sqref="D14"/>
    </sheetView>
  </sheetViews>
  <sheetFormatPr baseColWidth="10" defaultRowHeight="15" x14ac:dyDescent="0.25"/>
  <cols>
    <col min="1" max="1" width="26.5703125" customWidth="1"/>
    <col min="2" max="2" width="16.7109375" bestFit="1" customWidth="1"/>
    <col min="3" max="3" width="16.28515625" customWidth="1"/>
    <col min="4" max="5" width="16.7109375" bestFit="1" customWidth="1"/>
    <col min="6" max="6" width="17.5703125" customWidth="1"/>
    <col min="7" max="7" width="12" bestFit="1" customWidth="1"/>
    <col min="8" max="8" width="18.28515625" customWidth="1"/>
    <col min="9" max="9" width="14.5703125" bestFit="1" customWidth="1"/>
  </cols>
  <sheetData>
    <row r="2" spans="1:9" x14ac:dyDescent="0.25">
      <c r="B2" t="s">
        <v>152</v>
      </c>
      <c r="C2" t="s">
        <v>155</v>
      </c>
      <c r="D2" t="s">
        <v>156</v>
      </c>
      <c r="E2" t="s">
        <v>157</v>
      </c>
      <c r="F2" t="s">
        <v>158</v>
      </c>
      <c r="G2" t="s">
        <v>159</v>
      </c>
      <c r="H2" t="s">
        <v>161</v>
      </c>
      <c r="I2" t="s">
        <v>162</v>
      </c>
    </row>
    <row r="3" spans="1:9" x14ac:dyDescent="0.25">
      <c r="A3" s="17" t="s">
        <v>149</v>
      </c>
      <c r="B3" s="14">
        <v>260</v>
      </c>
      <c r="C3" s="14">
        <f>B3*$B$8+$B$7</f>
        <v>9200</v>
      </c>
      <c r="D3" s="14">
        <f>C3*0.19</f>
        <v>1748</v>
      </c>
      <c r="E3" s="14">
        <f>C3*0.1</f>
        <v>920</v>
      </c>
      <c r="F3" s="14">
        <v>500</v>
      </c>
      <c r="G3" s="14">
        <f>C3+D3+E3+F3</f>
        <v>12368</v>
      </c>
      <c r="H3" s="14">
        <f>G3/20</f>
        <v>618.4</v>
      </c>
      <c r="I3" s="14">
        <f>H3*$B$9</f>
        <v>2782800</v>
      </c>
    </row>
    <row r="4" spans="1:9" x14ac:dyDescent="0.25">
      <c r="A4" s="17" t="s">
        <v>150</v>
      </c>
      <c r="B4" s="14">
        <v>300</v>
      </c>
      <c r="C4" s="14">
        <f t="shared" ref="C4:C5" si="0">B4*$B$8+$B$7</f>
        <v>10000</v>
      </c>
      <c r="D4" s="14">
        <f t="shared" ref="D4:D5" si="1">C4*0.19</f>
        <v>1900</v>
      </c>
      <c r="E4" s="14">
        <f t="shared" ref="E4:E5" si="2">C4*0.1</f>
        <v>1000</v>
      </c>
      <c r="F4" s="14">
        <v>500</v>
      </c>
      <c r="G4" s="14">
        <f t="shared" ref="G4:G5" si="3">C4+D4+E4+F4</f>
        <v>13400</v>
      </c>
      <c r="H4" s="14">
        <f t="shared" ref="H4:H5" si="4">G4/20</f>
        <v>670</v>
      </c>
      <c r="I4" s="14">
        <f t="shared" ref="I4:I5" si="5">H4*$B$9</f>
        <v>3015000</v>
      </c>
    </row>
    <row r="5" spans="1:9" x14ac:dyDescent="0.25">
      <c r="A5" s="17" t="s">
        <v>151</v>
      </c>
      <c r="B5" s="14">
        <v>350</v>
      </c>
      <c r="C5" s="14">
        <f t="shared" si="0"/>
        <v>11000</v>
      </c>
      <c r="D5" s="14">
        <f t="shared" si="1"/>
        <v>2090</v>
      </c>
      <c r="E5" s="14">
        <f t="shared" si="2"/>
        <v>1100</v>
      </c>
      <c r="F5" s="14">
        <v>500</v>
      </c>
      <c r="G5" s="14">
        <f t="shared" si="3"/>
        <v>14690</v>
      </c>
      <c r="H5" s="14">
        <f t="shared" si="4"/>
        <v>734.5</v>
      </c>
      <c r="I5" s="14">
        <f t="shared" si="5"/>
        <v>3305250</v>
      </c>
    </row>
    <row r="7" spans="1:9" x14ac:dyDescent="0.25">
      <c r="A7" t="s">
        <v>153</v>
      </c>
      <c r="B7" s="14">
        <v>4000</v>
      </c>
    </row>
    <row r="8" spans="1:9" x14ac:dyDescent="0.25">
      <c r="A8" s="29" t="s">
        <v>154</v>
      </c>
      <c r="B8">
        <v>20</v>
      </c>
    </row>
    <row r="9" spans="1:9" x14ac:dyDescent="0.25">
      <c r="A9" t="s">
        <v>160</v>
      </c>
      <c r="B9" s="14">
        <v>4500</v>
      </c>
    </row>
    <row r="10" spans="1:9" x14ac:dyDescent="0.25">
      <c r="B10" s="14"/>
    </row>
    <row r="11" spans="1:9" x14ac:dyDescent="0.25">
      <c r="A11" t="s">
        <v>169</v>
      </c>
      <c r="B11" s="14">
        <v>2150000</v>
      </c>
      <c r="C11" t="s">
        <v>170</v>
      </c>
    </row>
    <row r="12" spans="1:9" x14ac:dyDescent="0.25">
      <c r="A12" s="13" t="s">
        <v>181</v>
      </c>
      <c r="B12" s="14" t="s">
        <v>165</v>
      </c>
      <c r="C12" t="s">
        <v>166</v>
      </c>
      <c r="D12" t="s">
        <v>167</v>
      </c>
      <c r="E12" t="s">
        <v>168</v>
      </c>
    </row>
    <row r="13" spans="1:9" x14ac:dyDescent="0.25">
      <c r="A13" s="13" t="s">
        <v>182</v>
      </c>
      <c r="B13" s="15">
        <v>10</v>
      </c>
      <c r="C13">
        <v>2</v>
      </c>
      <c r="D13" s="16">
        <f>$B$11*C13</f>
        <v>4300000</v>
      </c>
      <c r="E13" s="16">
        <f>D13*B13</f>
        <v>43000000</v>
      </c>
    </row>
    <row r="14" spans="1:9" x14ac:dyDescent="0.25">
      <c r="A14" s="13" t="s">
        <v>183</v>
      </c>
      <c r="B14" s="15">
        <v>4</v>
      </c>
      <c r="C14">
        <v>3</v>
      </c>
      <c r="D14" s="16">
        <f t="shared" ref="D14:D15" si="6">$B$11*C14</f>
        <v>6450000</v>
      </c>
      <c r="E14" s="16">
        <f t="shared" ref="E14:E15" si="7">D14*B14</f>
        <v>25800000</v>
      </c>
    </row>
    <row r="15" spans="1:9" x14ac:dyDescent="0.25">
      <c r="A15" s="13" t="s">
        <v>184</v>
      </c>
      <c r="B15" s="15">
        <v>2</v>
      </c>
      <c r="C15">
        <v>1</v>
      </c>
      <c r="D15" s="16">
        <f t="shared" si="6"/>
        <v>2150000</v>
      </c>
      <c r="E15" s="16">
        <f t="shared" si="7"/>
        <v>4300000</v>
      </c>
    </row>
    <row r="17" spans="1:5" x14ac:dyDescent="0.25">
      <c r="A17" s="13" t="s">
        <v>186</v>
      </c>
    </row>
    <row r="18" spans="1:5" x14ac:dyDescent="0.25">
      <c r="A18" s="13" t="s">
        <v>163</v>
      </c>
      <c r="B18" s="16">
        <f>SUM(E13:E15)</f>
        <v>73100000</v>
      </c>
    </row>
    <row r="19" spans="1:5" x14ac:dyDescent="0.25">
      <c r="A19" t="s">
        <v>171</v>
      </c>
      <c r="B19" s="14">
        <v>5000000</v>
      </c>
    </row>
    <row r="20" spans="1:5" x14ac:dyDescent="0.25">
      <c r="A20" s="13" t="s">
        <v>189</v>
      </c>
      <c r="B20" s="14">
        <v>20000000</v>
      </c>
    </row>
    <row r="21" spans="1:5" x14ac:dyDescent="0.25">
      <c r="A21" s="13" t="s">
        <v>188</v>
      </c>
      <c r="B21" s="14">
        <v>10000000</v>
      </c>
    </row>
    <row r="22" spans="1:5" x14ac:dyDescent="0.25">
      <c r="A22" s="13" t="s">
        <v>187</v>
      </c>
      <c r="B22" s="14">
        <v>5000000</v>
      </c>
    </row>
    <row r="23" spans="1:5" x14ac:dyDescent="0.25">
      <c r="A23" t="s">
        <v>164</v>
      </c>
      <c r="B23" s="14">
        <v>3000000</v>
      </c>
    </row>
    <row r="24" spans="1:5" x14ac:dyDescent="0.25">
      <c r="A24" s="24" t="s">
        <v>159</v>
      </c>
      <c r="B24" s="25">
        <f>SUM(B18:B23)</f>
        <v>116100000</v>
      </c>
    </row>
    <row r="26" spans="1:5" x14ac:dyDescent="0.25">
      <c r="A26" t="s">
        <v>172</v>
      </c>
      <c r="B26" s="13" t="s">
        <v>165</v>
      </c>
      <c r="C26" t="s">
        <v>173</v>
      </c>
      <c r="D26" t="s">
        <v>175</v>
      </c>
      <c r="E26" t="s">
        <v>176</v>
      </c>
    </row>
    <row r="27" spans="1:5" x14ac:dyDescent="0.25">
      <c r="A27" t="s">
        <v>174</v>
      </c>
      <c r="B27" s="15">
        <v>100</v>
      </c>
      <c r="C27" s="26">
        <f>4900000*0.65</f>
        <v>3185000</v>
      </c>
      <c r="D27" s="16">
        <f>C27-I3</f>
        <v>402200</v>
      </c>
      <c r="E27" s="16">
        <f>D27*B27</f>
        <v>40220000</v>
      </c>
    </row>
    <row r="28" spans="1:5" x14ac:dyDescent="0.25">
      <c r="A28" t="s">
        <v>150</v>
      </c>
      <c r="B28" s="15">
        <v>70</v>
      </c>
      <c r="C28" s="14">
        <f>7900000*0.65</f>
        <v>5135000</v>
      </c>
      <c r="D28" s="16">
        <f>C28-I4</f>
        <v>2120000</v>
      </c>
      <c r="E28" s="16">
        <f t="shared" ref="E28:E29" si="8">D28*B28</f>
        <v>148400000</v>
      </c>
    </row>
    <row r="29" spans="1:5" x14ac:dyDescent="0.25">
      <c r="A29" t="s">
        <v>151</v>
      </c>
      <c r="B29" s="15">
        <v>30</v>
      </c>
      <c r="C29" s="14">
        <f>10800000*0.65</f>
        <v>7020000</v>
      </c>
      <c r="D29" s="16">
        <f>C29-I5</f>
        <v>3714750</v>
      </c>
      <c r="E29" s="16">
        <f t="shared" si="8"/>
        <v>111442500</v>
      </c>
    </row>
    <row r="30" spans="1:5" x14ac:dyDescent="0.25">
      <c r="B30" s="15"/>
      <c r="C30" s="14"/>
      <c r="D30" s="16"/>
      <c r="E30" s="16"/>
    </row>
    <row r="31" spans="1:5" x14ac:dyDescent="0.25">
      <c r="A31" s="29" t="s">
        <v>244</v>
      </c>
    </row>
    <row r="32" spans="1:5" x14ac:dyDescent="0.25">
      <c r="A32" s="13" t="s">
        <v>177</v>
      </c>
    </row>
    <row r="33" spans="1:2" x14ac:dyDescent="0.25">
      <c r="A33" t="s">
        <v>174</v>
      </c>
      <c r="B33" s="16">
        <f>E27</f>
        <v>40220000</v>
      </c>
    </row>
    <row r="34" spans="1:2" x14ac:dyDescent="0.25">
      <c r="A34" t="s">
        <v>150</v>
      </c>
      <c r="B34" s="16">
        <f t="shared" ref="B34:B35" si="9">E28</f>
        <v>148400000</v>
      </c>
    </row>
    <row r="35" spans="1:2" x14ac:dyDescent="0.25">
      <c r="A35" t="s">
        <v>151</v>
      </c>
      <c r="B35" s="16">
        <f t="shared" si="9"/>
        <v>111442500</v>
      </c>
    </row>
    <row r="36" spans="1:2" x14ac:dyDescent="0.25">
      <c r="A36" s="18" t="s">
        <v>178</v>
      </c>
      <c r="B36" s="19">
        <f>SUM(B33:B35)</f>
        <v>300062500</v>
      </c>
    </row>
    <row r="37" spans="1:2" x14ac:dyDescent="0.25">
      <c r="A37" s="18" t="s">
        <v>180</v>
      </c>
      <c r="B37" s="19">
        <f>SUM(B18:B23)</f>
        <v>116100000</v>
      </c>
    </row>
    <row r="38" spans="1:2" x14ac:dyDescent="0.25">
      <c r="A38" s="18" t="s">
        <v>185</v>
      </c>
      <c r="B38" s="19">
        <f>B37*0.15</f>
        <v>17415000</v>
      </c>
    </row>
    <row r="39" spans="1:2" x14ac:dyDescent="0.25">
      <c r="A39" s="18" t="s">
        <v>179</v>
      </c>
      <c r="B39" s="19">
        <f>B36-B37-B38</f>
        <v>166547500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0FCA-C857-4B7D-9006-DE17634DADDB}">
  <dimension ref="A1:D10"/>
  <sheetViews>
    <sheetView workbookViewId="0">
      <selection activeCell="D11" sqref="D11"/>
    </sheetView>
  </sheetViews>
  <sheetFormatPr baseColWidth="10" defaultRowHeight="15" x14ac:dyDescent="0.25"/>
  <cols>
    <col min="1" max="1" width="20.140625" bestFit="1" customWidth="1"/>
  </cols>
  <sheetData>
    <row r="1" spans="1:4" x14ac:dyDescent="0.25">
      <c r="A1" t="s">
        <v>245</v>
      </c>
      <c r="B1" t="s">
        <v>246</v>
      </c>
      <c r="C1" t="s">
        <v>247</v>
      </c>
      <c r="D1" t="s">
        <v>248</v>
      </c>
    </row>
    <row r="2" spans="1:4" x14ac:dyDescent="0.25">
      <c r="A2" t="s">
        <v>249</v>
      </c>
      <c r="C2">
        <v>8</v>
      </c>
      <c r="D2" t="s">
        <v>250</v>
      </c>
    </row>
    <row r="3" spans="1:4" x14ac:dyDescent="0.25">
      <c r="A3" t="s">
        <v>251</v>
      </c>
      <c r="C3">
        <v>0.5</v>
      </c>
      <c r="D3" t="s">
        <v>250</v>
      </c>
    </row>
    <row r="4" spans="1:4" x14ac:dyDescent="0.25">
      <c r="A4" t="s">
        <v>252</v>
      </c>
      <c r="C4">
        <v>1</v>
      </c>
      <c r="D4" t="s">
        <v>253</v>
      </c>
    </row>
    <row r="5" spans="1:4" x14ac:dyDescent="0.25">
      <c r="A5" t="s">
        <v>254</v>
      </c>
      <c r="C5">
        <v>20</v>
      </c>
      <c r="D5" t="s">
        <v>255</v>
      </c>
    </row>
    <row r="6" spans="1:4" x14ac:dyDescent="0.25">
      <c r="A6" t="s">
        <v>256</v>
      </c>
      <c r="C6">
        <v>200</v>
      </c>
      <c r="D6" t="s">
        <v>257</v>
      </c>
    </row>
    <row r="7" spans="1:4" x14ac:dyDescent="0.25">
      <c r="A7" t="s">
        <v>258</v>
      </c>
      <c r="C7">
        <f>C2-C3</f>
        <v>7.5</v>
      </c>
      <c r="D7" t="s">
        <v>250</v>
      </c>
    </row>
    <row r="8" spans="1:4" x14ac:dyDescent="0.25">
      <c r="A8" t="s">
        <v>258</v>
      </c>
      <c r="C8">
        <f>C7*60</f>
        <v>450</v>
      </c>
      <c r="D8" t="s">
        <v>262</v>
      </c>
    </row>
    <row r="9" spans="1:4" x14ac:dyDescent="0.25">
      <c r="A9" t="s">
        <v>260</v>
      </c>
      <c r="C9">
        <f>C6/4/5</f>
        <v>10</v>
      </c>
      <c r="D9" t="s">
        <v>263</v>
      </c>
    </row>
    <row r="10" spans="1:4" x14ac:dyDescent="0.25">
      <c r="A10" t="s">
        <v>261</v>
      </c>
      <c r="C10">
        <f>C8/C9</f>
        <v>45</v>
      </c>
      <c r="D10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Actividades</vt:lpstr>
      <vt:lpstr>Partes</vt:lpstr>
      <vt:lpstr>Ingresos-Costos</vt:lpstr>
      <vt:lpstr>Mercado</vt:lpstr>
      <vt:lpstr>IC-propuesta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Restrepo Morales</dc:creator>
  <cp:lastModifiedBy>Oscar Javier Restrepo Morales</cp:lastModifiedBy>
  <dcterms:created xsi:type="dcterms:W3CDTF">2025-05-07T01:42:28Z</dcterms:created>
  <dcterms:modified xsi:type="dcterms:W3CDTF">2025-06-10T19:36:02Z</dcterms:modified>
</cp:coreProperties>
</file>