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ilmer - PhD\Database_palaeo\"/>
    </mc:Choice>
  </mc:AlternateContent>
  <bookViews>
    <workbookView xWindow="-120" yWindow="-120" windowWidth="29040" windowHeight="15840" firstSheet="1" activeTab="1"/>
  </bookViews>
  <sheets>
    <sheet name="META" sheetId="1" r:id="rId1"/>
    <sheet name="db_iceland" sheetId="2" r:id="rId2"/>
    <sheet name="site_details" sheetId="25" r:id="rId3"/>
    <sheet name="Dry bulk density" sheetId="26" r:id="rId4"/>
    <sheet name="Organic content" sheetId="32" r:id="rId5"/>
    <sheet name="Elemental stuff" sheetId="33" r:id="rId6"/>
    <sheet name="magn susc" sheetId="27" r:id="rId7"/>
    <sheet name="pollen" sheetId="29" r:id="rId8"/>
    <sheet name="macrofossils" sheetId="34" r:id="rId9"/>
    <sheet name="chronology" sheetId="30" r:id="rId10"/>
    <sheet name="chironomids" sheetId="31" r:id="rId11"/>
  </sheets>
  <definedNames>
    <definedName name="_xlnm._FilterDatabase" localSheetId="1" hidden="1">db_iceland!$A$1:$AS$1</definedName>
    <definedName name="_xlnm._FilterDatabase" localSheetId="0" hidden="1">META!$A$1:$B$1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30" l="1"/>
  <c r="M57" i="30"/>
  <c r="M65" i="30"/>
  <c r="L15" i="29" l="1"/>
  <c r="M15" i="29"/>
  <c r="L16" i="29"/>
  <c r="M16" i="29"/>
  <c r="L17" i="29"/>
  <c r="M17" i="29"/>
  <c r="L18" i="29"/>
  <c r="M18" i="29"/>
  <c r="L19" i="29"/>
  <c r="M19" i="29"/>
  <c r="L20" i="29"/>
  <c r="M20" i="29"/>
  <c r="L21" i="29"/>
  <c r="M21" i="29"/>
  <c r="L22" i="29"/>
  <c r="M22" i="29"/>
  <c r="L23" i="29"/>
  <c r="M23" i="29"/>
  <c r="L24" i="29"/>
  <c r="M24" i="29"/>
  <c r="L14" i="29"/>
  <c r="M14" i="29" s="1"/>
  <c r="M12" i="29" l="1"/>
  <c r="M13" i="29"/>
  <c r="L13" i="29"/>
  <c r="M48" i="30" l="1"/>
  <c r="L11" i="29"/>
  <c r="M11" i="29"/>
  <c r="M12" i="30"/>
  <c r="M23" i="30"/>
  <c r="M25" i="30"/>
  <c r="M42" i="30"/>
  <c r="M45" i="30"/>
  <c r="M3" i="29" l="1"/>
  <c r="M4" i="29"/>
  <c r="M5" i="29"/>
  <c r="M6" i="29"/>
  <c r="M7" i="29"/>
  <c r="M8" i="29"/>
  <c r="M9" i="29"/>
  <c r="M10" i="29"/>
  <c r="M2" i="29"/>
  <c r="M31" i="30"/>
  <c r="M30" i="30"/>
  <c r="M2" i="30"/>
  <c r="L7" i="29" l="1"/>
  <c r="L8" i="29"/>
  <c r="L9" i="29"/>
  <c r="L10" i="29"/>
  <c r="L6" i="29"/>
  <c r="L4" i="29" l="1"/>
  <c r="L3" i="29"/>
  <c r="L5" i="29"/>
  <c r="L2" i="29"/>
  <c r="M14" i="30"/>
  <c r="M6" i="30" l="1"/>
  <c r="I10" i="30"/>
  <c r="I8" i="30"/>
  <c r="I5" i="30"/>
  <c r="I4" i="30"/>
  <c r="O55" i="2" l="1"/>
  <c r="O46" i="2"/>
  <c r="O44" i="2"/>
  <c r="N51" i="2"/>
  <c r="O51" i="2"/>
  <c r="O43" i="2"/>
  <c r="N43" i="2"/>
  <c r="O40" i="2"/>
  <c r="N41" i="2"/>
  <c r="O37" i="2"/>
  <c r="N37" i="2"/>
  <c r="O17" i="2"/>
  <c r="N15" i="2"/>
  <c r="N13" i="2"/>
  <c r="O14" i="2" l="1"/>
  <c r="N14" i="2"/>
  <c r="O4" i="2"/>
</calcChain>
</file>

<file path=xl/sharedStrings.xml><?xml version="1.0" encoding="utf-8"?>
<sst xmlns="http://schemas.openxmlformats.org/spreadsheetml/2006/main" count="1108" uniqueCount="427">
  <si>
    <t>reference</t>
  </si>
  <si>
    <t>lat</t>
  </si>
  <si>
    <t>long</t>
  </si>
  <si>
    <t>name_site</t>
  </si>
  <si>
    <t>dist_coast</t>
  </si>
  <si>
    <t>dist_farm</t>
  </si>
  <si>
    <t>climate</t>
  </si>
  <si>
    <t>type_site</t>
  </si>
  <si>
    <t>area</t>
  </si>
  <si>
    <t>citations</t>
  </si>
  <si>
    <t>chr_end</t>
  </si>
  <si>
    <t>chr_begin</t>
  </si>
  <si>
    <t>chr_tephra</t>
  </si>
  <si>
    <t>chr_210Pb</t>
  </si>
  <si>
    <t>chr_137Cs</t>
  </si>
  <si>
    <t>chr_14C</t>
  </si>
  <si>
    <t>prox_pollen</t>
  </si>
  <si>
    <t>prox_AR</t>
  </si>
  <si>
    <t>prox_grsize</t>
  </si>
  <si>
    <t>prox_TOC</t>
  </si>
  <si>
    <t>prox_magsus</t>
  </si>
  <si>
    <t>prox_foram</t>
  </si>
  <si>
    <t>Name/year of the study that this entry is part of</t>
  </si>
  <si>
    <t>Name of the site as it is used in the study</t>
  </si>
  <si>
    <t>The type of site according to the study (peat, lake, marine, soil, midden)</t>
  </si>
  <si>
    <t>General area that the site is in (N,NE,E,SE,S,SW,W,NW)</t>
  </si>
  <si>
    <t>Latitude in decimal degrees of the study site</t>
  </si>
  <si>
    <t>Longitude in decimal degrees of the study site</t>
  </si>
  <si>
    <t>DESCRIPTION</t>
  </si>
  <si>
    <t>VARIABLE</t>
  </si>
  <si>
    <t>pollen used as a proxy?</t>
  </si>
  <si>
    <t>AR used as a proxy?</t>
  </si>
  <si>
    <t>grsize used as a proxy?</t>
  </si>
  <si>
    <t>TOC used as a proxy?</t>
  </si>
  <si>
    <t>magsus used as a proxy?</t>
  </si>
  <si>
    <t>foram used as a proxy?</t>
  </si>
  <si>
    <t>The altitude above sealevel for the site</t>
  </si>
  <si>
    <t>Distance to the nearest farm</t>
  </si>
  <si>
    <t>altitude</t>
  </si>
  <si>
    <t>Number of citations per study (divided by the number of sites in that study)</t>
  </si>
  <si>
    <t>Distance to the coast</t>
  </si>
  <si>
    <t>Average temperature over the summer months</t>
  </si>
  <si>
    <t>PAR_change</t>
  </si>
  <si>
    <t>TOC_change</t>
  </si>
  <si>
    <t>absolute value of change for Pollen accumulation rate around the landnam / if that's unworkable then just (++,+,0,-,--)</t>
  </si>
  <si>
    <t>absolute value of change for total organic content around the landnam / if that's unworkable then just (++,+,0,-,--)</t>
  </si>
  <si>
    <t>coll_year</t>
  </si>
  <si>
    <t>The year of collection of the data</t>
  </si>
  <si>
    <t>pollen_res</t>
  </si>
  <si>
    <t>The resolution of sampling around the landnam period</t>
  </si>
  <si>
    <t>data_av</t>
  </si>
  <si>
    <t>Is the data available for this study?</t>
  </si>
  <si>
    <t>bet_change</t>
  </si>
  <si>
    <t>poa_change</t>
  </si>
  <si>
    <t>cyp_change</t>
  </si>
  <si>
    <t>sal_change</t>
  </si>
  <si>
    <t>Change in Betula around landnam (either absolute, or in terms of ++,+,0,-,--)</t>
  </si>
  <si>
    <t>Change in Poaceae around landnam (either absolute, or in terms of ++,+,0,-,--)</t>
  </si>
  <si>
    <t>Change in Cyperaceae around landnam (either absolute, or in terms of ++,+,0,-,--)</t>
  </si>
  <si>
    <t>Change in Salix around landnam (either absolute, or in terms of ++,+,0,-,--)</t>
  </si>
  <si>
    <t>ai_present</t>
  </si>
  <si>
    <t>Are there any anthropogenic indicators present at landnam?</t>
  </si>
  <si>
    <t>ID_ref</t>
  </si>
  <si>
    <t>Short ID of the reference (3 letters name, year, first letter journal)</t>
  </si>
  <si>
    <t>DOI</t>
  </si>
  <si>
    <t>The DOI of the study/paper (if it is available)</t>
  </si>
  <si>
    <t>Andrews et al 2001, J QUAT SCI</t>
  </si>
  <si>
    <t>Barclay 2016</t>
  </si>
  <si>
    <t>Buckland et al 1995</t>
  </si>
  <si>
    <t>Colquhoun et al 2010</t>
  </si>
  <si>
    <t>Eddudottir et al 2016</t>
  </si>
  <si>
    <t>Einarsson 1957a</t>
  </si>
  <si>
    <t>Erlendsson &amp; Edwards 2009, HOLOCENE</t>
  </si>
  <si>
    <t>Erlendsson et al 2009, QUAT RES</t>
  </si>
  <si>
    <t>Gathorne-Hardy et al 2009, J PALEOLIM</t>
  </si>
  <si>
    <t>Gisladottir et al 2010, QUAT RES</t>
  </si>
  <si>
    <t>Hallsdottir 1995</t>
  </si>
  <si>
    <t>Karlsdottir et al 2014</t>
  </si>
  <si>
    <t>Lawson 2009</t>
  </si>
  <si>
    <t>Lawson et al 2007, BOREAS</t>
  </si>
  <si>
    <t>Mockel et al 2017</t>
  </si>
  <si>
    <t>Riddell et al 2018, ENV ARCH</t>
  </si>
  <si>
    <t>Riddell et al 2018, VEG HIST</t>
  </si>
  <si>
    <t>Roy et al 2018, ECOSCIeNCE</t>
  </si>
  <si>
    <t>Roy et al 2018, ECOSCIENCE</t>
  </si>
  <si>
    <t>Sveinbjarnadottir et al 2007</t>
  </si>
  <si>
    <t>Tisdall et al 2018, ENV ARCH</t>
  </si>
  <si>
    <t>Zutter 1997</t>
  </si>
  <si>
    <t>10.1002/jqs.582</t>
  </si>
  <si>
    <t>10.1111/bor.12184</t>
  </si>
  <si>
    <t>10.1177/0959683609341001</t>
  </si>
  <si>
    <t>10.1016/j.yqres.2009.05.005</t>
  </si>
  <si>
    <t>10.1007/s10933-008-9285-4</t>
  </si>
  <si>
    <t>10.1016/j.yqres.2009.09.007</t>
  </si>
  <si>
    <t>10.1111/j.1502-3885.2007.tb01176.x</t>
  </si>
  <si>
    <t>10.1007/s11104-017-3305-y</t>
  </si>
  <si>
    <t>10.1080/14614103.2018.1531191</t>
  </si>
  <si>
    <t>10.1007/s00334-017-0665-4</t>
  </si>
  <si>
    <t>10.1080/11956860.2018.1443419</t>
  </si>
  <si>
    <t>10.1177/0959683617714597</t>
  </si>
  <si>
    <t>10.1179/174963107x226453</t>
  </si>
  <si>
    <t>10.1080/14614103.2018.1437105</t>
  </si>
  <si>
    <t>10.1006/jasc.1998.0349</t>
  </si>
  <si>
    <t>Zutter 1999, JAS</t>
  </si>
  <si>
    <t>undir Ingólfsfjalli</t>
  </si>
  <si>
    <t>Reykholtsdalur</t>
  </si>
  <si>
    <t>Hestvatn</t>
  </si>
  <si>
    <t>Vatnskotvatn</t>
  </si>
  <si>
    <t>Ytra-Aland</t>
  </si>
  <si>
    <t>Tindar</t>
  </si>
  <si>
    <t>Helgadalur</t>
  </si>
  <si>
    <t>Leirvogstunga</t>
  </si>
  <si>
    <t>Mosfell</t>
  </si>
  <si>
    <t>Reykholt</t>
  </si>
  <si>
    <t>Gjogur</t>
  </si>
  <si>
    <t>marine</t>
  </si>
  <si>
    <t>peat</t>
  </si>
  <si>
    <t>lake</t>
  </si>
  <si>
    <t>midden</t>
  </si>
  <si>
    <t>north</t>
  </si>
  <si>
    <t>northwest</t>
  </si>
  <si>
    <t>southeast</t>
  </si>
  <si>
    <t>west</t>
  </si>
  <si>
    <t>south</t>
  </si>
  <si>
    <t>southwest</t>
  </si>
  <si>
    <t>east</t>
  </si>
  <si>
    <t>northeast</t>
  </si>
  <si>
    <t>T</t>
  </si>
  <si>
    <t>prox_insec</t>
  </si>
  <si>
    <t>prox_LOI</t>
  </si>
  <si>
    <t>prox_macrof</t>
  </si>
  <si>
    <t>prox_DBD</t>
  </si>
  <si>
    <t>prox_C/N</t>
  </si>
  <si>
    <t>coord_method</t>
  </si>
  <si>
    <t>approximation</t>
  </si>
  <si>
    <t>in_text</t>
  </si>
  <si>
    <t>Einarsson 1963b</t>
  </si>
  <si>
    <t>Moldhaugar X</t>
  </si>
  <si>
    <t>10.1080/11035897309454253</t>
  </si>
  <si>
    <t>10.5962/bhl.title.10237</t>
  </si>
  <si>
    <t>Bartley 1973</t>
  </si>
  <si>
    <t>Edwards et al 2004</t>
  </si>
  <si>
    <t>10.1017/s0032247403003000</t>
  </si>
  <si>
    <t>Seljaland</t>
  </si>
  <si>
    <t>Hellisbjargi</t>
  </si>
  <si>
    <t>Hallsdottir &amp; Caseldine 2005</t>
  </si>
  <si>
    <t>10.1016/S1571-0866(05)80016-8</t>
  </si>
  <si>
    <t>Vestra Gísholtsvatn</t>
  </si>
  <si>
    <t xml:space="preserve">nr of 14C  dates used </t>
  </si>
  <si>
    <t>nr of tephra layers used</t>
  </si>
  <si>
    <t>nr of 210Pb samples used for dating</t>
  </si>
  <si>
    <t>nr of 137Cs samples used for dating</t>
  </si>
  <si>
    <t>chr1000</t>
  </si>
  <si>
    <t>nr of dates used per 1000 years</t>
  </si>
  <si>
    <t>Jonsson 2009, Jonsson et al 2012</t>
  </si>
  <si>
    <t>ISBN</t>
  </si>
  <si>
    <t>date_type</t>
  </si>
  <si>
    <t>RC_dates_BP</t>
  </si>
  <si>
    <t>tephra_BP</t>
  </si>
  <si>
    <t>AD</t>
  </si>
  <si>
    <t>format the dates were originally published in</t>
  </si>
  <si>
    <t>Youngest date of the core from the study site in calibrated calendar years BP (0 BP = 1950)</t>
  </si>
  <si>
    <t>Oldest date of the core from the study site in calibrated calendar years BP (0 BP = 1950)</t>
  </si>
  <si>
    <t>chr_top</t>
  </si>
  <si>
    <t>y</t>
  </si>
  <si>
    <t>n</t>
  </si>
  <si>
    <t>Schmid et al 2018, HOLOCENE, RID2018V</t>
  </si>
  <si>
    <t>yy</t>
  </si>
  <si>
    <t>Vestmansvatn</t>
  </si>
  <si>
    <t>Pahlsson 1981</t>
  </si>
  <si>
    <t>Lágafell</t>
  </si>
  <si>
    <t>Einarsson 1957b, 1961, 1963b</t>
  </si>
  <si>
    <t>Einarsson 1961</t>
  </si>
  <si>
    <t>Seltjörn</t>
  </si>
  <si>
    <t>Borgarmýri</t>
  </si>
  <si>
    <t>east of reykjavik</t>
  </si>
  <si>
    <t>Ölfus</t>
  </si>
  <si>
    <t>Villingavatn</t>
  </si>
  <si>
    <t>Ölkelda</t>
  </si>
  <si>
    <t>Moldhaugar XI</t>
  </si>
  <si>
    <t>Moldhaugar XII</t>
  </si>
  <si>
    <t>Schwaar 1978</t>
  </si>
  <si>
    <t>Laugarvatn</t>
  </si>
  <si>
    <t>Pálstóftir</t>
  </si>
  <si>
    <t>soil</t>
  </si>
  <si>
    <t>Verrill 2007</t>
  </si>
  <si>
    <t>Hólavellir</t>
  </si>
  <si>
    <t>Hallsdottir 2001</t>
  </si>
  <si>
    <t>Fagridalur</t>
  </si>
  <si>
    <t>Ketilsstaðir</t>
  </si>
  <si>
    <t>Akurey</t>
  </si>
  <si>
    <t>Þrandarholt</t>
  </si>
  <si>
    <t>Svínavatn</t>
  </si>
  <si>
    <t>Hallsdottir 1987</t>
  </si>
  <si>
    <t>Vatnsmýri I</t>
  </si>
  <si>
    <t>Vatnsmýri II</t>
  </si>
  <si>
    <t>Tjörnin</t>
  </si>
  <si>
    <t>Viðey</t>
  </si>
  <si>
    <t>soil?</t>
  </si>
  <si>
    <t>Hallsdottir 1992, Tjronin paper</t>
  </si>
  <si>
    <t>Hallsdottir 1993, RH-08-93</t>
  </si>
  <si>
    <t>Hallsdottir 1982</t>
  </si>
  <si>
    <t>Vaðbrekka</t>
  </si>
  <si>
    <t>Vaðlamýri</t>
  </si>
  <si>
    <t>Hallsdottir 1984</t>
  </si>
  <si>
    <t>Herjólfsdalur</t>
  </si>
  <si>
    <t>Torfmýri</t>
  </si>
  <si>
    <t>Hallsdottir 1990</t>
  </si>
  <si>
    <t>Krosshólsmýri</t>
  </si>
  <si>
    <t>Thorarinsson 1944</t>
  </si>
  <si>
    <t>Skallakot</t>
  </si>
  <si>
    <t>Stöng</t>
  </si>
  <si>
    <t>Hofstaðir</t>
  </si>
  <si>
    <t>Gautlönd</t>
  </si>
  <si>
    <t>Viðatoft</t>
  </si>
  <si>
    <t>Sævarland</t>
  </si>
  <si>
    <t>Svalbarð</t>
  </si>
  <si>
    <t>Stóra-Mörk</t>
  </si>
  <si>
    <t>Ketilsstaðir 1</t>
  </si>
  <si>
    <t>Ketilsstaðir 2</t>
  </si>
  <si>
    <t>Skálholt</t>
  </si>
  <si>
    <t>Skeggjastaðir</t>
  </si>
  <si>
    <t>Sogamýri</t>
  </si>
  <si>
    <t>Breiðavatn</t>
  </si>
  <si>
    <t>Helluvaðstjörn</t>
  </si>
  <si>
    <t>Grænavatn</t>
  </si>
  <si>
    <t>Hrísbrú</t>
  </si>
  <si>
    <t>Gjögurvatn</t>
  </si>
  <si>
    <t>Reykjarfjörður</t>
  </si>
  <si>
    <t>Torfalækur</t>
  </si>
  <si>
    <t>Ytra Bægisá</t>
  </si>
  <si>
    <t>Varmahlíð</t>
  </si>
  <si>
    <t>Barðalækjartjörn</t>
  </si>
  <si>
    <t>Wastl et al 2001</t>
  </si>
  <si>
    <t>Vesterárdalur 2</t>
  </si>
  <si>
    <t>Okko 1956</t>
  </si>
  <si>
    <t>Hoffell</t>
  </si>
  <si>
    <t>Laugardalur</t>
  </si>
  <si>
    <t>Einarsson 1961, 1963b</t>
  </si>
  <si>
    <t>Hallormsstaður</t>
  </si>
  <si>
    <t>coords_notes</t>
  </si>
  <si>
    <t>Krýsuvíkurheiði</t>
  </si>
  <si>
    <t>interpolated from map with coordinates on it</t>
  </si>
  <si>
    <t>Vatnsfjörður</t>
  </si>
  <si>
    <t>map in paper</t>
  </si>
  <si>
    <t>Lake is on google maps</t>
  </si>
  <si>
    <t>"northeastern edge of Hallormsstadaskógur national forest"</t>
  </si>
  <si>
    <t>farmstead is on map in paper</t>
  </si>
  <si>
    <t>location is on map in paper</t>
  </si>
  <si>
    <t>coring site is on detailed map in paper</t>
  </si>
  <si>
    <t>map in paper, not very detailed</t>
  </si>
  <si>
    <t>lake Hestvatn, Grimsnes</t>
  </si>
  <si>
    <t>SE Iceland</t>
  </si>
  <si>
    <t>map in the paper</t>
  </si>
  <si>
    <t>detailed map in paper</t>
  </si>
  <si>
    <t>name in chapter, looked it up on 1910 map of Reykjavík</t>
  </si>
  <si>
    <t>"20km from Þingvallavatn, close to town Laugarvatn, 100m west from the edge of lake Laugarvatn"</t>
  </si>
  <si>
    <t>"Under Moldhaugar on the road to Akureyri"</t>
  </si>
  <si>
    <t>"250m south of farm Mosfell, Grimsnes"</t>
  </si>
  <si>
    <t>"west from Ingólfsfjall and 2.5km east from Kotströnd"</t>
  </si>
  <si>
    <t>"east of Ölkelda, close to church stadarstadur"</t>
  </si>
  <si>
    <t>"150m due west of Pálstoftir site near Kárahnjúkar"</t>
  </si>
  <si>
    <t>several maps make it possible to mark the location</t>
  </si>
  <si>
    <t>"flooded by the sea"</t>
  </si>
  <si>
    <t>based on map from Hallsdóttir 1995, exact location in Skálholt is unsure</t>
  </si>
  <si>
    <t>reykholt area</t>
  </si>
  <si>
    <t>"Near Sólheimagerdi in a ditch on the road to Akureyri"</t>
  </si>
  <si>
    <t>map in thesis</t>
  </si>
  <si>
    <t>"250m south of the farm Þrandárholt</t>
  </si>
  <si>
    <t>lake in west of Reykjavík</t>
  </si>
  <si>
    <t>"10km south of Blönduós, in Torfalækur</t>
  </si>
  <si>
    <t>"but the other from the swamp east of the new residential area under Ingólfsfjall"</t>
  </si>
  <si>
    <t>Near guesthouse Varmahlíd 20km south of Saudárkrókur</t>
  </si>
  <si>
    <t>coords on pangea, Lake Vatnkotsvatn, Hegranes</t>
  </si>
  <si>
    <t>"within 50m north of Vatnsmýri I"</t>
  </si>
  <si>
    <t>monastery on Viðey</t>
  </si>
  <si>
    <t>"not far from Villingavatn south of lake Þingvallavatn"</t>
  </si>
  <si>
    <t>Papey Island, map in chapter</t>
  </si>
  <si>
    <t>Goðatættur</t>
  </si>
  <si>
    <t>Helgutjörn</t>
  </si>
  <si>
    <t>Hjálmarvík</t>
  </si>
  <si>
    <t>Torfdallsmýri</t>
  </si>
  <si>
    <t>Hrafnabjörg</t>
  </si>
  <si>
    <t>Hrísheimar</t>
  </si>
  <si>
    <t>Kúðá</t>
  </si>
  <si>
    <t>Þingeyrar</t>
  </si>
  <si>
    <t>decade</t>
  </si>
  <si>
    <t>core length (cm)</t>
  </si>
  <si>
    <t>Site</t>
  </si>
  <si>
    <t>volume (cm3)</t>
  </si>
  <si>
    <t>interval (cm)</t>
  </si>
  <si>
    <t>notes</t>
  </si>
  <si>
    <t>interval at 0.5cm where discrete tephras occurred</t>
  </si>
  <si>
    <t>frequency (kHz)</t>
  </si>
  <si>
    <t>instrument</t>
  </si>
  <si>
    <t>Bartington Instruments MS-2 meter</t>
  </si>
  <si>
    <t>treatment</t>
  </si>
  <si>
    <t>HF</t>
  </si>
  <si>
    <t>nana/pubescens cut off (mu m)</t>
  </si>
  <si>
    <t>ND</t>
  </si>
  <si>
    <t>#samples pre</t>
  </si>
  <si>
    <t>interval land</t>
  </si>
  <si>
    <t>#samples post</t>
  </si>
  <si>
    <t>interval post</t>
  </si>
  <si>
    <t>interval pre(cm)</t>
  </si>
  <si>
    <t>#samples land (870-1200)</t>
  </si>
  <si>
    <t># identified tephras</t>
  </si>
  <si>
    <t># tephras used for age model</t>
  </si>
  <si>
    <t>modelling</t>
  </si>
  <si>
    <t>linear interpolation</t>
  </si>
  <si>
    <t>tephras used</t>
  </si>
  <si>
    <t>Hekla 3</t>
  </si>
  <si>
    <t>error bp</t>
  </si>
  <si>
    <t>Landnam complex</t>
  </si>
  <si>
    <t>multiple tephras combined</t>
  </si>
  <si>
    <t>-</t>
  </si>
  <si>
    <t>historic tephra</t>
  </si>
  <si>
    <t>Veiðivótn 1477</t>
  </si>
  <si>
    <t>Veiðivótn 1717</t>
  </si>
  <si>
    <t>dpm (oldest and youngest dated layer and taken the time in between)</t>
  </si>
  <si>
    <t>Chron_ID</t>
  </si>
  <si>
    <t>Katla 700</t>
  </si>
  <si>
    <t>Veiðivótn 915</t>
  </si>
  <si>
    <t>Katla 1262</t>
  </si>
  <si>
    <t>Öræfajökull 1362</t>
  </si>
  <si>
    <t>Askja 1875</t>
  </si>
  <si>
    <t>date top/bottom</t>
  </si>
  <si>
    <t>#c14</t>
  </si>
  <si>
    <t>#c14 for chron</t>
  </si>
  <si>
    <t>Landnám layer</t>
  </si>
  <si>
    <t>Katla E</t>
  </si>
  <si>
    <t>tephrachron, linear interpolation</t>
  </si>
  <si>
    <t>y/sample during landnam</t>
  </si>
  <si>
    <t>Bayesian, bchron</t>
  </si>
  <si>
    <t>Saksunarvatn</t>
  </si>
  <si>
    <t>HUN</t>
  </si>
  <si>
    <t>Hekla 5</t>
  </si>
  <si>
    <t>Hekla Ö</t>
  </si>
  <si>
    <t xml:space="preserve">S </t>
  </si>
  <si>
    <t>Hekla 4</t>
  </si>
  <si>
    <t>Hekla 1104</t>
  </si>
  <si>
    <t>Hekla 1300</t>
  </si>
  <si>
    <t>top: linear</t>
  </si>
  <si>
    <t>LST Fastfloat</t>
  </si>
  <si>
    <t>Hellqvist et al 2020</t>
  </si>
  <si>
    <t>https://doi.org/10.1080/04353676.2020.1723984</t>
  </si>
  <si>
    <t>Viðvík</t>
  </si>
  <si>
    <t>publication_type</t>
  </si>
  <si>
    <t>paper</t>
  </si>
  <si>
    <t>PhD</t>
  </si>
  <si>
    <t>book_chapter</t>
  </si>
  <si>
    <t>report</t>
  </si>
  <si>
    <t>MSc</t>
  </si>
  <si>
    <t>a.s.l.</t>
  </si>
  <si>
    <t>distance to coast</t>
  </si>
  <si>
    <t>distance to farm</t>
  </si>
  <si>
    <t>temp nearest station (JJA)</t>
  </si>
  <si>
    <t>interpolated temp (JJA)</t>
  </si>
  <si>
    <t>interval</t>
  </si>
  <si>
    <t>volume</t>
  </si>
  <si>
    <t xml:space="preserve">method </t>
  </si>
  <si>
    <t>LOI</t>
  </si>
  <si>
    <t>Elements</t>
  </si>
  <si>
    <t>C</t>
  </si>
  <si>
    <t>N</t>
  </si>
  <si>
    <t>Method</t>
  </si>
  <si>
    <t>Flash 2000 Elemental analyzer</t>
  </si>
  <si>
    <t>precipitation (mm)</t>
  </si>
  <si>
    <t>lake size</t>
  </si>
  <si>
    <t>avg july temp nearest station</t>
  </si>
  <si>
    <t>presumed H3</t>
  </si>
  <si>
    <t>Sólheimagerði</t>
  </si>
  <si>
    <t>Erlendsson &amp; Edwards 2009, HOLOCENE, vickers et al 2011</t>
  </si>
  <si>
    <t>Katla 1918</t>
  </si>
  <si>
    <t>K-R/K~1000</t>
  </si>
  <si>
    <t>Hekla 1693</t>
  </si>
  <si>
    <t>Katla 1721</t>
  </si>
  <si>
    <t>cal. yr bp</t>
  </si>
  <si>
    <t>Hekla 1341</t>
  </si>
  <si>
    <t>Katla ~1485</t>
  </si>
  <si>
    <t>Hekla 1510</t>
  </si>
  <si>
    <t>?Katla 1823</t>
  </si>
  <si>
    <t>Hekla 1845</t>
  </si>
  <si>
    <t>unsure which one this is</t>
  </si>
  <si>
    <t>or using landnam as base</t>
  </si>
  <si>
    <t>Medieval</t>
  </si>
  <si>
    <t>unsure about exact dating</t>
  </si>
  <si>
    <t>drained mire</t>
  </si>
  <si>
    <t>mire</t>
  </si>
  <si>
    <t>spm</t>
  </si>
  <si>
    <t>top age, cal bp</t>
  </si>
  <si>
    <t>bottom age, cal bp</t>
  </si>
  <si>
    <t>based on sedimentation rate</t>
  </si>
  <si>
    <t>based on pollen composition</t>
  </si>
  <si>
    <t>&gt;1073</t>
  </si>
  <si>
    <t>Hestavtn</t>
  </si>
  <si>
    <t>Katla N ???</t>
  </si>
  <si>
    <t>??</t>
  </si>
  <si>
    <t>Hverfall</t>
  </si>
  <si>
    <t>Katla 1625</t>
  </si>
  <si>
    <t>bayesian</t>
  </si>
  <si>
    <t>Vatnskotsvatn</t>
  </si>
  <si>
    <t>Database?</t>
  </si>
  <si>
    <t xml:space="preserve">Tjörnin </t>
  </si>
  <si>
    <t>read?</t>
  </si>
  <si>
    <t>Hrisheimar</t>
  </si>
  <si>
    <t>#samples land (870-1300)</t>
  </si>
  <si>
    <t>no age depth model</t>
  </si>
  <si>
    <t>Vestra Gislholtsvatn</t>
  </si>
  <si>
    <t>----</t>
  </si>
  <si>
    <t>min pollen count</t>
  </si>
  <si>
    <t>Vestra Gislhotlsvatn</t>
  </si>
  <si>
    <t>Veidivotn 1477</t>
  </si>
  <si>
    <t>no model</t>
  </si>
  <si>
    <t>Landnám layer/V950</t>
  </si>
  <si>
    <t>Katla N</t>
  </si>
  <si>
    <t>Hekla A</t>
  </si>
  <si>
    <t>Landnam layer</t>
  </si>
  <si>
    <t>Tjornin</t>
  </si>
  <si>
    <t>language</t>
  </si>
  <si>
    <t>Swedish</t>
  </si>
  <si>
    <t>Icelandic</t>
  </si>
  <si>
    <t>Eddudottir et al 2020</t>
  </si>
  <si>
    <t>Galtaból</t>
  </si>
  <si>
    <t>10.1016/j.quascirev.2020.106363</t>
  </si>
  <si>
    <t>Thorarinsson 1955</t>
  </si>
  <si>
    <t>Naustamyri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</si>
</sst>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4" borderId="1" xfId="0" applyFill="1" applyBorder="1"/>
    <xf numFmtId="0" fontId="0" fillId="0" borderId="2" xfId="0" applyFill="1" applyBorder="1"/>
    <xf numFmtId="0" fontId="0" fillId="5" borderId="1" xfId="0" applyFill="1" applyBorder="1"/>
    <xf numFmtId="0" fontId="0" fillId="5" borderId="0" xfId="0" applyFill="1"/>
    <xf numFmtId="0" fontId="0" fillId="0" borderId="3" xfId="0" applyFill="1" applyBorder="1"/>
    <xf numFmtId="0" fontId="0" fillId="2" borderId="1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7" workbookViewId="0">
      <selection activeCell="B1" sqref="B1:B1048576"/>
    </sheetView>
  </sheetViews>
  <sheetFormatPr defaultRowHeight="15" x14ac:dyDescent="0.25"/>
  <cols>
    <col min="1" max="1" width="12.5703125" bestFit="1" customWidth="1"/>
  </cols>
  <sheetData>
    <row r="1" spans="1:2" x14ac:dyDescent="0.25">
      <c r="A1" s="1" t="s">
        <v>29</v>
      </c>
      <c r="B1" s="1" t="s">
        <v>28</v>
      </c>
    </row>
    <row r="2" spans="1:2" x14ac:dyDescent="0.25">
      <c r="A2" t="s">
        <v>0</v>
      </c>
      <c r="B2" t="s">
        <v>22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3</v>
      </c>
      <c r="B5" t="s">
        <v>23</v>
      </c>
    </row>
    <row r="6" spans="1:2" x14ac:dyDescent="0.25">
      <c r="A6" t="s">
        <v>7</v>
      </c>
      <c r="B6" t="s">
        <v>24</v>
      </c>
    </row>
    <row r="7" spans="1:2" x14ac:dyDescent="0.25">
      <c r="A7" t="s">
        <v>8</v>
      </c>
      <c r="B7" t="s">
        <v>25</v>
      </c>
    </row>
    <row r="8" spans="1:2" x14ac:dyDescent="0.25">
      <c r="A8" t="s">
        <v>1</v>
      </c>
      <c r="B8" t="s">
        <v>26</v>
      </c>
    </row>
    <row r="9" spans="1:2" x14ac:dyDescent="0.25">
      <c r="A9" t="s">
        <v>2</v>
      </c>
      <c r="B9" t="s">
        <v>27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11</v>
      </c>
      <c r="B11" t="s">
        <v>161</v>
      </c>
    </row>
    <row r="12" spans="1:2" x14ac:dyDescent="0.25">
      <c r="A12" t="s">
        <v>10</v>
      </c>
      <c r="B12" t="s">
        <v>162</v>
      </c>
    </row>
    <row r="13" spans="1:2" s="3" customFormat="1" x14ac:dyDescent="0.25">
      <c r="A13" s="3" t="s">
        <v>156</v>
      </c>
      <c r="B13" s="3" t="s">
        <v>160</v>
      </c>
    </row>
    <row r="14" spans="1:2" x14ac:dyDescent="0.25">
      <c r="A14" t="s">
        <v>15</v>
      </c>
      <c r="B14" t="s">
        <v>148</v>
      </c>
    </row>
    <row r="15" spans="1:2" x14ac:dyDescent="0.25">
      <c r="A15" t="s">
        <v>12</v>
      </c>
      <c r="B15" t="s">
        <v>149</v>
      </c>
    </row>
    <row r="16" spans="1:2" x14ac:dyDescent="0.25">
      <c r="A16" t="s">
        <v>13</v>
      </c>
      <c r="B16" t="s">
        <v>150</v>
      </c>
    </row>
    <row r="17" spans="1:6" x14ac:dyDescent="0.25">
      <c r="A17" t="s">
        <v>14</v>
      </c>
      <c r="B17" t="s">
        <v>151</v>
      </c>
    </row>
    <row r="18" spans="1:6" s="3" customFormat="1" x14ac:dyDescent="0.25">
      <c r="A18" s="3" t="s">
        <v>152</v>
      </c>
      <c r="B18" s="3" t="s">
        <v>153</v>
      </c>
      <c r="F18" s="5"/>
    </row>
    <row r="19" spans="1:6" x14ac:dyDescent="0.25">
      <c r="A19" t="s">
        <v>16</v>
      </c>
      <c r="B19" t="s">
        <v>30</v>
      </c>
    </row>
    <row r="20" spans="1:6" x14ac:dyDescent="0.25">
      <c r="A20" t="s">
        <v>17</v>
      </c>
      <c r="B20" t="s">
        <v>31</v>
      </c>
    </row>
    <row r="21" spans="1:6" x14ac:dyDescent="0.25">
      <c r="A21" t="s">
        <v>18</v>
      </c>
      <c r="B21" t="s">
        <v>32</v>
      </c>
    </row>
    <row r="22" spans="1:6" x14ac:dyDescent="0.25">
      <c r="A22" t="s">
        <v>19</v>
      </c>
      <c r="B22" t="s">
        <v>33</v>
      </c>
    </row>
    <row r="23" spans="1:6" x14ac:dyDescent="0.25">
      <c r="A23" t="s">
        <v>20</v>
      </c>
      <c r="B23" t="s">
        <v>34</v>
      </c>
    </row>
    <row r="24" spans="1:6" x14ac:dyDescent="0.25">
      <c r="A24" t="s">
        <v>21</v>
      </c>
      <c r="B24" t="s">
        <v>35</v>
      </c>
    </row>
    <row r="25" spans="1:6" x14ac:dyDescent="0.25">
      <c r="A25" t="s">
        <v>48</v>
      </c>
      <c r="B25" t="s">
        <v>49</v>
      </c>
    </row>
    <row r="26" spans="1:6" x14ac:dyDescent="0.25">
      <c r="A26" t="s">
        <v>38</v>
      </c>
      <c r="B26" t="s">
        <v>36</v>
      </c>
    </row>
    <row r="27" spans="1:6" x14ac:dyDescent="0.25">
      <c r="A27" t="s">
        <v>5</v>
      </c>
      <c r="B27" t="s">
        <v>37</v>
      </c>
    </row>
    <row r="28" spans="1:6" x14ac:dyDescent="0.25">
      <c r="A28" t="s">
        <v>9</v>
      </c>
      <c r="B28" t="s">
        <v>39</v>
      </c>
    </row>
    <row r="29" spans="1:6" x14ac:dyDescent="0.25">
      <c r="A29" t="s">
        <v>4</v>
      </c>
      <c r="B29" t="s">
        <v>40</v>
      </c>
    </row>
    <row r="30" spans="1:6" x14ac:dyDescent="0.25">
      <c r="A30" t="s">
        <v>6</v>
      </c>
      <c r="B30" t="s">
        <v>41</v>
      </c>
    </row>
    <row r="31" spans="1:6" x14ac:dyDescent="0.25">
      <c r="A31" t="s">
        <v>42</v>
      </c>
      <c r="B31" t="s">
        <v>44</v>
      </c>
    </row>
    <row r="32" spans="1:6" x14ac:dyDescent="0.25">
      <c r="A32" t="s">
        <v>43</v>
      </c>
      <c r="B32" t="s">
        <v>45</v>
      </c>
    </row>
    <row r="33" spans="1:2" x14ac:dyDescent="0.25">
      <c r="A33" t="s">
        <v>52</v>
      </c>
      <c r="B33" t="s">
        <v>56</v>
      </c>
    </row>
    <row r="34" spans="1:2" x14ac:dyDescent="0.25">
      <c r="A34" t="s">
        <v>53</v>
      </c>
      <c r="B34" t="s">
        <v>57</v>
      </c>
    </row>
    <row r="35" spans="1:2" x14ac:dyDescent="0.25">
      <c r="A35" t="s">
        <v>54</v>
      </c>
      <c r="B35" t="s">
        <v>58</v>
      </c>
    </row>
    <row r="36" spans="1:2" x14ac:dyDescent="0.25">
      <c r="A36" t="s">
        <v>55</v>
      </c>
      <c r="B36" t="s">
        <v>59</v>
      </c>
    </row>
    <row r="37" spans="1:2" x14ac:dyDescent="0.25">
      <c r="A37" t="s">
        <v>60</v>
      </c>
      <c r="B37" t="s">
        <v>61</v>
      </c>
    </row>
    <row r="38" spans="1:2" x14ac:dyDescent="0.25">
      <c r="A38" t="s">
        <v>50</v>
      </c>
      <c r="B38" t="s">
        <v>51</v>
      </c>
    </row>
  </sheetData>
  <autoFilter ref="A1:B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A69" sqref="A69"/>
    </sheetView>
  </sheetViews>
  <sheetFormatPr defaultRowHeight="15" x14ac:dyDescent="0.25"/>
  <cols>
    <col min="1" max="1" width="9.140625" style="3"/>
    <col min="2" max="2" width="16" bestFit="1" customWidth="1"/>
    <col min="3" max="3" width="18.7109375" bestFit="1" customWidth="1"/>
    <col min="4" max="4" width="13" customWidth="1"/>
    <col min="5" max="6" width="13" style="3" customWidth="1"/>
    <col min="7" max="7" width="30.85546875" bestFit="1" customWidth="1"/>
    <col min="8" max="8" width="17.28515625" style="8" bestFit="1" customWidth="1"/>
    <col min="9" max="9" width="11.7109375" style="8" bestFit="1" customWidth="1"/>
    <col min="10" max="10" width="9.140625" style="8"/>
    <col min="11" max="11" width="25.5703125" style="8" bestFit="1" customWidth="1"/>
    <col min="12" max="12" width="18.5703125" bestFit="1" customWidth="1"/>
    <col min="13" max="13" width="7.7109375" customWidth="1"/>
    <col min="15" max="15" width="13.85546875" bestFit="1" customWidth="1"/>
    <col min="16" max="16" width="17.5703125" bestFit="1" customWidth="1"/>
  </cols>
  <sheetData>
    <row r="1" spans="1:16" x14ac:dyDescent="0.25">
      <c r="A1" s="3" t="s">
        <v>320</v>
      </c>
      <c r="B1" t="s">
        <v>288</v>
      </c>
      <c r="C1" t="s">
        <v>306</v>
      </c>
      <c r="D1" t="s">
        <v>307</v>
      </c>
      <c r="E1" s="3" t="s">
        <v>327</v>
      </c>
      <c r="F1" s="3" t="s">
        <v>328</v>
      </c>
      <c r="G1" t="s">
        <v>308</v>
      </c>
      <c r="H1" s="8" t="s">
        <v>310</v>
      </c>
      <c r="I1" s="8" t="s">
        <v>377</v>
      </c>
      <c r="J1" s="8" t="s">
        <v>312</v>
      </c>
      <c r="K1" s="8" t="s">
        <v>291</v>
      </c>
      <c r="L1" s="9" t="s">
        <v>326</v>
      </c>
      <c r="M1" s="9" t="s">
        <v>319</v>
      </c>
      <c r="N1" s="12" t="s">
        <v>291</v>
      </c>
      <c r="O1" s="12" t="s">
        <v>390</v>
      </c>
      <c r="P1" s="12" t="s">
        <v>391</v>
      </c>
    </row>
    <row r="2" spans="1:16" x14ac:dyDescent="0.25">
      <c r="A2" s="3">
        <v>1</v>
      </c>
      <c r="B2" s="11" t="s">
        <v>224</v>
      </c>
      <c r="C2">
        <v>11</v>
      </c>
      <c r="D2">
        <v>4</v>
      </c>
      <c r="E2" s="3" t="s">
        <v>315</v>
      </c>
      <c r="F2" s="3" t="s">
        <v>315</v>
      </c>
      <c r="G2" t="s">
        <v>309</v>
      </c>
      <c r="H2" s="10" t="s">
        <v>311</v>
      </c>
      <c r="I2" s="10">
        <v>3000</v>
      </c>
      <c r="J2" s="10">
        <v>34</v>
      </c>
      <c r="K2" s="10"/>
      <c r="L2" t="s">
        <v>309</v>
      </c>
      <c r="M2">
        <f>1000/((3000-233)/4)</f>
        <v>1.4456089627755693</v>
      </c>
      <c r="O2">
        <v>0</v>
      </c>
      <c r="P2">
        <v>3450</v>
      </c>
    </row>
    <row r="3" spans="1:16" x14ac:dyDescent="0.25">
      <c r="A3" s="3">
        <v>1</v>
      </c>
      <c r="B3" s="11" t="s">
        <v>224</v>
      </c>
      <c r="H3" s="10" t="s">
        <v>313</v>
      </c>
      <c r="I3" s="10" t="s">
        <v>315</v>
      </c>
      <c r="J3" s="10" t="s">
        <v>315</v>
      </c>
      <c r="K3" s="10" t="s">
        <v>314</v>
      </c>
    </row>
    <row r="4" spans="1:16" x14ac:dyDescent="0.25">
      <c r="A4" s="3">
        <v>1</v>
      </c>
      <c r="B4" s="11" t="s">
        <v>224</v>
      </c>
      <c r="H4" s="10" t="s">
        <v>317</v>
      </c>
      <c r="I4" s="10">
        <f>1950-1477</f>
        <v>473</v>
      </c>
      <c r="J4" s="10">
        <v>0</v>
      </c>
      <c r="K4" s="10" t="s">
        <v>316</v>
      </c>
    </row>
    <row r="5" spans="1:16" x14ac:dyDescent="0.25">
      <c r="A5" s="3">
        <v>1</v>
      </c>
      <c r="B5" s="11" t="s">
        <v>224</v>
      </c>
      <c r="H5" s="10" t="s">
        <v>318</v>
      </c>
      <c r="I5" s="10">
        <f>1950-1717</f>
        <v>233</v>
      </c>
      <c r="J5" s="10">
        <v>0</v>
      </c>
      <c r="K5" s="10" t="s">
        <v>316</v>
      </c>
    </row>
    <row r="6" spans="1:16" x14ac:dyDescent="0.25">
      <c r="A6" s="3">
        <v>2</v>
      </c>
      <c r="B6" s="3" t="s">
        <v>279</v>
      </c>
      <c r="C6">
        <v>14</v>
      </c>
      <c r="D6">
        <v>6</v>
      </c>
      <c r="E6" s="3">
        <v>8</v>
      </c>
      <c r="F6" s="3">
        <v>0</v>
      </c>
      <c r="G6" t="s">
        <v>331</v>
      </c>
      <c r="H6" s="8" t="s">
        <v>321</v>
      </c>
      <c r="I6" s="8">
        <v>1250</v>
      </c>
      <c r="L6" t="s">
        <v>309</v>
      </c>
      <c r="M6">
        <f>1000/(1175/6)</f>
        <v>5.1063829787234036</v>
      </c>
      <c r="O6">
        <v>0</v>
      </c>
      <c r="P6">
        <v>1756</v>
      </c>
    </row>
    <row r="7" spans="1:16" x14ac:dyDescent="0.25">
      <c r="A7" s="3">
        <v>2</v>
      </c>
      <c r="B7" s="3" t="s">
        <v>279</v>
      </c>
      <c r="H7" s="8" t="s">
        <v>322</v>
      </c>
      <c r="J7" s="8">
        <v>15</v>
      </c>
    </row>
    <row r="8" spans="1:16" x14ac:dyDescent="0.25">
      <c r="A8" s="3">
        <v>2</v>
      </c>
      <c r="B8" s="3" t="s">
        <v>279</v>
      </c>
      <c r="H8" s="8" t="s">
        <v>323</v>
      </c>
      <c r="I8" s="8">
        <f>1950-1262</f>
        <v>688</v>
      </c>
    </row>
    <row r="9" spans="1:16" x14ac:dyDescent="0.25">
      <c r="A9" s="3">
        <v>2</v>
      </c>
      <c r="B9" s="3" t="s">
        <v>279</v>
      </c>
      <c r="H9" s="8" t="s">
        <v>324</v>
      </c>
      <c r="I9" s="8">
        <v>588</v>
      </c>
    </row>
    <row r="10" spans="1:16" x14ac:dyDescent="0.25">
      <c r="A10" s="3">
        <v>2</v>
      </c>
      <c r="B10" s="3" t="s">
        <v>279</v>
      </c>
      <c r="H10" s="8" t="s">
        <v>317</v>
      </c>
      <c r="I10" s="8">
        <f>1950-1477</f>
        <v>473</v>
      </c>
      <c r="J10" s="8">
        <v>0</v>
      </c>
      <c r="K10" s="8" t="s">
        <v>316</v>
      </c>
    </row>
    <row r="11" spans="1:16" x14ac:dyDescent="0.25">
      <c r="A11" s="3">
        <v>2</v>
      </c>
      <c r="B11" s="3" t="s">
        <v>279</v>
      </c>
      <c r="H11" s="8" t="s">
        <v>325</v>
      </c>
      <c r="I11" s="8">
        <v>75</v>
      </c>
      <c r="K11" s="8" t="s">
        <v>316</v>
      </c>
    </row>
    <row r="12" spans="1:16" x14ac:dyDescent="0.25">
      <c r="A12" s="3">
        <v>3</v>
      </c>
      <c r="B12" s="11" t="s">
        <v>223</v>
      </c>
      <c r="C12">
        <v>2</v>
      </c>
      <c r="D12">
        <v>2</v>
      </c>
      <c r="E12" s="3">
        <v>7</v>
      </c>
      <c r="F12" s="3">
        <v>0</v>
      </c>
      <c r="G12" t="s">
        <v>309</v>
      </c>
      <c r="H12" s="10" t="s">
        <v>330</v>
      </c>
      <c r="I12" s="10">
        <v>2950</v>
      </c>
      <c r="J12" s="10">
        <v>45</v>
      </c>
      <c r="K12" s="10"/>
      <c r="L12" t="s">
        <v>309</v>
      </c>
      <c r="M12">
        <f>1000/((2950-1073)/2)</f>
        <v>1.0655301012253595</v>
      </c>
      <c r="O12">
        <v>50</v>
      </c>
      <c r="P12">
        <v>2950</v>
      </c>
    </row>
    <row r="13" spans="1:16" x14ac:dyDescent="0.25">
      <c r="A13" s="3">
        <v>3</v>
      </c>
      <c r="B13" s="11" t="s">
        <v>223</v>
      </c>
      <c r="H13" s="10" t="s">
        <v>329</v>
      </c>
      <c r="I13" s="10">
        <v>1073</v>
      </c>
      <c r="J13" s="10">
        <v>2</v>
      </c>
      <c r="K13" s="10"/>
    </row>
    <row r="14" spans="1:16" x14ac:dyDescent="0.25">
      <c r="A14" s="3">
        <v>4</v>
      </c>
      <c r="B14" t="s">
        <v>232</v>
      </c>
      <c r="C14">
        <v>9</v>
      </c>
      <c r="D14">
        <v>9</v>
      </c>
      <c r="E14" s="3">
        <v>8</v>
      </c>
      <c r="F14" s="3">
        <v>5</v>
      </c>
      <c r="G14" t="s">
        <v>333</v>
      </c>
      <c r="H14" s="8" t="s">
        <v>334</v>
      </c>
      <c r="I14" s="8">
        <v>10300</v>
      </c>
      <c r="L14" t="s">
        <v>342</v>
      </c>
      <c r="M14">
        <f>1000/(9650/14)</f>
        <v>1.4507772020725387</v>
      </c>
      <c r="O14">
        <v>0</v>
      </c>
      <c r="P14">
        <v>10300</v>
      </c>
    </row>
    <row r="15" spans="1:16" x14ac:dyDescent="0.25">
      <c r="A15" s="3">
        <v>4</v>
      </c>
      <c r="B15" s="3" t="s">
        <v>232</v>
      </c>
      <c r="H15" s="8" t="s">
        <v>336</v>
      </c>
      <c r="I15" s="8">
        <v>7070</v>
      </c>
      <c r="K15" s="8" t="s">
        <v>70</v>
      </c>
    </row>
    <row r="16" spans="1:16" x14ac:dyDescent="0.25">
      <c r="A16" s="3">
        <v>4</v>
      </c>
      <c r="B16" s="3" t="s">
        <v>232</v>
      </c>
      <c r="H16" s="8" t="s">
        <v>338</v>
      </c>
    </row>
    <row r="17" spans="1:17" x14ac:dyDescent="0.25">
      <c r="A17" s="3">
        <v>4</v>
      </c>
      <c r="B17" s="3" t="s">
        <v>232</v>
      </c>
      <c r="H17" s="8" t="s">
        <v>337</v>
      </c>
    </row>
    <row r="18" spans="1:17" x14ac:dyDescent="0.25">
      <c r="A18" s="3">
        <v>4</v>
      </c>
      <c r="B18" s="3" t="s">
        <v>232</v>
      </c>
      <c r="H18" s="8" t="s">
        <v>335</v>
      </c>
      <c r="J18" s="8">
        <v>59</v>
      </c>
      <c r="K18" s="8" t="s">
        <v>70</v>
      </c>
    </row>
    <row r="19" spans="1:17" x14ac:dyDescent="0.25">
      <c r="A19" s="3">
        <v>4</v>
      </c>
      <c r="B19" s="3" t="s">
        <v>232</v>
      </c>
      <c r="H19" s="8" t="s">
        <v>339</v>
      </c>
    </row>
    <row r="20" spans="1:17" x14ac:dyDescent="0.25">
      <c r="A20" s="3">
        <v>4</v>
      </c>
      <c r="B20" s="3" t="s">
        <v>232</v>
      </c>
      <c r="H20" s="8" t="s">
        <v>311</v>
      </c>
    </row>
    <row r="21" spans="1:17" x14ac:dyDescent="0.25">
      <c r="A21" s="3">
        <v>4</v>
      </c>
      <c r="B21" s="3" t="s">
        <v>232</v>
      </c>
      <c r="H21" s="8" t="s">
        <v>340</v>
      </c>
    </row>
    <row r="22" spans="1:17" x14ac:dyDescent="0.25">
      <c r="A22" s="3">
        <v>4</v>
      </c>
      <c r="B22" s="3" t="s">
        <v>232</v>
      </c>
      <c r="H22" s="8" t="s">
        <v>341</v>
      </c>
      <c r="I22" s="8">
        <v>650</v>
      </c>
    </row>
    <row r="23" spans="1:17" x14ac:dyDescent="0.25">
      <c r="A23" s="3">
        <v>5</v>
      </c>
      <c r="B23" s="11" t="s">
        <v>192</v>
      </c>
      <c r="C23">
        <v>2</v>
      </c>
      <c r="D23">
        <v>2</v>
      </c>
      <c r="G23" t="s">
        <v>331</v>
      </c>
      <c r="H23" s="10" t="s">
        <v>311</v>
      </c>
      <c r="I23" s="10">
        <v>3000</v>
      </c>
      <c r="J23" s="10">
        <v>34</v>
      </c>
      <c r="K23" s="10" t="s">
        <v>370</v>
      </c>
      <c r="L23" t="s">
        <v>309</v>
      </c>
      <c r="M23">
        <f>1000/((3000-1073)/2)</f>
        <v>1.0378827192527245</v>
      </c>
      <c r="O23">
        <v>0</v>
      </c>
      <c r="P23">
        <v>7000</v>
      </c>
      <c r="Q23" t="s">
        <v>392</v>
      </c>
    </row>
    <row r="24" spans="1:17" x14ac:dyDescent="0.25">
      <c r="A24" s="3">
        <v>5</v>
      </c>
      <c r="B24" s="11" t="s">
        <v>192</v>
      </c>
      <c r="H24" s="10" t="s">
        <v>329</v>
      </c>
      <c r="I24" s="10">
        <v>1073</v>
      </c>
      <c r="J24" s="10"/>
      <c r="K24" s="10"/>
      <c r="O24">
        <v>0</v>
      </c>
      <c r="P24">
        <v>9000</v>
      </c>
      <c r="Q24" t="s">
        <v>393</v>
      </c>
    </row>
    <row r="25" spans="1:17" x14ac:dyDescent="0.25">
      <c r="A25" s="3">
        <v>6</v>
      </c>
      <c r="B25" s="4" t="s">
        <v>112</v>
      </c>
      <c r="C25">
        <v>5</v>
      </c>
      <c r="D25">
        <v>5</v>
      </c>
      <c r="H25" s="8" t="s">
        <v>329</v>
      </c>
      <c r="I25" s="8">
        <v>1073</v>
      </c>
      <c r="L25" t="s">
        <v>309</v>
      </c>
      <c r="M25" s="3">
        <f>1000/((1073-32)/5)</f>
        <v>4.8030739673390972</v>
      </c>
      <c r="O25">
        <v>0</v>
      </c>
      <c r="P25" t="s">
        <v>394</v>
      </c>
    </row>
    <row r="26" spans="1:17" x14ac:dyDescent="0.25">
      <c r="A26" s="3">
        <v>6</v>
      </c>
      <c r="B26" s="4" t="s">
        <v>112</v>
      </c>
      <c r="H26" s="8" t="s">
        <v>374</v>
      </c>
      <c r="I26" s="8">
        <v>950</v>
      </c>
    </row>
    <row r="27" spans="1:17" x14ac:dyDescent="0.25">
      <c r="A27" s="3">
        <v>6</v>
      </c>
      <c r="B27" s="4" t="s">
        <v>112</v>
      </c>
      <c r="H27" s="8" t="s">
        <v>375</v>
      </c>
      <c r="I27" s="8">
        <v>257</v>
      </c>
    </row>
    <row r="28" spans="1:17" x14ac:dyDescent="0.25">
      <c r="A28" s="3">
        <v>6</v>
      </c>
      <c r="B28" s="4" t="s">
        <v>112</v>
      </c>
      <c r="H28" s="8" t="s">
        <v>376</v>
      </c>
      <c r="I28" s="8">
        <v>229</v>
      </c>
    </row>
    <row r="29" spans="1:17" x14ac:dyDescent="0.25">
      <c r="A29" s="3">
        <v>6</v>
      </c>
      <c r="B29" s="4" t="s">
        <v>112</v>
      </c>
      <c r="H29" s="8" t="s">
        <v>373</v>
      </c>
      <c r="I29" s="8">
        <v>32</v>
      </c>
    </row>
    <row r="30" spans="1:17" x14ac:dyDescent="0.25">
      <c r="A30" s="3">
        <v>7</v>
      </c>
      <c r="B30" s="11" t="s">
        <v>191</v>
      </c>
      <c r="C30">
        <v>12</v>
      </c>
      <c r="D30">
        <v>12</v>
      </c>
      <c r="G30" t="s">
        <v>331</v>
      </c>
      <c r="H30" s="10" t="s">
        <v>311</v>
      </c>
      <c r="I30" s="10">
        <v>3000</v>
      </c>
      <c r="J30" s="10"/>
      <c r="K30" s="10" t="s">
        <v>370</v>
      </c>
      <c r="L30" s="9" t="s">
        <v>309</v>
      </c>
      <c r="M30">
        <f>1000/((3000-32)/12)</f>
        <v>4.0431266846361185</v>
      </c>
      <c r="O30">
        <v>0</v>
      </c>
      <c r="P30">
        <v>3000</v>
      </c>
    </row>
    <row r="31" spans="1:17" x14ac:dyDescent="0.25">
      <c r="A31" s="3">
        <v>7</v>
      </c>
      <c r="B31" s="11" t="s">
        <v>191</v>
      </c>
      <c r="H31" s="10" t="s">
        <v>329</v>
      </c>
      <c r="I31" s="10">
        <v>1073</v>
      </c>
      <c r="J31" s="10"/>
      <c r="K31" s="10"/>
      <c r="M31" s="3">
        <f>1000/((1079-32)/11)</f>
        <v>10.506208213944603</v>
      </c>
      <c r="N31" t="s">
        <v>384</v>
      </c>
    </row>
    <row r="32" spans="1:17" x14ac:dyDescent="0.25">
      <c r="A32" s="3">
        <v>7</v>
      </c>
      <c r="B32" s="11" t="s">
        <v>191</v>
      </c>
      <c r="H32" s="10" t="s">
        <v>374</v>
      </c>
      <c r="I32" s="10">
        <v>950</v>
      </c>
      <c r="J32" s="10"/>
      <c r="K32" s="10"/>
    </row>
    <row r="33" spans="1:16" x14ac:dyDescent="0.25">
      <c r="A33" s="3">
        <v>7</v>
      </c>
      <c r="B33" s="11" t="s">
        <v>191</v>
      </c>
      <c r="H33" s="10" t="s">
        <v>340</v>
      </c>
      <c r="I33" s="10"/>
      <c r="J33" s="10"/>
      <c r="K33" s="10"/>
    </row>
    <row r="34" spans="1:16" x14ac:dyDescent="0.25">
      <c r="A34" s="3">
        <v>7</v>
      </c>
      <c r="B34" s="11" t="s">
        <v>191</v>
      </c>
      <c r="H34" s="10" t="s">
        <v>378</v>
      </c>
      <c r="I34" s="10"/>
      <c r="J34" s="10"/>
      <c r="K34" s="10"/>
    </row>
    <row r="35" spans="1:16" x14ac:dyDescent="0.25">
      <c r="A35" s="3">
        <v>7</v>
      </c>
      <c r="B35" s="11" t="s">
        <v>191</v>
      </c>
      <c r="H35" s="10" t="s">
        <v>379</v>
      </c>
      <c r="I35" s="10"/>
      <c r="J35" s="10"/>
      <c r="K35" s="10" t="s">
        <v>383</v>
      </c>
    </row>
    <row r="36" spans="1:16" x14ac:dyDescent="0.25">
      <c r="A36" s="3">
        <v>7</v>
      </c>
      <c r="B36" s="11" t="s">
        <v>191</v>
      </c>
      <c r="H36" s="10" t="s">
        <v>380</v>
      </c>
      <c r="I36" s="10"/>
      <c r="J36" s="10"/>
      <c r="K36" s="10"/>
    </row>
    <row r="37" spans="1:16" x14ac:dyDescent="0.25">
      <c r="A37" s="3">
        <v>7</v>
      </c>
      <c r="B37" s="11" t="s">
        <v>191</v>
      </c>
      <c r="H37" s="10" t="s">
        <v>375</v>
      </c>
      <c r="I37" s="10"/>
      <c r="J37" s="10"/>
      <c r="K37" s="10"/>
    </row>
    <row r="38" spans="1:16" x14ac:dyDescent="0.25">
      <c r="A38" s="3">
        <v>7</v>
      </c>
      <c r="B38" s="11" t="s">
        <v>191</v>
      </c>
      <c r="H38" s="10" t="s">
        <v>376</v>
      </c>
      <c r="I38" s="10"/>
      <c r="J38" s="10"/>
      <c r="K38" s="10"/>
    </row>
    <row r="39" spans="1:16" x14ac:dyDescent="0.25">
      <c r="A39" s="3">
        <v>7</v>
      </c>
      <c r="B39" s="11" t="s">
        <v>191</v>
      </c>
      <c r="H39" s="10" t="s">
        <v>381</v>
      </c>
      <c r="I39" s="10"/>
      <c r="J39" s="10"/>
      <c r="K39" s="10"/>
    </row>
    <row r="40" spans="1:16" x14ac:dyDescent="0.25">
      <c r="A40" s="3">
        <v>7</v>
      </c>
      <c r="B40" s="11" t="s">
        <v>191</v>
      </c>
      <c r="H40" s="10" t="s">
        <v>382</v>
      </c>
      <c r="I40" s="10"/>
      <c r="J40" s="10"/>
      <c r="K40" s="10"/>
    </row>
    <row r="41" spans="1:16" x14ac:dyDescent="0.25">
      <c r="A41" s="3">
        <v>7</v>
      </c>
      <c r="B41" s="11" t="s">
        <v>191</v>
      </c>
      <c r="H41" s="10" t="s">
        <v>373</v>
      </c>
      <c r="I41" s="10">
        <v>32</v>
      </c>
      <c r="J41" s="10"/>
      <c r="K41" s="10"/>
    </row>
    <row r="42" spans="1:16" x14ac:dyDescent="0.25">
      <c r="A42" s="3">
        <v>8</v>
      </c>
      <c r="B42" s="4" t="s">
        <v>194</v>
      </c>
      <c r="C42">
        <v>3</v>
      </c>
      <c r="D42">
        <v>3</v>
      </c>
      <c r="G42" t="s">
        <v>331</v>
      </c>
      <c r="H42" s="8" t="s">
        <v>329</v>
      </c>
      <c r="I42" s="8">
        <v>1073</v>
      </c>
      <c r="L42" t="s">
        <v>309</v>
      </c>
      <c r="M42">
        <f>1000/((1073-465)/3)</f>
        <v>4.9342105263157894</v>
      </c>
      <c r="O42">
        <v>0</v>
      </c>
      <c r="P42" t="s">
        <v>394</v>
      </c>
    </row>
    <row r="43" spans="1:16" x14ac:dyDescent="0.25">
      <c r="A43" s="3">
        <v>8</v>
      </c>
      <c r="B43" s="4" t="s">
        <v>194</v>
      </c>
      <c r="H43" s="8" t="s">
        <v>385</v>
      </c>
      <c r="I43" s="8">
        <v>724</v>
      </c>
      <c r="K43" s="8" t="s">
        <v>386</v>
      </c>
    </row>
    <row r="44" spans="1:16" x14ac:dyDescent="0.25">
      <c r="A44" s="3">
        <v>8</v>
      </c>
      <c r="B44" s="4" t="s">
        <v>194</v>
      </c>
      <c r="H44" s="8" t="s">
        <v>379</v>
      </c>
      <c r="I44" s="8">
        <v>465</v>
      </c>
    </row>
    <row r="45" spans="1:16" x14ac:dyDescent="0.25">
      <c r="A45" s="3">
        <v>9</v>
      </c>
      <c r="B45" s="11" t="s">
        <v>195</v>
      </c>
      <c r="C45">
        <v>3</v>
      </c>
      <c r="D45">
        <v>3</v>
      </c>
      <c r="G45" s="3" t="s">
        <v>331</v>
      </c>
      <c r="H45" s="10" t="s">
        <v>329</v>
      </c>
      <c r="I45" s="10">
        <v>1073</v>
      </c>
      <c r="J45" s="10"/>
      <c r="K45" s="10"/>
      <c r="L45" s="3" t="s">
        <v>309</v>
      </c>
      <c r="M45" s="3">
        <f>1000/((1073-465)/3)</f>
        <v>4.9342105263157894</v>
      </c>
      <c r="O45">
        <v>0</v>
      </c>
      <c r="P45" t="s">
        <v>394</v>
      </c>
    </row>
    <row r="46" spans="1:16" x14ac:dyDescent="0.25">
      <c r="A46" s="3">
        <v>9</v>
      </c>
      <c r="B46" s="11" t="s">
        <v>195</v>
      </c>
      <c r="G46" s="3"/>
      <c r="H46" s="10" t="s">
        <v>385</v>
      </c>
      <c r="I46" s="10">
        <v>724</v>
      </c>
      <c r="J46" s="10"/>
      <c r="K46" s="10" t="s">
        <v>386</v>
      </c>
      <c r="L46" s="3"/>
      <c r="M46" s="3"/>
    </row>
    <row r="47" spans="1:16" x14ac:dyDescent="0.25">
      <c r="A47" s="3">
        <v>9</v>
      </c>
      <c r="B47" s="11" t="s">
        <v>195</v>
      </c>
      <c r="G47" s="3"/>
      <c r="H47" s="10" t="s">
        <v>379</v>
      </c>
      <c r="I47" s="10">
        <v>465</v>
      </c>
      <c r="J47" s="10"/>
      <c r="K47" s="10"/>
      <c r="L47" s="3"/>
      <c r="M47" s="3"/>
    </row>
    <row r="48" spans="1:16" x14ac:dyDescent="0.25">
      <c r="A48" s="3">
        <v>10</v>
      </c>
      <c r="B48" s="4" t="s">
        <v>106</v>
      </c>
      <c r="G48" t="s">
        <v>333</v>
      </c>
      <c r="H48" s="8" t="s">
        <v>336</v>
      </c>
      <c r="I48" s="8">
        <v>7070</v>
      </c>
      <c r="L48" t="s">
        <v>400</v>
      </c>
      <c r="M48">
        <f>1000/((7070-325)/8)</f>
        <v>1.1860637509266123</v>
      </c>
      <c r="O48">
        <v>0</v>
      </c>
      <c r="P48">
        <v>7070</v>
      </c>
    </row>
    <row r="49" spans="1:13" x14ac:dyDescent="0.25">
      <c r="A49" s="3">
        <v>10</v>
      </c>
      <c r="B49" s="4" t="s">
        <v>106</v>
      </c>
      <c r="H49" s="8" t="s">
        <v>339</v>
      </c>
      <c r="M49" s="3"/>
    </row>
    <row r="50" spans="1:13" x14ac:dyDescent="0.25">
      <c r="A50" s="3">
        <v>10</v>
      </c>
      <c r="B50" s="4" t="s">
        <v>106</v>
      </c>
      <c r="H50" s="8" t="s">
        <v>396</v>
      </c>
      <c r="M50" s="3"/>
    </row>
    <row r="51" spans="1:13" x14ac:dyDescent="0.25">
      <c r="A51" s="3">
        <v>10</v>
      </c>
      <c r="B51" s="4" t="s">
        <v>106</v>
      </c>
      <c r="H51" s="8" t="s">
        <v>311</v>
      </c>
      <c r="M51" s="3"/>
    </row>
    <row r="52" spans="1:13" x14ac:dyDescent="0.25">
      <c r="A52" s="3">
        <v>10</v>
      </c>
      <c r="B52" s="4" t="s">
        <v>106</v>
      </c>
      <c r="H52" s="8" t="s">
        <v>397</v>
      </c>
      <c r="M52" s="3"/>
    </row>
    <row r="53" spans="1:13" x14ac:dyDescent="0.25">
      <c r="A53" s="3">
        <v>10</v>
      </c>
      <c r="B53" s="4" t="s">
        <v>106</v>
      </c>
      <c r="H53" s="8" t="s">
        <v>398</v>
      </c>
      <c r="M53" s="3"/>
    </row>
    <row r="54" spans="1:13" x14ac:dyDescent="0.25">
      <c r="A54" s="3">
        <v>10</v>
      </c>
      <c r="B54" s="4" t="s">
        <v>106</v>
      </c>
      <c r="H54" s="8" t="s">
        <v>329</v>
      </c>
      <c r="M54" s="3"/>
    </row>
    <row r="55" spans="1:13" x14ac:dyDescent="0.25">
      <c r="A55" s="3">
        <v>10</v>
      </c>
      <c r="B55" s="4" t="s">
        <v>106</v>
      </c>
      <c r="H55" s="8" t="s">
        <v>399</v>
      </c>
      <c r="I55" s="8">
        <v>325</v>
      </c>
      <c r="M55" s="3"/>
    </row>
    <row r="56" spans="1:13" s="2" customFormat="1" x14ac:dyDescent="0.25">
      <c r="A56" s="2">
        <v>11</v>
      </c>
      <c r="B56" s="2" t="s">
        <v>401</v>
      </c>
      <c r="H56" s="13"/>
      <c r="I56" s="13"/>
      <c r="J56" s="13"/>
      <c r="K56" s="13"/>
      <c r="M56" s="3"/>
    </row>
    <row r="57" spans="1:13" x14ac:dyDescent="0.25">
      <c r="A57" s="3">
        <v>12</v>
      </c>
      <c r="B57" s="11" t="s">
        <v>405</v>
      </c>
      <c r="C57">
        <v>3</v>
      </c>
      <c r="D57">
        <v>3</v>
      </c>
      <c r="G57" t="s">
        <v>407</v>
      </c>
      <c r="H57" s="10" t="s">
        <v>311</v>
      </c>
      <c r="I57" s="10">
        <v>3000</v>
      </c>
      <c r="J57" s="10"/>
      <c r="K57" s="10"/>
      <c r="L57" t="s">
        <v>413</v>
      </c>
      <c r="M57" s="3">
        <f>1000/((3000-473)/3)</f>
        <v>1.187178472497032</v>
      </c>
    </row>
    <row r="58" spans="1:13" x14ac:dyDescent="0.25">
      <c r="A58" s="3">
        <v>12</v>
      </c>
      <c r="B58" s="11" t="s">
        <v>405</v>
      </c>
      <c r="H58" s="10" t="s">
        <v>414</v>
      </c>
      <c r="I58" s="10">
        <v>1073</v>
      </c>
      <c r="J58" s="10"/>
      <c r="K58" s="10"/>
    </row>
    <row r="59" spans="1:13" x14ac:dyDescent="0.25">
      <c r="A59" s="3">
        <v>12</v>
      </c>
      <c r="B59" s="11" t="s">
        <v>405</v>
      </c>
      <c r="H59" s="10" t="s">
        <v>412</v>
      </c>
      <c r="I59" s="10">
        <v>473</v>
      </c>
      <c r="J59" s="10"/>
      <c r="K59" s="10"/>
    </row>
    <row r="60" spans="1:13" x14ac:dyDescent="0.25">
      <c r="A60" s="3">
        <v>13</v>
      </c>
      <c r="B60" s="4" t="s">
        <v>411</v>
      </c>
      <c r="C60">
        <v>6</v>
      </c>
      <c r="D60">
        <v>5</v>
      </c>
      <c r="H60" s="8" t="s">
        <v>339</v>
      </c>
      <c r="I60" s="8">
        <v>4200</v>
      </c>
      <c r="L60" t="s">
        <v>413</v>
      </c>
      <c r="M60" s="3">
        <f>1000/((4200-1073)/5)</f>
        <v>1.598976654940838</v>
      </c>
    </row>
    <row r="61" spans="1:13" x14ac:dyDescent="0.25">
      <c r="A61" s="3">
        <v>13</v>
      </c>
      <c r="B61" s="4" t="s">
        <v>411</v>
      </c>
      <c r="H61" s="8" t="s">
        <v>415</v>
      </c>
    </row>
    <row r="62" spans="1:13" x14ac:dyDescent="0.25">
      <c r="A62" s="3">
        <v>13</v>
      </c>
      <c r="B62" s="4" t="s">
        <v>411</v>
      </c>
      <c r="H62" s="8" t="s">
        <v>330</v>
      </c>
    </row>
    <row r="63" spans="1:13" x14ac:dyDescent="0.25">
      <c r="A63" s="3">
        <v>13</v>
      </c>
      <c r="B63" s="4" t="s">
        <v>411</v>
      </c>
      <c r="H63" s="8" t="s">
        <v>416</v>
      </c>
    </row>
    <row r="64" spans="1:13" x14ac:dyDescent="0.25">
      <c r="A64" s="3">
        <v>13</v>
      </c>
      <c r="B64" s="4" t="s">
        <v>411</v>
      </c>
      <c r="H64" s="8" t="s">
        <v>417</v>
      </c>
      <c r="I64" s="8">
        <v>1073</v>
      </c>
    </row>
    <row r="65" spans="1:13" x14ac:dyDescent="0.25">
      <c r="A65" s="3">
        <v>14</v>
      </c>
      <c r="B65" s="4" t="s">
        <v>418</v>
      </c>
      <c r="H65" s="10" t="s">
        <v>417</v>
      </c>
      <c r="I65" s="10">
        <v>1073</v>
      </c>
      <c r="J65" s="10"/>
      <c r="K65" s="10"/>
      <c r="M65">
        <f>1000/((1073-624)/2)</f>
        <v>4.4543429844097995</v>
      </c>
    </row>
    <row r="66" spans="1:13" x14ac:dyDescent="0.25">
      <c r="A66" s="3">
        <v>14</v>
      </c>
      <c r="B66" s="4" t="s">
        <v>418</v>
      </c>
      <c r="H66" s="10" t="s">
        <v>385</v>
      </c>
      <c r="I66" s="10">
        <v>724</v>
      </c>
      <c r="J66" s="10"/>
      <c r="K66" s="10"/>
    </row>
    <row r="67" spans="1:13" x14ac:dyDescent="0.25">
      <c r="A67" s="3">
        <v>15</v>
      </c>
    </row>
    <row r="68" spans="1:13" x14ac:dyDescent="0.25">
      <c r="A68" s="3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5" sqref="D5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15.42578125" bestFit="1" customWidth="1"/>
    <col min="4" max="4" width="23.5703125" bestFit="1" customWidth="1"/>
    <col min="5" max="5" width="12.140625" bestFit="1" customWidth="1"/>
    <col min="6" max="6" width="13.7109375" bestFit="1" customWidth="1"/>
    <col min="7" max="7" width="12.140625" bestFit="1" customWidth="1"/>
  </cols>
  <sheetData>
    <row r="1" spans="1:7" x14ac:dyDescent="0.25">
      <c r="A1" t="s">
        <v>288</v>
      </c>
      <c r="B1" s="3" t="s">
        <v>300</v>
      </c>
      <c r="C1" s="3" t="s">
        <v>304</v>
      </c>
      <c r="D1" s="3" t="s">
        <v>305</v>
      </c>
      <c r="E1" s="3" t="s">
        <v>301</v>
      </c>
      <c r="F1" s="3" t="s">
        <v>302</v>
      </c>
      <c r="G1" s="3" t="s">
        <v>303</v>
      </c>
    </row>
    <row r="2" spans="1:7" x14ac:dyDescent="0.25">
      <c r="A2" t="s">
        <v>224</v>
      </c>
      <c r="B2">
        <v>5</v>
      </c>
      <c r="C2" t="s">
        <v>299</v>
      </c>
      <c r="D2">
        <v>8</v>
      </c>
      <c r="E2" t="s">
        <v>299</v>
      </c>
      <c r="F2">
        <v>11</v>
      </c>
      <c r="G2" t="s">
        <v>299</v>
      </c>
    </row>
    <row r="3" spans="1:7" x14ac:dyDescent="0.25">
      <c r="A3" t="s">
        <v>223</v>
      </c>
      <c r="B3">
        <v>11</v>
      </c>
      <c r="D3">
        <v>4</v>
      </c>
      <c r="F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4"/>
  <sheetViews>
    <sheetView tabSelected="1" zoomScale="80" zoomScaleNormal="80" workbookViewId="0">
      <selection activeCell="C20" sqref="C20"/>
    </sheetView>
  </sheetViews>
  <sheetFormatPr defaultRowHeight="15" x14ac:dyDescent="0.25"/>
  <cols>
    <col min="1" max="1" width="36.28515625" style="4" bestFit="1" customWidth="1"/>
    <col min="2" max="2" width="10.42578125" style="4" customWidth="1"/>
    <col min="3" max="3" width="14.42578125" style="4" customWidth="1"/>
    <col min="4" max="4" width="11.42578125" style="4" customWidth="1"/>
    <col min="5" max="5" width="16.42578125" style="4" bestFit="1" customWidth="1"/>
    <col min="6" max="7" width="9.140625" style="4"/>
    <col min="8" max="8" width="10.140625" style="4" customWidth="1"/>
    <col min="9" max="9" width="9.85546875" style="4" customWidth="1"/>
    <col min="10" max="10" width="18.140625" style="4" bestFit="1" customWidth="1"/>
    <col min="11" max="11" width="18.140625" style="4" customWidth="1"/>
    <col min="12" max="12" width="18.140625" style="7" customWidth="1"/>
    <col min="13" max="21" width="9.140625" style="4"/>
    <col min="22" max="22" width="14" style="4" bestFit="1" customWidth="1"/>
    <col min="23" max="23" width="14" style="4" customWidth="1"/>
    <col min="24" max="24" width="10.7109375" style="4" bestFit="1" customWidth="1"/>
    <col min="25" max="25" width="13.42578125" style="4" bestFit="1" customWidth="1"/>
    <col min="26" max="26" width="11.85546875" style="4" bestFit="1" customWidth="1"/>
    <col min="27" max="28" width="11.85546875" style="4" customWidth="1"/>
    <col min="29" max="29" width="14.85546875" style="4" bestFit="1" customWidth="1"/>
    <col min="30" max="30" width="13.5703125" style="4" bestFit="1" customWidth="1"/>
    <col min="31" max="32" width="13.5703125" style="4" customWidth="1"/>
    <col min="33" max="16384" width="9.140625" style="4"/>
  </cols>
  <sheetData>
    <row r="1" spans="1:45" x14ac:dyDescent="0.25">
      <c r="A1" s="4" t="s">
        <v>0</v>
      </c>
      <c r="B1" s="4" t="s">
        <v>419</v>
      </c>
      <c r="C1" s="4" t="s">
        <v>64</v>
      </c>
      <c r="D1" s="4" t="s">
        <v>347</v>
      </c>
      <c r="E1" s="4" t="s">
        <v>3</v>
      </c>
      <c r="F1" s="4" t="s">
        <v>7</v>
      </c>
      <c r="G1" s="4" t="s">
        <v>8</v>
      </c>
      <c r="H1" s="4" t="s">
        <v>1</v>
      </c>
      <c r="I1" s="4" t="s">
        <v>2</v>
      </c>
      <c r="J1" s="4" t="s">
        <v>133</v>
      </c>
      <c r="K1" s="4" t="s">
        <v>240</v>
      </c>
      <c r="L1" s="7" t="s">
        <v>286</v>
      </c>
      <c r="M1" s="4" t="s">
        <v>46</v>
      </c>
      <c r="N1" s="4" t="s">
        <v>11</v>
      </c>
      <c r="O1" s="4" t="s">
        <v>10</v>
      </c>
      <c r="P1" s="4" t="s">
        <v>156</v>
      </c>
      <c r="Q1" s="4" t="s">
        <v>15</v>
      </c>
      <c r="R1" s="4" t="s">
        <v>12</v>
      </c>
      <c r="S1" s="4" t="s">
        <v>13</v>
      </c>
      <c r="T1" s="4" t="s">
        <v>14</v>
      </c>
      <c r="U1" s="4" t="s">
        <v>163</v>
      </c>
      <c r="V1" s="4" t="s">
        <v>16</v>
      </c>
      <c r="W1" s="4" t="s">
        <v>130</v>
      </c>
      <c r="X1" s="4" t="s">
        <v>17</v>
      </c>
      <c r="Y1" s="4" t="s">
        <v>18</v>
      </c>
      <c r="Z1" s="4" t="s">
        <v>19</v>
      </c>
      <c r="AA1" s="4" t="s">
        <v>131</v>
      </c>
      <c r="AB1" s="4" t="s">
        <v>132</v>
      </c>
      <c r="AC1" s="4" t="s">
        <v>20</v>
      </c>
      <c r="AD1" s="4" t="s">
        <v>21</v>
      </c>
      <c r="AE1" s="4" t="s">
        <v>128</v>
      </c>
      <c r="AF1" s="4" t="s">
        <v>129</v>
      </c>
      <c r="AG1" s="4" t="s">
        <v>48</v>
      </c>
      <c r="AH1" s="4" t="s">
        <v>38</v>
      </c>
      <c r="AI1" s="4" t="s">
        <v>5</v>
      </c>
      <c r="AJ1" s="4" t="s">
        <v>4</v>
      </c>
      <c r="AK1" s="4" t="s">
        <v>6</v>
      </c>
      <c r="AL1" s="4" t="s">
        <v>42</v>
      </c>
      <c r="AM1" s="4" t="s">
        <v>43</v>
      </c>
      <c r="AN1" s="4" t="s">
        <v>52</v>
      </c>
      <c r="AO1" s="4" t="s">
        <v>53</v>
      </c>
      <c r="AP1" s="4" t="s">
        <v>54</v>
      </c>
      <c r="AQ1" s="4" t="s">
        <v>55</v>
      </c>
      <c r="AR1" s="4" t="s">
        <v>60</v>
      </c>
      <c r="AS1" s="4" t="s">
        <v>50</v>
      </c>
    </row>
    <row r="2" spans="1:45" x14ac:dyDescent="0.25">
      <c r="A2" s="4" t="s">
        <v>235</v>
      </c>
      <c r="D2" s="4" t="s">
        <v>350</v>
      </c>
      <c r="E2" s="4" t="s">
        <v>236</v>
      </c>
      <c r="F2" s="4" t="s">
        <v>184</v>
      </c>
      <c r="H2" s="4">
        <v>64.396738110696205</v>
      </c>
      <c r="I2" s="4">
        <v>-15.3360888981464</v>
      </c>
      <c r="J2" s="4" t="s">
        <v>134</v>
      </c>
      <c r="K2" s="4" t="s">
        <v>252</v>
      </c>
      <c r="L2" s="7">
        <v>1950</v>
      </c>
    </row>
    <row r="3" spans="1:45" x14ac:dyDescent="0.25">
      <c r="A3" s="4" t="s">
        <v>235</v>
      </c>
      <c r="D3" s="4" t="s">
        <v>350</v>
      </c>
      <c r="E3" s="4" t="s">
        <v>237</v>
      </c>
      <c r="F3" s="4" t="s">
        <v>116</v>
      </c>
      <c r="H3" s="4">
        <v>64.151721960747295</v>
      </c>
      <c r="I3" s="4">
        <v>-21.867563520990799</v>
      </c>
      <c r="J3" s="4" t="s">
        <v>134</v>
      </c>
      <c r="K3" s="4" t="s">
        <v>255</v>
      </c>
      <c r="L3" s="7">
        <v>1950</v>
      </c>
    </row>
    <row r="4" spans="1:45" x14ac:dyDescent="0.25">
      <c r="A4" s="4" t="s">
        <v>66</v>
      </c>
      <c r="C4" s="6" t="s">
        <v>88</v>
      </c>
      <c r="D4" s="4" t="s">
        <v>348</v>
      </c>
      <c r="E4" s="4" t="s">
        <v>228</v>
      </c>
      <c r="F4" s="4" t="s">
        <v>115</v>
      </c>
      <c r="G4" s="4" t="s">
        <v>119</v>
      </c>
      <c r="H4" s="4">
        <v>65.956666666666663</v>
      </c>
      <c r="I4" s="4">
        <v>-21.551666666666666</v>
      </c>
      <c r="J4" s="4" t="s">
        <v>135</v>
      </c>
      <c r="L4" s="7">
        <v>2000</v>
      </c>
      <c r="N4" s="4">
        <v>-47</v>
      </c>
      <c r="O4" s="4">
        <f>2300+1950</f>
        <v>4250</v>
      </c>
      <c r="P4" s="4" t="s">
        <v>157</v>
      </c>
      <c r="Q4" s="4">
        <v>11</v>
      </c>
      <c r="U4" s="4" t="s">
        <v>164</v>
      </c>
      <c r="V4" s="7" t="s">
        <v>127</v>
      </c>
      <c r="W4" s="7"/>
      <c r="X4" s="7" t="s">
        <v>127</v>
      </c>
      <c r="Y4" s="7" t="s">
        <v>127</v>
      </c>
      <c r="Z4" s="7" t="s">
        <v>127</v>
      </c>
      <c r="AA4" s="7"/>
      <c r="AB4" s="7"/>
      <c r="AC4" s="7" t="s">
        <v>127</v>
      </c>
      <c r="AD4" s="7" t="s">
        <v>127</v>
      </c>
      <c r="AH4" s="4">
        <v>0</v>
      </c>
      <c r="AJ4" s="4">
        <v>0</v>
      </c>
    </row>
    <row r="5" spans="1:45" x14ac:dyDescent="0.25">
      <c r="A5" s="4" t="s">
        <v>67</v>
      </c>
      <c r="C5" s="6"/>
      <c r="D5" s="4" t="s">
        <v>349</v>
      </c>
      <c r="E5" s="4" t="s">
        <v>213</v>
      </c>
      <c r="F5" s="4" t="s">
        <v>116</v>
      </c>
      <c r="G5" s="4" t="s">
        <v>119</v>
      </c>
      <c r="H5" s="4">
        <v>65.559433333333331</v>
      </c>
      <c r="I5" s="4">
        <v>-17.130416666666665</v>
      </c>
      <c r="J5" s="4" t="s">
        <v>135</v>
      </c>
      <c r="L5" s="7">
        <v>2010</v>
      </c>
      <c r="N5" s="4">
        <v>-66</v>
      </c>
      <c r="O5" s="4">
        <v>1614</v>
      </c>
      <c r="P5" s="4" t="s">
        <v>157</v>
      </c>
      <c r="Q5" s="4">
        <v>2</v>
      </c>
      <c r="R5" s="4">
        <v>2</v>
      </c>
      <c r="U5" s="4" t="s">
        <v>164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H5" s="4">
        <v>260</v>
      </c>
      <c r="AJ5" s="4">
        <v>50</v>
      </c>
    </row>
    <row r="6" spans="1:45" x14ac:dyDescent="0.25">
      <c r="A6" s="4" t="s">
        <v>67</v>
      </c>
      <c r="C6" s="6"/>
      <c r="D6" s="4" t="s">
        <v>349</v>
      </c>
      <c r="E6" s="4" t="s">
        <v>243</v>
      </c>
      <c r="F6" s="4" t="s">
        <v>116</v>
      </c>
      <c r="G6" s="4" t="s">
        <v>120</v>
      </c>
      <c r="H6" s="6">
        <v>65.941370000000006</v>
      </c>
      <c r="I6" s="6">
        <v>-22.49437</v>
      </c>
      <c r="J6" s="4" t="s">
        <v>134</v>
      </c>
      <c r="K6" s="4" t="s">
        <v>244</v>
      </c>
      <c r="L6" s="7">
        <v>2010</v>
      </c>
      <c r="N6" s="4">
        <v>-66</v>
      </c>
      <c r="O6" s="4">
        <v>1090</v>
      </c>
      <c r="P6" s="4" t="s">
        <v>157</v>
      </c>
      <c r="Q6" s="4">
        <v>1</v>
      </c>
      <c r="R6" s="4">
        <v>3</v>
      </c>
      <c r="U6" s="4" t="s">
        <v>164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H6" s="4">
        <v>11</v>
      </c>
      <c r="AJ6" s="4">
        <v>0.06</v>
      </c>
    </row>
    <row r="7" spans="1:45" x14ac:dyDescent="0.25">
      <c r="A7" s="4" t="s">
        <v>67</v>
      </c>
      <c r="C7" s="6"/>
      <c r="D7" s="4" t="s">
        <v>349</v>
      </c>
      <c r="E7" s="4" t="s">
        <v>214</v>
      </c>
      <c r="F7" s="4" t="s">
        <v>116</v>
      </c>
      <c r="G7" s="4" t="s">
        <v>119</v>
      </c>
      <c r="H7" s="4">
        <v>65.623383333333337</v>
      </c>
      <c r="I7" s="4">
        <v>-17.248049999999999</v>
      </c>
      <c r="J7" s="4" t="s">
        <v>135</v>
      </c>
      <c r="L7" s="7">
        <v>2010</v>
      </c>
      <c r="N7" s="4">
        <v>-66</v>
      </c>
      <c r="O7" s="4">
        <v>2879</v>
      </c>
      <c r="P7" s="4" t="s">
        <v>158</v>
      </c>
      <c r="R7" s="4">
        <v>5</v>
      </c>
      <c r="U7" s="4" t="s">
        <v>164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H7" s="4">
        <v>292</v>
      </c>
      <c r="AJ7" s="4">
        <v>41</v>
      </c>
    </row>
    <row r="8" spans="1:45" x14ac:dyDescent="0.25">
      <c r="A8" s="4" t="s">
        <v>140</v>
      </c>
      <c r="C8" s="4" t="s">
        <v>138</v>
      </c>
      <c r="D8" s="4" t="s">
        <v>348</v>
      </c>
      <c r="E8" s="4" t="s">
        <v>230</v>
      </c>
      <c r="F8" s="4" t="s">
        <v>116</v>
      </c>
      <c r="G8" s="4" t="s">
        <v>119</v>
      </c>
      <c r="H8" s="4">
        <v>65.683333333333337</v>
      </c>
      <c r="I8" s="4">
        <v>-18.399999999999999</v>
      </c>
      <c r="J8" s="4" t="s">
        <v>135</v>
      </c>
      <c r="L8" s="7">
        <v>1970</v>
      </c>
    </row>
    <row r="9" spans="1:45" x14ac:dyDescent="0.25">
      <c r="A9" s="4" t="s">
        <v>422</v>
      </c>
      <c r="C9" s="4" t="s">
        <v>424</v>
      </c>
      <c r="D9" s="4" t="s">
        <v>348</v>
      </c>
      <c r="E9" s="4" t="s">
        <v>423</v>
      </c>
      <c r="F9" s="4" t="s">
        <v>117</v>
      </c>
      <c r="G9" s="4" t="s">
        <v>119</v>
      </c>
      <c r="H9" s="4">
        <v>65.265083333333337</v>
      </c>
      <c r="I9" s="4">
        <v>-19.726600000000001</v>
      </c>
      <c r="J9" s="4" t="s">
        <v>135</v>
      </c>
      <c r="L9" s="7">
        <v>2020</v>
      </c>
      <c r="AH9" s="4">
        <v>460</v>
      </c>
    </row>
    <row r="10" spans="1:45" x14ac:dyDescent="0.25">
      <c r="A10" s="4" t="s">
        <v>141</v>
      </c>
      <c r="C10" s="4" t="s">
        <v>142</v>
      </c>
      <c r="D10" s="4" t="s">
        <v>348</v>
      </c>
      <c r="E10" s="4" t="s">
        <v>144</v>
      </c>
      <c r="F10" s="4" t="s">
        <v>116</v>
      </c>
      <c r="G10" s="4" t="s">
        <v>121</v>
      </c>
      <c r="H10" s="4">
        <v>64.591126297325005</v>
      </c>
      <c r="I10" s="4">
        <v>-14.1735373306937</v>
      </c>
      <c r="J10" s="4" t="s">
        <v>134</v>
      </c>
      <c r="K10" s="4" t="s">
        <v>248</v>
      </c>
      <c r="L10" s="7">
        <v>2000</v>
      </c>
    </row>
    <row r="11" spans="1:45" x14ac:dyDescent="0.25">
      <c r="A11" s="4" t="s">
        <v>141</v>
      </c>
      <c r="C11" s="4" t="s">
        <v>142</v>
      </c>
      <c r="D11" s="4" t="s">
        <v>348</v>
      </c>
      <c r="E11" s="4" t="s">
        <v>143</v>
      </c>
      <c r="F11" s="4" t="s">
        <v>116</v>
      </c>
      <c r="G11" s="4" t="s">
        <v>124</v>
      </c>
      <c r="H11" s="4">
        <v>63.6081922414904</v>
      </c>
      <c r="I11" s="4">
        <v>-19.9896235389884</v>
      </c>
      <c r="J11" s="4" t="s">
        <v>134</v>
      </c>
      <c r="K11" s="4" t="s">
        <v>248</v>
      </c>
      <c r="L11" s="7">
        <v>2000</v>
      </c>
    </row>
    <row r="12" spans="1:45" x14ac:dyDescent="0.25">
      <c r="A12" s="4" t="s">
        <v>72</v>
      </c>
      <c r="C12" s="6" t="s">
        <v>90</v>
      </c>
      <c r="D12" s="4" t="s">
        <v>348</v>
      </c>
      <c r="E12" s="4" t="s">
        <v>105</v>
      </c>
      <c r="F12" s="4" t="s">
        <v>116</v>
      </c>
      <c r="G12" s="4" t="s">
        <v>122</v>
      </c>
      <c r="H12" s="4">
        <v>64.662116666666662</v>
      </c>
      <c r="I12" s="4">
        <v>-21.305783333333334</v>
      </c>
      <c r="J12" s="4" t="s">
        <v>135</v>
      </c>
      <c r="L12" s="7">
        <v>2000</v>
      </c>
      <c r="N12" s="4">
        <v>895</v>
      </c>
      <c r="O12" s="4">
        <v>1605</v>
      </c>
      <c r="P12" s="4" t="s">
        <v>157</v>
      </c>
      <c r="Q12" s="4">
        <v>4</v>
      </c>
      <c r="U12" s="4" t="s">
        <v>165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H12" s="4">
        <v>32</v>
      </c>
      <c r="AJ12" s="4">
        <v>23.89</v>
      </c>
    </row>
    <row r="13" spans="1:45" x14ac:dyDescent="0.25">
      <c r="A13" s="4" t="s">
        <v>372</v>
      </c>
      <c r="C13" s="6" t="s">
        <v>90</v>
      </c>
      <c r="D13" s="4" t="s">
        <v>348</v>
      </c>
      <c r="E13" s="4" t="s">
        <v>217</v>
      </c>
      <c r="F13" s="4" t="s">
        <v>116</v>
      </c>
      <c r="G13" s="4" t="s">
        <v>123</v>
      </c>
      <c r="H13" s="4">
        <v>63.662816666666664</v>
      </c>
      <c r="I13" s="4">
        <v>-19.905233333333335</v>
      </c>
      <c r="J13" s="4" t="s">
        <v>135</v>
      </c>
      <c r="L13" s="7">
        <v>2000</v>
      </c>
      <c r="N13" s="4">
        <f>1950-1040</f>
        <v>910</v>
      </c>
      <c r="O13" s="4">
        <v>1540</v>
      </c>
      <c r="P13" s="4" t="s">
        <v>158</v>
      </c>
      <c r="Q13" s="4">
        <v>3</v>
      </c>
      <c r="U13" s="4" t="s">
        <v>164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H13" s="4">
        <v>85</v>
      </c>
      <c r="AJ13" s="4">
        <v>15.85</v>
      </c>
    </row>
    <row r="14" spans="1:45" x14ac:dyDescent="0.25">
      <c r="A14" s="4" t="s">
        <v>73</v>
      </c>
      <c r="C14" s="6" t="s">
        <v>91</v>
      </c>
      <c r="D14" s="4" t="s">
        <v>348</v>
      </c>
      <c r="E14" s="4" t="s">
        <v>218</v>
      </c>
      <c r="F14" s="4" t="s">
        <v>116</v>
      </c>
      <c r="G14" s="4" t="s">
        <v>123</v>
      </c>
      <c r="H14" s="4">
        <v>63.433617983988199</v>
      </c>
      <c r="I14" s="4">
        <v>-19.166119977649601</v>
      </c>
      <c r="J14" s="4" t="s">
        <v>134</v>
      </c>
      <c r="K14" s="4" t="s">
        <v>254</v>
      </c>
      <c r="L14" s="7">
        <v>2000</v>
      </c>
      <c r="N14" s="4">
        <f>1950-1597</f>
        <v>353</v>
      </c>
      <c r="O14" s="4">
        <f>1950-730</f>
        <v>1220</v>
      </c>
      <c r="P14" s="4" t="s">
        <v>158</v>
      </c>
      <c r="Q14" s="4">
        <v>11</v>
      </c>
      <c r="U14" s="4" t="s">
        <v>165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H14" s="4">
        <v>40</v>
      </c>
      <c r="AJ14" s="4">
        <v>2.4500000000000002</v>
      </c>
    </row>
    <row r="15" spans="1:45" x14ac:dyDescent="0.25">
      <c r="A15" s="4" t="s">
        <v>73</v>
      </c>
      <c r="C15" s="6" t="s">
        <v>91</v>
      </c>
      <c r="D15" s="4" t="s">
        <v>348</v>
      </c>
      <c r="E15" s="4" t="s">
        <v>219</v>
      </c>
      <c r="F15" s="4" t="s">
        <v>116</v>
      </c>
      <c r="G15" s="4" t="s">
        <v>123</v>
      </c>
      <c r="H15" s="4">
        <v>63.433471868918602</v>
      </c>
      <c r="I15" s="4">
        <v>-19.160631870313001</v>
      </c>
      <c r="J15" s="4" t="s">
        <v>134</v>
      </c>
      <c r="K15" s="4" t="s">
        <v>254</v>
      </c>
      <c r="L15" s="7">
        <v>2000</v>
      </c>
      <c r="N15" s="4">
        <f>1950-1300</f>
        <v>650</v>
      </c>
      <c r="O15" s="4">
        <v>1220</v>
      </c>
      <c r="P15" s="4" t="s">
        <v>158</v>
      </c>
      <c r="Q15" s="4">
        <v>5</v>
      </c>
      <c r="U15" s="4" t="s">
        <v>165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H15" s="4">
        <v>40</v>
      </c>
      <c r="AJ15" s="4">
        <v>2.5</v>
      </c>
    </row>
    <row r="16" spans="1:45" x14ac:dyDescent="0.25">
      <c r="A16" s="4" t="s">
        <v>74</v>
      </c>
      <c r="C16" s="6" t="s">
        <v>92</v>
      </c>
      <c r="D16" s="4" t="s">
        <v>348</v>
      </c>
      <c r="E16" s="4" t="s">
        <v>223</v>
      </c>
      <c r="F16" s="4" t="s">
        <v>117</v>
      </c>
      <c r="G16" s="4" t="s">
        <v>122</v>
      </c>
      <c r="H16" s="4">
        <v>64.678194444444443</v>
      </c>
      <c r="I16" s="4">
        <v>-21.251194444444444</v>
      </c>
      <c r="J16" s="4" t="s">
        <v>135</v>
      </c>
      <c r="L16" s="7">
        <v>2000</v>
      </c>
      <c r="N16" s="4">
        <v>50</v>
      </c>
      <c r="O16" s="4">
        <v>2950</v>
      </c>
      <c r="P16" s="4" t="s">
        <v>158</v>
      </c>
      <c r="Q16" s="4">
        <v>2</v>
      </c>
      <c r="R16" s="4">
        <v>7</v>
      </c>
      <c r="U16" s="4" t="s">
        <v>164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4">
        <v>100</v>
      </c>
      <c r="AJ16" s="4">
        <v>26.89</v>
      </c>
    </row>
    <row r="17" spans="1:36" x14ac:dyDescent="0.25">
      <c r="A17" s="4" t="s">
        <v>75</v>
      </c>
      <c r="C17" s="6" t="s">
        <v>93</v>
      </c>
      <c r="D17" s="4" t="s">
        <v>348</v>
      </c>
      <c r="E17" s="4" t="s">
        <v>241</v>
      </c>
      <c r="F17" s="4" t="s">
        <v>116</v>
      </c>
      <c r="G17" s="4" t="s">
        <v>124</v>
      </c>
      <c r="H17" s="4">
        <v>63.871499999999997</v>
      </c>
      <c r="I17" s="4">
        <v>-22.056699999999999</v>
      </c>
      <c r="J17" s="4" t="s">
        <v>134</v>
      </c>
      <c r="K17" s="4" t="s">
        <v>242</v>
      </c>
      <c r="L17" s="7">
        <v>2010</v>
      </c>
      <c r="N17" s="4">
        <v>-60</v>
      </c>
      <c r="O17" s="4">
        <f>590+1950</f>
        <v>2540</v>
      </c>
      <c r="P17" s="4" t="s">
        <v>158</v>
      </c>
      <c r="Q17" s="4">
        <v>4</v>
      </c>
      <c r="U17" s="4" t="s">
        <v>164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4">
        <v>148</v>
      </c>
      <c r="AJ17" s="4">
        <v>5.57</v>
      </c>
    </row>
    <row r="18" spans="1:36" x14ac:dyDescent="0.25">
      <c r="A18" s="4" t="s">
        <v>193</v>
      </c>
      <c r="D18" s="4" t="s">
        <v>349</v>
      </c>
      <c r="E18" s="4" t="s">
        <v>195</v>
      </c>
      <c r="F18" s="4" t="s">
        <v>116</v>
      </c>
      <c r="H18" s="4">
        <v>64.138748812545401</v>
      </c>
      <c r="I18" s="4">
        <v>-21.9513942432724</v>
      </c>
      <c r="J18" s="4" t="s">
        <v>134</v>
      </c>
      <c r="K18" s="4" t="s">
        <v>274</v>
      </c>
      <c r="L18" s="7">
        <v>1980</v>
      </c>
    </row>
    <row r="19" spans="1:36" x14ac:dyDescent="0.25">
      <c r="A19" s="4" t="s">
        <v>201</v>
      </c>
      <c r="D19" s="4" t="s">
        <v>348</v>
      </c>
      <c r="E19" s="4" t="s">
        <v>202</v>
      </c>
      <c r="F19" s="4" t="s">
        <v>116</v>
      </c>
      <c r="H19" s="4">
        <v>65.082814284640506</v>
      </c>
      <c r="I19" s="4">
        <v>-15.531073047898399</v>
      </c>
      <c r="J19" s="4" t="s">
        <v>134</v>
      </c>
      <c r="K19" s="4" t="s">
        <v>244</v>
      </c>
      <c r="L19" s="7">
        <v>1980</v>
      </c>
    </row>
    <row r="20" spans="1:36" x14ac:dyDescent="0.25">
      <c r="A20" s="4" t="s">
        <v>201</v>
      </c>
      <c r="D20" s="4" t="s">
        <v>348</v>
      </c>
      <c r="E20" s="4" t="s">
        <v>203</v>
      </c>
      <c r="F20" s="4" t="s">
        <v>116</v>
      </c>
      <c r="H20" s="4">
        <v>64.982916230077905</v>
      </c>
      <c r="I20" s="4">
        <v>-15.605561925324499</v>
      </c>
      <c r="J20" s="4" t="s">
        <v>134</v>
      </c>
      <c r="K20" s="4" t="s">
        <v>244</v>
      </c>
      <c r="L20" s="7">
        <v>1980</v>
      </c>
    </row>
    <row r="21" spans="1:36" x14ac:dyDescent="0.25">
      <c r="A21" s="4" t="s">
        <v>204</v>
      </c>
      <c r="D21" s="4" t="s">
        <v>348</v>
      </c>
      <c r="E21" s="4" t="s">
        <v>205</v>
      </c>
      <c r="F21" s="4" t="s">
        <v>116</v>
      </c>
      <c r="H21" s="4">
        <v>63.441318460427802</v>
      </c>
      <c r="I21" s="4">
        <v>-20.301026434837802</v>
      </c>
      <c r="J21" s="4" t="s">
        <v>134</v>
      </c>
      <c r="K21" s="4" t="s">
        <v>250</v>
      </c>
      <c r="L21" s="7">
        <v>1980</v>
      </c>
    </row>
    <row r="22" spans="1:36" x14ac:dyDescent="0.25">
      <c r="A22" s="4" t="s">
        <v>204</v>
      </c>
      <c r="D22" s="4" t="s">
        <v>348</v>
      </c>
      <c r="E22" s="4" t="s">
        <v>206</v>
      </c>
      <c r="F22" s="4" t="s">
        <v>116</v>
      </c>
      <c r="H22" s="4">
        <v>63.439697527993303</v>
      </c>
      <c r="I22" s="4">
        <v>-20.304618333266401</v>
      </c>
      <c r="J22" s="4" t="s">
        <v>134</v>
      </c>
      <c r="K22" s="4" t="s">
        <v>250</v>
      </c>
      <c r="L22" s="7">
        <v>1980</v>
      </c>
    </row>
    <row r="23" spans="1:36" x14ac:dyDescent="0.25">
      <c r="A23" s="4" t="s">
        <v>207</v>
      </c>
      <c r="D23" s="4" t="s">
        <v>348</v>
      </c>
      <c r="E23" s="4" t="s">
        <v>208</v>
      </c>
      <c r="F23" s="4" t="s">
        <v>116</v>
      </c>
      <c r="H23" s="4">
        <v>66.098611111111111</v>
      </c>
      <c r="I23" s="4">
        <v>-17.905555555555555</v>
      </c>
      <c r="J23" s="4" t="s">
        <v>135</v>
      </c>
      <c r="L23" s="7">
        <v>1990</v>
      </c>
    </row>
    <row r="24" spans="1:36" x14ac:dyDescent="0.25">
      <c r="A24" s="4" t="s">
        <v>200</v>
      </c>
      <c r="D24" s="4" t="s">
        <v>348</v>
      </c>
      <c r="E24" s="4" t="s">
        <v>197</v>
      </c>
      <c r="F24" s="4" t="s">
        <v>198</v>
      </c>
      <c r="H24" s="4">
        <v>64.163508461277104</v>
      </c>
      <c r="I24" s="4">
        <v>-21.8509077693084</v>
      </c>
      <c r="J24" s="4" t="s">
        <v>134</v>
      </c>
      <c r="K24" s="4" t="s">
        <v>275</v>
      </c>
      <c r="L24" s="7">
        <v>1990</v>
      </c>
    </row>
    <row r="25" spans="1:36" x14ac:dyDescent="0.25">
      <c r="A25" s="4" t="s">
        <v>187</v>
      </c>
      <c r="D25" s="4" t="s">
        <v>348</v>
      </c>
      <c r="E25" s="4" t="s">
        <v>190</v>
      </c>
      <c r="F25" s="4" t="s">
        <v>184</v>
      </c>
      <c r="H25" s="4">
        <v>63.667271735445198</v>
      </c>
      <c r="I25" s="4">
        <v>-20.375867710863499</v>
      </c>
      <c r="J25" s="4" t="s">
        <v>134</v>
      </c>
      <c r="K25" s="4" t="s">
        <v>123</v>
      </c>
      <c r="L25" s="7">
        <v>2000</v>
      </c>
    </row>
    <row r="26" spans="1:36" x14ac:dyDescent="0.25">
      <c r="A26" s="4" t="s">
        <v>187</v>
      </c>
      <c r="D26" s="4" t="s">
        <v>348</v>
      </c>
      <c r="E26" s="4" t="s">
        <v>188</v>
      </c>
      <c r="F26" s="4" t="s">
        <v>184</v>
      </c>
      <c r="H26" s="4">
        <v>63.424457318699702</v>
      </c>
      <c r="I26" s="4">
        <v>-18.923463451299401</v>
      </c>
      <c r="J26" s="4" t="s">
        <v>134</v>
      </c>
      <c r="K26" s="4" t="s">
        <v>123</v>
      </c>
      <c r="L26" s="7">
        <v>2000</v>
      </c>
    </row>
    <row r="27" spans="1:36" x14ac:dyDescent="0.25">
      <c r="A27" s="4" t="s">
        <v>187</v>
      </c>
      <c r="D27" s="4" t="s">
        <v>348</v>
      </c>
      <c r="E27" s="4" t="s">
        <v>186</v>
      </c>
      <c r="F27" s="4" t="s">
        <v>184</v>
      </c>
      <c r="H27" s="4">
        <v>63.845610199282298</v>
      </c>
      <c r="I27" s="4">
        <v>-22.440766166344101</v>
      </c>
      <c r="J27" s="4" t="s">
        <v>134</v>
      </c>
      <c r="K27" s="4" t="s">
        <v>123</v>
      </c>
      <c r="L27" s="7">
        <v>2000</v>
      </c>
    </row>
    <row r="28" spans="1:36" x14ac:dyDescent="0.25">
      <c r="A28" s="4" t="s">
        <v>187</v>
      </c>
      <c r="D28" s="4" t="s">
        <v>348</v>
      </c>
      <c r="E28" s="4" t="s">
        <v>189</v>
      </c>
      <c r="F28" s="4" t="s">
        <v>184</v>
      </c>
      <c r="H28" s="4">
        <v>63.436465222987302</v>
      </c>
      <c r="I28" s="4">
        <v>-19.1701424023525</v>
      </c>
      <c r="J28" s="4" t="s">
        <v>134</v>
      </c>
      <c r="K28" s="4" t="s">
        <v>123</v>
      </c>
      <c r="L28" s="7">
        <v>2000</v>
      </c>
    </row>
    <row r="29" spans="1:36" x14ac:dyDescent="0.25">
      <c r="A29" s="4" t="s">
        <v>145</v>
      </c>
      <c r="C29" s="4" t="s">
        <v>146</v>
      </c>
      <c r="D29" s="4" t="s">
        <v>348</v>
      </c>
      <c r="E29" s="4" t="s">
        <v>147</v>
      </c>
      <c r="F29" s="4" t="s">
        <v>117</v>
      </c>
      <c r="G29" s="4" t="s">
        <v>123</v>
      </c>
      <c r="H29" s="4">
        <v>63.944000000000003</v>
      </c>
      <c r="I29" s="4">
        <v>-20.518000000000001</v>
      </c>
      <c r="J29" s="4" t="s">
        <v>134</v>
      </c>
      <c r="K29" s="4" t="s">
        <v>245</v>
      </c>
      <c r="L29" s="7">
        <v>2000</v>
      </c>
      <c r="N29" s="4">
        <v>-55</v>
      </c>
      <c r="O29" s="4">
        <v>5600</v>
      </c>
      <c r="P29" s="4" t="s">
        <v>158</v>
      </c>
      <c r="Q29" s="4">
        <v>5</v>
      </c>
      <c r="U29" s="4" t="s">
        <v>164</v>
      </c>
    </row>
    <row r="30" spans="1:36" x14ac:dyDescent="0.25">
      <c r="A30" s="4" t="s">
        <v>193</v>
      </c>
      <c r="D30" s="4" t="s">
        <v>349</v>
      </c>
      <c r="E30" s="4" t="s">
        <v>112</v>
      </c>
      <c r="F30" s="4" t="s">
        <v>116</v>
      </c>
      <c r="H30" s="4">
        <v>64.124360812740207</v>
      </c>
      <c r="I30" s="4">
        <v>-20.604543817541099</v>
      </c>
      <c r="J30" s="4" t="s">
        <v>134</v>
      </c>
      <c r="K30" s="4" t="s">
        <v>258</v>
      </c>
      <c r="L30" s="7">
        <v>1980</v>
      </c>
    </row>
    <row r="31" spans="1:36" x14ac:dyDescent="0.25">
      <c r="A31" s="4" t="s">
        <v>193</v>
      </c>
      <c r="D31" s="4" t="s">
        <v>349</v>
      </c>
      <c r="E31" s="4" t="s">
        <v>192</v>
      </c>
      <c r="F31" s="4" t="s">
        <v>117</v>
      </c>
      <c r="H31" s="4">
        <v>64.103648852545206</v>
      </c>
      <c r="I31" s="4">
        <v>-20.692865301629102</v>
      </c>
      <c r="J31" s="4" t="s">
        <v>134</v>
      </c>
      <c r="K31" s="4" t="s">
        <v>267</v>
      </c>
      <c r="L31" s="7">
        <v>1980</v>
      </c>
    </row>
    <row r="32" spans="1:36" x14ac:dyDescent="0.25">
      <c r="A32" s="4" t="s">
        <v>193</v>
      </c>
      <c r="D32" s="4" t="s">
        <v>349</v>
      </c>
      <c r="E32" s="4" t="s">
        <v>191</v>
      </c>
      <c r="F32" s="4" t="s">
        <v>116</v>
      </c>
      <c r="H32" s="4">
        <v>64.026878298108997</v>
      </c>
      <c r="I32" s="4">
        <v>-20.36045110357</v>
      </c>
      <c r="J32" s="4" t="s">
        <v>134</v>
      </c>
      <c r="K32" s="4" t="s">
        <v>268</v>
      </c>
      <c r="L32" s="7">
        <v>1980</v>
      </c>
    </row>
    <row r="33" spans="1:36" x14ac:dyDescent="0.25">
      <c r="A33" s="4" t="s">
        <v>193</v>
      </c>
      <c r="D33" s="4" t="s">
        <v>349</v>
      </c>
      <c r="E33" s="4" t="s">
        <v>194</v>
      </c>
      <c r="F33" s="4" t="s">
        <v>116</v>
      </c>
      <c r="H33" s="4">
        <v>64.138300800344894</v>
      </c>
      <c r="I33" s="4">
        <v>-21.951346318978999</v>
      </c>
      <c r="J33" s="4" t="s">
        <v>134</v>
      </c>
      <c r="K33" s="4" t="s">
        <v>267</v>
      </c>
      <c r="L33" s="7">
        <v>1980</v>
      </c>
    </row>
    <row r="34" spans="1:36" x14ac:dyDescent="0.25">
      <c r="A34" s="4" t="s">
        <v>199</v>
      </c>
      <c r="D34" s="4" t="s">
        <v>348</v>
      </c>
      <c r="E34" s="4" t="s">
        <v>196</v>
      </c>
      <c r="F34" s="4" t="s">
        <v>117</v>
      </c>
      <c r="H34" s="4">
        <v>64.144311023058293</v>
      </c>
      <c r="I34" s="4">
        <v>-21.9419539108492</v>
      </c>
      <c r="J34" s="4" t="s">
        <v>134</v>
      </c>
      <c r="K34" s="4" t="s">
        <v>269</v>
      </c>
      <c r="L34" s="7">
        <v>1990</v>
      </c>
    </row>
    <row r="35" spans="1:36" x14ac:dyDescent="0.25">
      <c r="A35" s="4" t="s">
        <v>344</v>
      </c>
      <c r="C35" s="4" t="s">
        <v>345</v>
      </c>
      <c r="D35" s="4" t="s">
        <v>348</v>
      </c>
      <c r="E35" s="4" t="s">
        <v>346</v>
      </c>
      <c r="F35" s="4" t="s">
        <v>116</v>
      </c>
      <c r="G35" s="4" t="s">
        <v>119</v>
      </c>
      <c r="H35" s="4">
        <v>65.764449740746201</v>
      </c>
      <c r="I35" s="4">
        <v>-19.2674412703538</v>
      </c>
      <c r="J35" s="4" t="s">
        <v>134</v>
      </c>
      <c r="K35" s="4" t="s">
        <v>244</v>
      </c>
      <c r="L35" s="7">
        <v>2020</v>
      </c>
    </row>
    <row r="36" spans="1:36" x14ac:dyDescent="0.25">
      <c r="A36" s="4" t="s">
        <v>77</v>
      </c>
      <c r="C36" s="6"/>
      <c r="D36" s="4" t="s">
        <v>348</v>
      </c>
      <c r="E36" s="4" t="s">
        <v>108</v>
      </c>
      <c r="F36" s="4" t="s">
        <v>116</v>
      </c>
      <c r="G36" s="4" t="s">
        <v>126</v>
      </c>
      <c r="H36" s="4">
        <v>66.207599999999999</v>
      </c>
      <c r="I36" s="4">
        <v>-15.555999999999999</v>
      </c>
      <c r="J36" s="4" t="s">
        <v>135</v>
      </c>
      <c r="L36" s="7">
        <v>2010</v>
      </c>
      <c r="N36" s="4">
        <v>-64</v>
      </c>
      <c r="O36" s="4">
        <v>10300</v>
      </c>
      <c r="P36" s="4" t="s">
        <v>158</v>
      </c>
      <c r="Q36" s="4">
        <v>5</v>
      </c>
      <c r="R36" s="4">
        <v>2</v>
      </c>
      <c r="U36" s="4" t="s">
        <v>164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4">
        <v>34</v>
      </c>
      <c r="AJ36" s="4">
        <v>0.62</v>
      </c>
    </row>
    <row r="37" spans="1:36" x14ac:dyDescent="0.25">
      <c r="A37" s="4" t="s">
        <v>78</v>
      </c>
      <c r="C37" s="6" t="s">
        <v>155</v>
      </c>
      <c r="D37" s="4" t="s">
        <v>350</v>
      </c>
      <c r="E37" s="4" t="s">
        <v>283</v>
      </c>
      <c r="F37" s="4" t="s">
        <v>116</v>
      </c>
      <c r="G37" s="4" t="s">
        <v>119</v>
      </c>
      <c r="H37" s="4">
        <v>65.515947480432601</v>
      </c>
      <c r="I37" s="4">
        <v>-17.101400666993001</v>
      </c>
      <c r="J37" s="4" t="s">
        <v>134</v>
      </c>
      <c r="K37" s="4" t="s">
        <v>253</v>
      </c>
      <c r="L37" s="7">
        <v>2000</v>
      </c>
      <c r="N37" s="4">
        <f>1950-1477</f>
        <v>473</v>
      </c>
      <c r="O37" s="4">
        <f>2879+1950</f>
        <v>4829</v>
      </c>
      <c r="P37" s="4" t="s">
        <v>158</v>
      </c>
      <c r="Q37" s="4">
        <v>3</v>
      </c>
      <c r="U37" s="4" t="s">
        <v>165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4">
        <v>316</v>
      </c>
      <c r="AJ37" s="4">
        <v>49.62</v>
      </c>
    </row>
    <row r="38" spans="1:36" x14ac:dyDescent="0.25">
      <c r="A38" s="4" t="s">
        <v>79</v>
      </c>
      <c r="C38" s="6" t="s">
        <v>94</v>
      </c>
      <c r="D38" s="4" t="s">
        <v>348</v>
      </c>
      <c r="E38" s="4" t="s">
        <v>224</v>
      </c>
      <c r="F38" s="4" t="s">
        <v>117</v>
      </c>
      <c r="G38" s="4" t="s">
        <v>119</v>
      </c>
      <c r="H38" s="4">
        <v>65.572581829258993</v>
      </c>
      <c r="I38" s="4">
        <v>-17.1807298197505</v>
      </c>
      <c r="J38" s="4" t="s">
        <v>134</v>
      </c>
      <c r="K38" s="4" t="s">
        <v>249</v>
      </c>
      <c r="L38" s="7">
        <v>2000</v>
      </c>
      <c r="N38" s="4">
        <v>-57</v>
      </c>
      <c r="O38" s="4">
        <v>4829</v>
      </c>
      <c r="P38" s="4" t="s">
        <v>158</v>
      </c>
      <c r="Q38" s="4">
        <v>7</v>
      </c>
      <c r="U38" s="4" t="s">
        <v>164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4">
        <v>310</v>
      </c>
      <c r="AJ38" s="4">
        <v>50.79</v>
      </c>
    </row>
    <row r="39" spans="1:36" x14ac:dyDescent="0.25">
      <c r="A39" s="4" t="s">
        <v>80</v>
      </c>
      <c r="C39" s="6" t="s">
        <v>95</v>
      </c>
      <c r="D39" s="4" t="s">
        <v>348</v>
      </c>
      <c r="E39" s="4" t="s">
        <v>282</v>
      </c>
      <c r="F39" s="4" t="s">
        <v>116</v>
      </c>
      <c r="G39" s="4" t="s">
        <v>119</v>
      </c>
      <c r="H39" s="4">
        <v>65.4375</v>
      </c>
      <c r="I39" s="4">
        <v>-19.998149999999999</v>
      </c>
      <c r="J39" s="4" t="s">
        <v>135</v>
      </c>
      <c r="L39" s="7">
        <v>2010</v>
      </c>
      <c r="N39" s="4">
        <v>184</v>
      </c>
      <c r="O39" s="4">
        <v>6185</v>
      </c>
      <c r="P39" s="4" t="s">
        <v>158</v>
      </c>
      <c r="Q39" s="4">
        <v>5</v>
      </c>
      <c r="U39" s="4" t="s">
        <v>165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H39" s="4">
        <v>329</v>
      </c>
      <c r="AJ39" s="4">
        <v>25.02</v>
      </c>
    </row>
    <row r="40" spans="1:36" x14ac:dyDescent="0.25">
      <c r="A40" s="4" t="s">
        <v>80</v>
      </c>
      <c r="C40" s="6" t="s">
        <v>95</v>
      </c>
      <c r="D40" s="4" t="s">
        <v>348</v>
      </c>
      <c r="E40" s="4" t="s">
        <v>109</v>
      </c>
      <c r="F40" s="4" t="s">
        <v>116</v>
      </c>
      <c r="G40" s="4" t="s">
        <v>119</v>
      </c>
      <c r="H40" s="4">
        <v>65.577749999999995</v>
      </c>
      <c r="I40" s="4">
        <v>-20.119933333333332</v>
      </c>
      <c r="J40" s="4" t="s">
        <v>135</v>
      </c>
      <c r="L40" s="7">
        <v>2010</v>
      </c>
      <c r="N40" s="4">
        <v>-65</v>
      </c>
      <c r="O40" s="4">
        <f>1950+6590</f>
        <v>8540</v>
      </c>
      <c r="P40" s="4" t="s">
        <v>158</v>
      </c>
      <c r="Q40" s="4">
        <v>6</v>
      </c>
      <c r="U40" s="4" t="s">
        <v>164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H40" s="4">
        <v>108</v>
      </c>
      <c r="AJ40" s="4">
        <v>10.77</v>
      </c>
    </row>
    <row r="41" spans="1:36" x14ac:dyDescent="0.25">
      <c r="A41" s="4" t="s">
        <v>80</v>
      </c>
      <c r="C41" s="6" t="s">
        <v>95</v>
      </c>
      <c r="D41" s="4" t="s">
        <v>348</v>
      </c>
      <c r="E41" s="4" t="s">
        <v>281</v>
      </c>
      <c r="F41" s="4" t="s">
        <v>116</v>
      </c>
      <c r="G41" s="4" t="s">
        <v>119</v>
      </c>
      <c r="H41" s="4">
        <v>66.056266666666673</v>
      </c>
      <c r="I41" s="4">
        <v>-20.38035</v>
      </c>
      <c r="J41" s="4" t="s">
        <v>135</v>
      </c>
      <c r="L41" s="7">
        <v>2010</v>
      </c>
      <c r="N41" s="4">
        <f>1950-1766</f>
        <v>184</v>
      </c>
      <c r="O41" s="4">
        <v>10300</v>
      </c>
      <c r="P41" s="4" t="s">
        <v>158</v>
      </c>
      <c r="Q41" s="4">
        <v>5</v>
      </c>
      <c r="R41" s="4">
        <v>1</v>
      </c>
      <c r="U41" s="4" t="s">
        <v>165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H41" s="4">
        <v>39</v>
      </c>
      <c r="AJ41" s="4">
        <v>1.07</v>
      </c>
    </row>
    <row r="42" spans="1:36" x14ac:dyDescent="0.25">
      <c r="A42" s="4" t="s">
        <v>169</v>
      </c>
      <c r="D42" s="4" t="s">
        <v>348</v>
      </c>
      <c r="E42" s="4" t="s">
        <v>170</v>
      </c>
      <c r="F42" s="4" t="s">
        <v>116</v>
      </c>
      <c r="G42" s="4" t="s">
        <v>124</v>
      </c>
      <c r="H42" s="4">
        <v>63.595340313209199</v>
      </c>
      <c r="I42" s="4">
        <v>-20.187051527705101</v>
      </c>
      <c r="J42" s="4" t="s">
        <v>134</v>
      </c>
      <c r="K42" s="4" t="s">
        <v>244</v>
      </c>
      <c r="L42" s="7">
        <v>1980</v>
      </c>
    </row>
    <row r="43" spans="1:36" x14ac:dyDescent="0.25">
      <c r="A43" s="4" t="s">
        <v>81</v>
      </c>
      <c r="C43" s="6" t="s">
        <v>96</v>
      </c>
      <c r="D43" s="4" t="s">
        <v>348</v>
      </c>
      <c r="E43" s="4" t="s">
        <v>285</v>
      </c>
      <c r="F43" s="4" t="s">
        <v>116</v>
      </c>
      <c r="G43" s="4" t="s">
        <v>119</v>
      </c>
      <c r="H43" s="4">
        <v>65.559899999999999</v>
      </c>
      <c r="I43" s="4">
        <v>-20.397566666666666</v>
      </c>
      <c r="J43" s="4" t="s">
        <v>135</v>
      </c>
      <c r="L43" s="7">
        <v>2010</v>
      </c>
      <c r="N43" s="4">
        <f>1950-1766</f>
        <v>184</v>
      </c>
      <c r="O43" s="4">
        <f>1950-((432+877)/2)</f>
        <v>1295.5</v>
      </c>
      <c r="P43" s="4" t="s">
        <v>159</v>
      </c>
      <c r="Q43" s="4">
        <v>3</v>
      </c>
      <c r="U43" s="4" t="s">
        <v>164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H43" s="4">
        <v>11</v>
      </c>
      <c r="AJ43" s="4">
        <v>5.07</v>
      </c>
    </row>
    <row r="44" spans="1:36" x14ac:dyDescent="0.25">
      <c r="A44" s="4" t="s">
        <v>82</v>
      </c>
      <c r="C44" s="6" t="s">
        <v>97</v>
      </c>
      <c r="D44" s="4" t="s">
        <v>348</v>
      </c>
      <c r="E44" s="4" t="s">
        <v>110</v>
      </c>
      <c r="F44" s="4" t="s">
        <v>116</v>
      </c>
      <c r="G44" s="4" t="s">
        <v>124</v>
      </c>
      <c r="H44" s="4">
        <v>64.161127189008596</v>
      </c>
      <c r="I44" s="4">
        <v>-21.583101151382301</v>
      </c>
      <c r="J44" s="4" t="s">
        <v>134</v>
      </c>
      <c r="K44" s="4" t="s">
        <v>247</v>
      </c>
      <c r="L44" s="7">
        <v>2010</v>
      </c>
      <c r="N44" s="4">
        <v>724</v>
      </c>
      <c r="O44" s="4">
        <f>1950-710</f>
        <v>1240</v>
      </c>
      <c r="P44" s="4" t="s">
        <v>159</v>
      </c>
      <c r="Q44" s="4">
        <v>3</v>
      </c>
      <c r="U44" s="4" t="s">
        <v>164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H44" s="4">
        <v>97</v>
      </c>
      <c r="AJ44" s="4">
        <v>6.29</v>
      </c>
    </row>
    <row r="45" spans="1:36" x14ac:dyDescent="0.25">
      <c r="A45" s="4" t="s">
        <v>82</v>
      </c>
      <c r="C45" s="6" t="s">
        <v>97</v>
      </c>
      <c r="D45" s="4" t="s">
        <v>348</v>
      </c>
      <c r="E45" s="4" t="s">
        <v>111</v>
      </c>
      <c r="F45" s="4" t="s">
        <v>116</v>
      </c>
      <c r="G45" s="4" t="s">
        <v>124</v>
      </c>
      <c r="H45" s="4">
        <v>64.182995695827898</v>
      </c>
      <c r="I45" s="4">
        <v>-21.698411178727401</v>
      </c>
      <c r="J45" s="4" t="s">
        <v>134</v>
      </c>
      <c r="K45" s="4" t="s">
        <v>247</v>
      </c>
      <c r="L45" s="7">
        <v>2010</v>
      </c>
      <c r="N45" s="4">
        <v>450</v>
      </c>
      <c r="O45" s="4">
        <v>1130</v>
      </c>
      <c r="P45" s="4" t="s">
        <v>159</v>
      </c>
      <c r="Q45" s="4">
        <v>3</v>
      </c>
      <c r="U45" s="4" t="s">
        <v>164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H45" s="4">
        <v>27</v>
      </c>
      <c r="AJ45" s="4">
        <v>1.1599999999999999</v>
      </c>
    </row>
    <row r="46" spans="1:36" x14ac:dyDescent="0.25">
      <c r="A46" s="4" t="s">
        <v>82</v>
      </c>
      <c r="C46" s="6" t="s">
        <v>97</v>
      </c>
      <c r="D46" s="4" t="s">
        <v>348</v>
      </c>
      <c r="E46" s="4" t="s">
        <v>221</v>
      </c>
      <c r="F46" s="4" t="s">
        <v>116</v>
      </c>
      <c r="G46" s="4" t="s">
        <v>124</v>
      </c>
      <c r="H46" s="4">
        <v>64.204480419789306</v>
      </c>
      <c r="I46" s="4">
        <v>-21.5607958224033</v>
      </c>
      <c r="J46" s="4" t="s">
        <v>134</v>
      </c>
      <c r="K46" s="4" t="s">
        <v>247</v>
      </c>
      <c r="L46" s="7">
        <v>2010</v>
      </c>
      <c r="N46" s="4">
        <v>724</v>
      </c>
      <c r="O46" s="4">
        <f>1950-685</f>
        <v>1265</v>
      </c>
      <c r="P46" s="4" t="s">
        <v>159</v>
      </c>
      <c r="Q46" s="4">
        <v>3</v>
      </c>
      <c r="U46" s="4" t="s">
        <v>164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H46" s="4">
        <v>118</v>
      </c>
      <c r="AJ46" s="4">
        <v>7.72</v>
      </c>
    </row>
    <row r="47" spans="1:36" x14ac:dyDescent="0.25">
      <c r="A47" s="4" t="s">
        <v>83</v>
      </c>
      <c r="C47" s="4" t="s">
        <v>98</v>
      </c>
      <c r="D47" s="4" t="s">
        <v>348</v>
      </c>
      <c r="E47" s="4" t="s">
        <v>280</v>
      </c>
      <c r="F47" s="4" t="s">
        <v>116</v>
      </c>
      <c r="G47" s="4" t="s">
        <v>126</v>
      </c>
      <c r="H47" s="4">
        <v>66.222190340277095</v>
      </c>
      <c r="I47" s="4">
        <v>-15.6436032546767</v>
      </c>
      <c r="J47" s="4" t="s">
        <v>134</v>
      </c>
      <c r="K47" s="4" t="s">
        <v>244</v>
      </c>
      <c r="L47" s="7">
        <v>2010</v>
      </c>
      <c r="N47" s="6">
        <v>-66</v>
      </c>
      <c r="O47" s="6">
        <v>3340</v>
      </c>
      <c r="P47" s="4" t="s">
        <v>157</v>
      </c>
      <c r="Q47" s="4">
        <v>2</v>
      </c>
      <c r="R47" s="4">
        <v>4</v>
      </c>
      <c r="U47" s="4" t="s">
        <v>164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H47" s="4">
        <v>3</v>
      </c>
      <c r="AJ47" s="4">
        <v>0.14000000000000001</v>
      </c>
    </row>
    <row r="48" spans="1:36" x14ac:dyDescent="0.25">
      <c r="A48" s="4" t="s">
        <v>84</v>
      </c>
      <c r="C48" s="4" t="s">
        <v>98</v>
      </c>
      <c r="D48" s="4" t="s">
        <v>348</v>
      </c>
      <c r="E48" s="4" t="s">
        <v>284</v>
      </c>
      <c r="F48" s="4" t="s">
        <v>116</v>
      </c>
      <c r="G48" s="4" t="s">
        <v>126</v>
      </c>
      <c r="H48" s="4">
        <v>66.124654853776605</v>
      </c>
      <c r="I48" s="4">
        <v>-15.778406972267801</v>
      </c>
      <c r="J48" s="4" t="s">
        <v>134</v>
      </c>
      <c r="K48" s="4" t="s">
        <v>244</v>
      </c>
      <c r="L48" s="7">
        <v>2010</v>
      </c>
      <c r="N48" s="6">
        <v>-66</v>
      </c>
      <c r="O48" s="6">
        <v>6310</v>
      </c>
      <c r="P48" s="4" t="s">
        <v>157</v>
      </c>
      <c r="Q48" s="4">
        <v>1</v>
      </c>
      <c r="R48" s="4">
        <v>5</v>
      </c>
      <c r="U48" s="4" t="s">
        <v>164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H48" s="4">
        <v>120</v>
      </c>
      <c r="AJ48" s="4">
        <v>12.3</v>
      </c>
    </row>
    <row r="49" spans="1:36" x14ac:dyDescent="0.25">
      <c r="A49" s="4" t="s">
        <v>181</v>
      </c>
      <c r="D49" s="4" t="s">
        <v>348</v>
      </c>
      <c r="E49" s="4" t="s">
        <v>182</v>
      </c>
      <c r="F49" s="4" t="s">
        <v>116</v>
      </c>
      <c r="H49" s="4">
        <v>64.209832925388895</v>
      </c>
      <c r="I49" s="4">
        <v>-20.7313425183705</v>
      </c>
      <c r="J49" s="4" t="s">
        <v>134</v>
      </c>
      <c r="K49" s="4" t="s">
        <v>256</v>
      </c>
      <c r="L49" s="7">
        <v>1970</v>
      </c>
    </row>
    <row r="50" spans="1:36" x14ac:dyDescent="0.25">
      <c r="A50" s="4" t="s">
        <v>233</v>
      </c>
      <c r="D50" s="4" t="s">
        <v>348</v>
      </c>
      <c r="E50" s="4" t="s">
        <v>234</v>
      </c>
      <c r="F50" s="4" t="s">
        <v>116</v>
      </c>
      <c r="G50" s="4" t="s">
        <v>119</v>
      </c>
      <c r="H50" s="4">
        <v>65.75</v>
      </c>
      <c r="I50" s="4">
        <v>-18.716666666666665</v>
      </c>
      <c r="J50" s="4" t="s">
        <v>135</v>
      </c>
      <c r="L50" s="7">
        <v>2000</v>
      </c>
    </row>
    <row r="51" spans="1:36" x14ac:dyDescent="0.25">
      <c r="A51" s="4" t="s">
        <v>85</v>
      </c>
      <c r="C51" s="4" t="s">
        <v>100</v>
      </c>
      <c r="D51" s="4" t="s">
        <v>348</v>
      </c>
      <c r="E51" s="4" t="s">
        <v>113</v>
      </c>
      <c r="F51" s="4" t="s">
        <v>118</v>
      </c>
      <c r="G51" s="4" t="s">
        <v>122</v>
      </c>
      <c r="H51" s="4">
        <v>64.664913424396602</v>
      </c>
      <c r="I51" s="4">
        <v>-21.2911733451655</v>
      </c>
      <c r="J51" s="4" t="s">
        <v>134</v>
      </c>
      <c r="K51" s="4" t="s">
        <v>262</v>
      </c>
      <c r="L51" s="7">
        <v>2000</v>
      </c>
      <c r="N51" s="4">
        <f>1950-1115</f>
        <v>835</v>
      </c>
      <c r="O51" s="4">
        <f>1950-1220</f>
        <v>730</v>
      </c>
      <c r="P51" s="4" t="s">
        <v>159</v>
      </c>
      <c r="R51" s="4">
        <v>6</v>
      </c>
      <c r="U51" s="4" t="s">
        <v>165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H51" s="4">
        <v>40</v>
      </c>
      <c r="AJ51" s="4">
        <v>25</v>
      </c>
    </row>
    <row r="52" spans="1:36" x14ac:dyDescent="0.25">
      <c r="A52" s="4" t="s">
        <v>425</v>
      </c>
      <c r="B52" s="4" t="s">
        <v>421</v>
      </c>
      <c r="D52" s="4" t="s">
        <v>348</v>
      </c>
      <c r="E52" s="4" t="s">
        <v>426</v>
      </c>
      <c r="F52" s="4" t="s">
        <v>116</v>
      </c>
    </row>
    <row r="53" spans="1:36" x14ac:dyDescent="0.25">
      <c r="A53" s="4" t="s">
        <v>209</v>
      </c>
      <c r="B53" s="4" t="s">
        <v>420</v>
      </c>
      <c r="D53" s="4" t="s">
        <v>348</v>
      </c>
      <c r="E53" s="4" t="s">
        <v>210</v>
      </c>
      <c r="F53" s="4" t="s">
        <v>184</v>
      </c>
      <c r="H53" s="4">
        <v>64.105474851327301</v>
      </c>
      <c r="I53" s="4">
        <v>-17.9422253756487</v>
      </c>
      <c r="J53" s="4" t="s">
        <v>134</v>
      </c>
      <c r="K53" s="4" t="s">
        <v>265</v>
      </c>
      <c r="L53" s="7">
        <v>1940</v>
      </c>
    </row>
    <row r="54" spans="1:36" x14ac:dyDescent="0.25">
      <c r="A54" s="4" t="s">
        <v>209</v>
      </c>
      <c r="B54" s="4" t="s">
        <v>420</v>
      </c>
      <c r="D54" s="4" t="s">
        <v>348</v>
      </c>
      <c r="E54" s="4" t="s">
        <v>211</v>
      </c>
      <c r="F54" s="4" t="s">
        <v>184</v>
      </c>
      <c r="H54" s="4">
        <v>64.147927062615196</v>
      </c>
      <c r="I54" s="4">
        <v>-19.7380685786943</v>
      </c>
      <c r="J54" s="4" t="s">
        <v>134</v>
      </c>
      <c r="K54" s="4" t="s">
        <v>265</v>
      </c>
      <c r="L54" s="7">
        <v>1940</v>
      </c>
    </row>
    <row r="55" spans="1:36" x14ac:dyDescent="0.25">
      <c r="A55" s="4" t="s">
        <v>86</v>
      </c>
      <c r="C55" s="4" t="s">
        <v>101</v>
      </c>
      <c r="D55" s="4" t="s">
        <v>348</v>
      </c>
      <c r="E55" s="4" t="s">
        <v>212</v>
      </c>
      <c r="F55" s="4" t="s">
        <v>116</v>
      </c>
      <c r="G55" s="4" t="s">
        <v>119</v>
      </c>
      <c r="H55" s="4">
        <v>65.613016666666667</v>
      </c>
      <c r="I55" s="4">
        <v>-17.164366666666666</v>
      </c>
      <c r="J55" s="4" t="s">
        <v>135</v>
      </c>
      <c r="L55" s="7">
        <v>2010</v>
      </c>
      <c r="N55" s="4">
        <v>-64</v>
      </c>
      <c r="O55" s="4">
        <f>345+1950</f>
        <v>2295</v>
      </c>
      <c r="P55" s="4" t="s">
        <v>159</v>
      </c>
      <c r="Q55" s="4">
        <v>3</v>
      </c>
      <c r="U55" s="4" t="s">
        <v>167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H55" s="4">
        <v>233</v>
      </c>
      <c r="AJ55" s="4">
        <v>43.3</v>
      </c>
    </row>
    <row r="56" spans="1:36" x14ac:dyDescent="0.25">
      <c r="A56" s="4" t="s">
        <v>69</v>
      </c>
      <c r="C56" s="6"/>
      <c r="D56" s="4" t="s">
        <v>351</v>
      </c>
      <c r="E56" s="4" t="s">
        <v>225</v>
      </c>
      <c r="F56" s="4" t="s">
        <v>116</v>
      </c>
      <c r="G56" s="4" t="s">
        <v>119</v>
      </c>
      <c r="H56" s="4">
        <v>65.431650000000005</v>
      </c>
      <c r="I56" s="4">
        <v>-17.117133333333335</v>
      </c>
      <c r="J56" s="4" t="s">
        <v>135</v>
      </c>
      <c r="L56" s="7">
        <v>2010</v>
      </c>
      <c r="M56" s="4">
        <v>2009</v>
      </c>
      <c r="N56" s="4">
        <v>233</v>
      </c>
      <c r="O56" s="4">
        <v>1079</v>
      </c>
      <c r="P56" s="4" t="s">
        <v>159</v>
      </c>
      <c r="R56" s="4">
        <v>4</v>
      </c>
      <c r="U56" s="4" t="s">
        <v>165</v>
      </c>
      <c r="V56" s="7" t="s">
        <v>127</v>
      </c>
      <c r="W56" s="7"/>
      <c r="X56" s="7" t="s">
        <v>127</v>
      </c>
      <c r="Y56" s="7"/>
      <c r="Z56" s="7"/>
      <c r="AA56" s="7"/>
      <c r="AB56" s="7"/>
      <c r="AC56" s="7"/>
      <c r="AD56" s="7"/>
      <c r="AE56" s="7"/>
      <c r="AF56" s="7" t="s">
        <v>127</v>
      </c>
      <c r="AH56" s="4">
        <v>387</v>
      </c>
      <c r="AJ56" s="4">
        <v>49.77</v>
      </c>
    </row>
    <row r="57" spans="1:36" x14ac:dyDescent="0.25">
      <c r="A57" s="4" t="s">
        <v>154</v>
      </c>
      <c r="C57" s="6"/>
      <c r="D57" s="4" t="s">
        <v>352</v>
      </c>
      <c r="E57" s="4" t="s">
        <v>279</v>
      </c>
      <c r="F57" s="4" t="s">
        <v>117</v>
      </c>
      <c r="G57" s="4" t="s">
        <v>125</v>
      </c>
      <c r="H57" s="4">
        <v>65.096683333333331</v>
      </c>
      <c r="I57" s="4">
        <v>-14.714583333333334</v>
      </c>
      <c r="J57" s="4" t="s">
        <v>135</v>
      </c>
      <c r="L57" s="7">
        <v>2000</v>
      </c>
      <c r="N57" s="4">
        <v>-59</v>
      </c>
      <c r="O57" s="4">
        <v>1250</v>
      </c>
      <c r="P57" s="4" t="s">
        <v>158</v>
      </c>
      <c r="Q57" s="4">
        <v>6</v>
      </c>
      <c r="U57" s="4" t="s">
        <v>164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H57" s="4">
        <v>191</v>
      </c>
      <c r="AJ57" s="4">
        <v>23.92</v>
      </c>
    </row>
    <row r="58" spans="1:36" x14ac:dyDescent="0.25">
      <c r="A58" s="4" t="s">
        <v>166</v>
      </c>
      <c r="C58" s="4" t="s">
        <v>99</v>
      </c>
      <c r="D58" s="4" t="s">
        <v>348</v>
      </c>
      <c r="E58" s="4" t="s">
        <v>226</v>
      </c>
      <c r="F58" s="4" t="s">
        <v>116</v>
      </c>
      <c r="G58" s="4" t="s">
        <v>124</v>
      </c>
      <c r="H58" s="4">
        <v>64.181998712853598</v>
      </c>
      <c r="I58" s="4">
        <v>-21.642415561341998</v>
      </c>
      <c r="J58" s="4" t="s">
        <v>134</v>
      </c>
      <c r="K58" s="4" t="s">
        <v>247</v>
      </c>
      <c r="L58" s="7">
        <v>2010</v>
      </c>
      <c r="N58" s="4">
        <v>450</v>
      </c>
      <c r="O58" s="6">
        <v>1240</v>
      </c>
      <c r="P58" s="4" t="s">
        <v>159</v>
      </c>
      <c r="Q58" s="4">
        <v>3</v>
      </c>
      <c r="U58" s="4" t="s">
        <v>164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H58" s="4">
        <v>60</v>
      </c>
      <c r="AJ58" s="4">
        <v>3.58</v>
      </c>
    </row>
    <row r="59" spans="1:36" x14ac:dyDescent="0.25">
      <c r="A59" s="4" t="s">
        <v>166</v>
      </c>
      <c r="C59" s="4" t="s">
        <v>99</v>
      </c>
      <c r="D59" s="4" t="s">
        <v>348</v>
      </c>
      <c r="E59" s="4" t="s">
        <v>112</v>
      </c>
      <c r="F59" s="4" t="s">
        <v>116</v>
      </c>
      <c r="G59" s="4" t="s">
        <v>124</v>
      </c>
      <c r="H59" s="4">
        <v>64.186296566804103</v>
      </c>
      <c r="I59" s="4">
        <v>-21.618818446214</v>
      </c>
      <c r="J59" s="4" t="s">
        <v>134</v>
      </c>
      <c r="K59" s="4" t="s">
        <v>247</v>
      </c>
      <c r="L59" s="7">
        <v>2010</v>
      </c>
      <c r="N59" s="4">
        <v>450</v>
      </c>
      <c r="O59" s="6">
        <v>1150</v>
      </c>
      <c r="P59" s="4" t="s">
        <v>159</v>
      </c>
      <c r="Q59" s="4">
        <v>3</v>
      </c>
      <c r="U59" s="4" t="s">
        <v>164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H59" s="4">
        <v>60</v>
      </c>
      <c r="AJ59" s="4">
        <v>4.07</v>
      </c>
    </row>
    <row r="60" spans="1:36" x14ac:dyDescent="0.25">
      <c r="A60" s="4" t="s">
        <v>70</v>
      </c>
      <c r="C60" s="6" t="s">
        <v>89</v>
      </c>
      <c r="D60" s="4" t="s">
        <v>348</v>
      </c>
      <c r="E60" s="4" t="s">
        <v>232</v>
      </c>
      <c r="F60" s="4" t="s">
        <v>117</v>
      </c>
      <c r="G60" s="4" t="s">
        <v>119</v>
      </c>
      <c r="H60" s="4">
        <v>65.420199999999994</v>
      </c>
      <c r="I60" s="4">
        <v>-19.873133333333332</v>
      </c>
      <c r="J60" s="4" t="s">
        <v>135</v>
      </c>
      <c r="L60" s="7">
        <v>2010</v>
      </c>
      <c r="N60" s="4">
        <v>-60</v>
      </c>
      <c r="O60" s="4">
        <v>10300</v>
      </c>
      <c r="P60" s="4" t="s">
        <v>157</v>
      </c>
      <c r="Q60" s="4">
        <v>9</v>
      </c>
      <c r="R60" s="4">
        <v>8</v>
      </c>
      <c r="U60" s="4" t="s">
        <v>164</v>
      </c>
      <c r="V60" s="7" t="s">
        <v>127</v>
      </c>
      <c r="W60" s="7" t="s">
        <v>127</v>
      </c>
      <c r="X60" s="7"/>
      <c r="Y60" s="7"/>
      <c r="Z60" s="7"/>
      <c r="AA60" s="7" t="s">
        <v>127</v>
      </c>
      <c r="AB60" s="7" t="s">
        <v>127</v>
      </c>
      <c r="AC60" s="7" t="s">
        <v>127</v>
      </c>
      <c r="AD60" s="7"/>
      <c r="AE60" s="7"/>
      <c r="AF60" s="7" t="s">
        <v>127</v>
      </c>
      <c r="AH60" s="4">
        <v>413</v>
      </c>
      <c r="AJ60" s="4">
        <v>31.39</v>
      </c>
    </row>
    <row r="61" spans="1:36" x14ac:dyDescent="0.25">
      <c r="A61" s="4" t="s">
        <v>68</v>
      </c>
      <c r="C61" s="6"/>
      <c r="D61" s="4" t="s">
        <v>350</v>
      </c>
      <c r="E61" s="4" t="s">
        <v>278</v>
      </c>
      <c r="F61" s="4" t="s">
        <v>116</v>
      </c>
      <c r="G61" s="4" t="s">
        <v>121</v>
      </c>
      <c r="H61" s="4">
        <v>64.595124999999996</v>
      </c>
      <c r="I61" s="4">
        <v>-14.175977777777778</v>
      </c>
      <c r="J61" s="4" t="s">
        <v>134</v>
      </c>
      <c r="K61" s="4" t="s">
        <v>277</v>
      </c>
      <c r="L61" s="7">
        <v>1990</v>
      </c>
      <c r="M61" s="4">
        <v>1991</v>
      </c>
      <c r="N61" s="4">
        <v>-41</v>
      </c>
      <c r="O61" s="4">
        <v>900</v>
      </c>
      <c r="P61" s="4" t="s">
        <v>157</v>
      </c>
      <c r="R61" s="4">
        <v>2</v>
      </c>
      <c r="U61" s="4" t="s">
        <v>164</v>
      </c>
      <c r="V61" s="7" t="s">
        <v>127</v>
      </c>
      <c r="W61" s="7"/>
      <c r="X61" s="7"/>
      <c r="Y61" s="7"/>
      <c r="Z61" s="7"/>
      <c r="AA61" s="7"/>
      <c r="AB61" s="7"/>
      <c r="AC61" s="7"/>
      <c r="AD61" s="7"/>
      <c r="AE61" s="7" t="s">
        <v>127</v>
      </c>
      <c r="AF61" s="7"/>
      <c r="AH61" s="4">
        <v>18</v>
      </c>
      <c r="AJ61" s="4">
        <v>0.17</v>
      </c>
    </row>
    <row r="62" spans="1:36" x14ac:dyDescent="0.25">
      <c r="A62" s="4" t="s">
        <v>185</v>
      </c>
      <c r="D62" s="4" t="s">
        <v>351</v>
      </c>
      <c r="E62" s="4" t="s">
        <v>183</v>
      </c>
      <c r="F62" s="4" t="s">
        <v>184</v>
      </c>
      <c r="H62" s="4">
        <v>64.909527255581295</v>
      </c>
      <c r="I62" s="4">
        <v>-15.8430634041256</v>
      </c>
      <c r="J62" s="4" t="s">
        <v>134</v>
      </c>
      <c r="K62" s="4" t="s">
        <v>261</v>
      </c>
      <c r="L62" s="7">
        <v>2000</v>
      </c>
    </row>
    <row r="63" spans="1:36" x14ac:dyDescent="0.25">
      <c r="A63" s="4" t="s">
        <v>103</v>
      </c>
      <c r="C63" s="4" t="s">
        <v>102</v>
      </c>
      <c r="D63" s="4" t="s">
        <v>348</v>
      </c>
      <c r="E63" s="4" t="s">
        <v>114</v>
      </c>
      <c r="F63" s="4" t="s">
        <v>118</v>
      </c>
      <c r="G63" s="4" t="s">
        <v>120</v>
      </c>
      <c r="H63" s="4">
        <v>66</v>
      </c>
      <c r="I63" s="4">
        <v>-21.36888888888889</v>
      </c>
      <c r="J63" s="4" t="s">
        <v>135</v>
      </c>
      <c r="L63" s="7">
        <v>1990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H63" s="4">
        <v>45</v>
      </c>
      <c r="AJ63" s="4">
        <v>1.32</v>
      </c>
    </row>
    <row r="64" spans="1:36" x14ac:dyDescent="0.25">
      <c r="A64" s="4" t="s">
        <v>103</v>
      </c>
      <c r="C64" s="4" t="s">
        <v>102</v>
      </c>
      <c r="D64" s="4" t="s">
        <v>348</v>
      </c>
      <c r="E64" s="4" t="s">
        <v>216</v>
      </c>
      <c r="F64" s="4" t="s">
        <v>118</v>
      </c>
      <c r="G64" s="4" t="s">
        <v>126</v>
      </c>
      <c r="H64" s="4">
        <v>66.22</v>
      </c>
      <c r="I64" s="4">
        <v>-15.706666666666665</v>
      </c>
      <c r="J64" s="4" t="s">
        <v>135</v>
      </c>
      <c r="L64" s="7">
        <v>1990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H64" s="4">
        <v>20</v>
      </c>
      <c r="AJ64" s="4">
        <v>0.76</v>
      </c>
    </row>
    <row r="65" spans="1:36" x14ac:dyDescent="0.25">
      <c r="A65" s="4" t="s">
        <v>87</v>
      </c>
      <c r="D65" s="4" t="s">
        <v>349</v>
      </c>
      <c r="E65" s="4" t="s">
        <v>227</v>
      </c>
      <c r="F65" s="4" t="s">
        <v>116</v>
      </c>
      <c r="G65" s="4" t="s">
        <v>120</v>
      </c>
      <c r="H65" s="4">
        <v>66.05</v>
      </c>
      <c r="I65" s="4">
        <v>-21.368333333333332</v>
      </c>
      <c r="J65" s="4" t="s">
        <v>135</v>
      </c>
      <c r="L65" s="7">
        <v>1990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H65" s="4">
        <v>50</v>
      </c>
      <c r="AJ65" s="4">
        <v>0</v>
      </c>
    </row>
    <row r="66" spans="1:36" x14ac:dyDescent="0.25">
      <c r="A66" s="4" t="s">
        <v>87</v>
      </c>
      <c r="D66" s="4" t="s">
        <v>349</v>
      </c>
      <c r="E66" s="4" t="s">
        <v>215</v>
      </c>
      <c r="F66" s="4" t="s">
        <v>116</v>
      </c>
      <c r="G66" s="4" t="s">
        <v>126</v>
      </c>
      <c r="H66" s="4">
        <v>66.223333333333329</v>
      </c>
      <c r="I66" s="4">
        <v>-15.706666666666665</v>
      </c>
      <c r="J66" s="4" t="s">
        <v>135</v>
      </c>
      <c r="L66" s="7">
        <v>1990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H66" s="4">
        <v>12</v>
      </c>
      <c r="AJ66" s="4">
        <v>0.49</v>
      </c>
    </row>
    <row r="67" spans="1:36" x14ac:dyDescent="0.25">
      <c r="A67" s="4" t="s">
        <v>78</v>
      </c>
      <c r="D67" s="4" t="s">
        <v>350</v>
      </c>
      <c r="E67" s="4" t="s">
        <v>168</v>
      </c>
      <c r="F67" s="4" t="s">
        <v>117</v>
      </c>
      <c r="H67" s="4">
        <v>65.7936434497596</v>
      </c>
      <c r="I67" s="4">
        <v>-17.4200195891036</v>
      </c>
      <c r="J67" s="4" t="s">
        <v>134</v>
      </c>
      <c r="K67" s="4" t="s">
        <v>244</v>
      </c>
      <c r="L67" s="7">
        <v>2000</v>
      </c>
    </row>
    <row r="68" spans="1:36" x14ac:dyDescent="0.25">
      <c r="A68" s="4" t="s">
        <v>71</v>
      </c>
      <c r="B68" s="4" t="s">
        <v>421</v>
      </c>
      <c r="C68" s="6"/>
      <c r="D68" s="4" t="s">
        <v>348</v>
      </c>
      <c r="E68" s="4" t="s">
        <v>104</v>
      </c>
      <c r="F68" s="4" t="s">
        <v>116</v>
      </c>
      <c r="H68" s="4">
        <v>63.957609736071099</v>
      </c>
      <c r="I68" s="4">
        <v>-20.994588556644501</v>
      </c>
      <c r="J68" s="4" t="s">
        <v>134</v>
      </c>
      <c r="K68" s="4" t="s">
        <v>271</v>
      </c>
      <c r="L68" s="7">
        <v>1950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H68" s="4">
        <v>40</v>
      </c>
    </row>
    <row r="69" spans="1:36" x14ac:dyDescent="0.25">
      <c r="A69" s="4" t="s">
        <v>171</v>
      </c>
      <c r="C69" s="6"/>
      <c r="D69" s="4" t="s">
        <v>348</v>
      </c>
      <c r="E69" s="4" t="s">
        <v>222</v>
      </c>
      <c r="F69" s="4" t="s">
        <v>116</v>
      </c>
      <c r="G69" s="4" t="s">
        <v>124</v>
      </c>
      <c r="H69" s="4">
        <v>64.122308088964104</v>
      </c>
      <c r="I69" s="4">
        <v>-21.851111876640001</v>
      </c>
      <c r="J69" s="4" t="s">
        <v>134</v>
      </c>
      <c r="K69" s="4" t="s">
        <v>175</v>
      </c>
      <c r="L69" s="7">
        <v>1950</v>
      </c>
      <c r="U69" s="4" t="s">
        <v>165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H69" s="4">
        <v>30</v>
      </c>
      <c r="AJ69" s="4">
        <v>0.89</v>
      </c>
    </row>
    <row r="70" spans="1:36" x14ac:dyDescent="0.25">
      <c r="A70" s="4" t="s">
        <v>172</v>
      </c>
      <c r="D70" s="4" t="s">
        <v>348</v>
      </c>
      <c r="E70" s="4" t="s">
        <v>174</v>
      </c>
      <c r="F70" s="4" t="s">
        <v>116</v>
      </c>
      <c r="H70" s="4">
        <v>64.154285760181494</v>
      </c>
      <c r="I70" s="4">
        <v>-21.735587220690299</v>
      </c>
      <c r="J70" s="4" t="s">
        <v>134</v>
      </c>
      <c r="K70" s="4" t="s">
        <v>175</v>
      </c>
      <c r="L70" s="7">
        <v>1960</v>
      </c>
    </row>
    <row r="71" spans="1:36" x14ac:dyDescent="0.25">
      <c r="A71" s="4" t="s">
        <v>172</v>
      </c>
      <c r="D71" s="4" t="s">
        <v>348</v>
      </c>
      <c r="E71" s="4" t="s">
        <v>239</v>
      </c>
      <c r="F71" s="4" t="s">
        <v>116</v>
      </c>
      <c r="H71" s="4">
        <v>65.095905957120394</v>
      </c>
      <c r="I71" s="4">
        <v>-14.725127741215401</v>
      </c>
      <c r="J71" s="4" t="s">
        <v>134</v>
      </c>
      <c r="K71" s="4" t="s">
        <v>246</v>
      </c>
      <c r="L71" s="7">
        <v>1960</v>
      </c>
    </row>
    <row r="72" spans="1:36" x14ac:dyDescent="0.25">
      <c r="A72" s="4" t="s">
        <v>172</v>
      </c>
      <c r="D72" s="4" t="s">
        <v>348</v>
      </c>
      <c r="E72" s="4" t="s">
        <v>179</v>
      </c>
      <c r="F72" s="4" t="s">
        <v>116</v>
      </c>
      <c r="H72" s="4">
        <v>65.736324072845093</v>
      </c>
      <c r="I72" s="4">
        <v>-18.195123797058901</v>
      </c>
      <c r="J72" s="4" t="s">
        <v>134</v>
      </c>
      <c r="K72" s="4" t="s">
        <v>257</v>
      </c>
      <c r="L72" s="7">
        <v>1960</v>
      </c>
    </row>
    <row r="73" spans="1:36" x14ac:dyDescent="0.25">
      <c r="A73" s="4" t="s">
        <v>172</v>
      </c>
      <c r="D73" s="4" t="s">
        <v>348</v>
      </c>
      <c r="E73" s="4" t="s">
        <v>180</v>
      </c>
      <c r="F73" s="4" t="s">
        <v>116</v>
      </c>
      <c r="H73" s="4">
        <v>65.736324072845093</v>
      </c>
      <c r="I73" s="4">
        <v>-18.195123797058901</v>
      </c>
      <c r="J73" s="4" t="s">
        <v>134</v>
      </c>
      <c r="K73" s="4" t="s">
        <v>257</v>
      </c>
      <c r="L73" s="7">
        <v>1960</v>
      </c>
    </row>
    <row r="74" spans="1:36" x14ac:dyDescent="0.25">
      <c r="A74" s="4" t="s">
        <v>172</v>
      </c>
      <c r="D74" s="4" t="s">
        <v>348</v>
      </c>
      <c r="E74" s="4" t="s">
        <v>176</v>
      </c>
      <c r="F74" s="4" t="s">
        <v>116</v>
      </c>
      <c r="H74" s="4">
        <v>63.977607985269898</v>
      </c>
      <c r="I74" s="4">
        <v>-21.110083760030601</v>
      </c>
      <c r="J74" s="4" t="s">
        <v>134</v>
      </c>
      <c r="K74" s="4" t="s">
        <v>259</v>
      </c>
      <c r="L74" s="7">
        <v>1960</v>
      </c>
    </row>
    <row r="75" spans="1:36" x14ac:dyDescent="0.25">
      <c r="A75" s="4" t="s">
        <v>172</v>
      </c>
      <c r="D75" s="4" t="s">
        <v>348</v>
      </c>
      <c r="E75" s="4" t="s">
        <v>178</v>
      </c>
      <c r="F75" s="4" t="s">
        <v>116</v>
      </c>
      <c r="H75" s="4">
        <v>64.824235699809293</v>
      </c>
      <c r="I75" s="4">
        <v>-23.012258942714201</v>
      </c>
      <c r="J75" s="4" t="s">
        <v>134</v>
      </c>
      <c r="K75" s="4" t="s">
        <v>260</v>
      </c>
      <c r="L75" s="7">
        <v>1960</v>
      </c>
    </row>
    <row r="76" spans="1:36" x14ac:dyDescent="0.25">
      <c r="A76" s="4" t="s">
        <v>172</v>
      </c>
      <c r="D76" s="4" t="s">
        <v>348</v>
      </c>
      <c r="E76" s="4" t="s">
        <v>173</v>
      </c>
      <c r="F76" s="4" t="s">
        <v>116</v>
      </c>
      <c r="H76" s="4">
        <v>64.159123721375494</v>
      </c>
      <c r="I76" s="4">
        <v>-22.022340834849999</v>
      </c>
      <c r="J76" s="4" t="s">
        <v>134</v>
      </c>
      <c r="K76" s="4" t="s">
        <v>263</v>
      </c>
      <c r="L76" s="7">
        <v>1960</v>
      </c>
    </row>
    <row r="77" spans="1:36" x14ac:dyDescent="0.25">
      <c r="A77" s="4" t="s">
        <v>172</v>
      </c>
      <c r="D77" s="4" t="s">
        <v>348</v>
      </c>
      <c r="E77" s="4" t="s">
        <v>371</v>
      </c>
      <c r="F77" s="4" t="s">
        <v>116</v>
      </c>
      <c r="H77" s="4">
        <v>65.478065344326595</v>
      </c>
      <c r="I77" s="4">
        <v>-19.278836402364298</v>
      </c>
      <c r="J77" s="4" t="s">
        <v>134</v>
      </c>
      <c r="K77" s="4" t="s">
        <v>266</v>
      </c>
      <c r="L77" s="7">
        <v>1960</v>
      </c>
    </row>
    <row r="78" spans="1:36" x14ac:dyDescent="0.25">
      <c r="A78" s="4" t="s">
        <v>172</v>
      </c>
      <c r="D78" s="4" t="s">
        <v>348</v>
      </c>
      <c r="E78" s="4" t="s">
        <v>229</v>
      </c>
      <c r="F78" s="4" t="s">
        <v>116</v>
      </c>
      <c r="H78" s="4">
        <v>65.587191073259106</v>
      </c>
      <c r="I78" s="4">
        <v>-20.313387720461201</v>
      </c>
      <c r="J78" s="4" t="s">
        <v>134</v>
      </c>
      <c r="K78" s="4" t="s">
        <v>270</v>
      </c>
      <c r="L78" s="7">
        <v>1960</v>
      </c>
    </row>
    <row r="79" spans="1:36" x14ac:dyDescent="0.25">
      <c r="A79" s="4" t="s">
        <v>172</v>
      </c>
      <c r="D79" s="4" t="s">
        <v>348</v>
      </c>
      <c r="E79" s="4" t="s">
        <v>231</v>
      </c>
      <c r="F79" s="4" t="s">
        <v>116</v>
      </c>
      <c r="H79" s="4">
        <v>65.5449489807757</v>
      </c>
      <c r="I79" s="4">
        <v>-19.438540884691001</v>
      </c>
      <c r="J79" s="4" t="s">
        <v>134</v>
      </c>
      <c r="K79" s="4" t="s">
        <v>272</v>
      </c>
      <c r="L79" s="7">
        <v>1960</v>
      </c>
    </row>
    <row r="80" spans="1:36" x14ac:dyDescent="0.25">
      <c r="A80" s="4" t="s">
        <v>172</v>
      </c>
      <c r="D80" s="4" t="s">
        <v>348</v>
      </c>
      <c r="E80" s="4" t="s">
        <v>177</v>
      </c>
      <c r="F80" s="4" t="s">
        <v>116</v>
      </c>
      <c r="H80" s="4">
        <v>64.120716487640806</v>
      </c>
      <c r="I80" s="4">
        <v>-21.094403126570501</v>
      </c>
      <c r="J80" s="4" t="s">
        <v>134</v>
      </c>
      <c r="K80" s="4" t="s">
        <v>276</v>
      </c>
      <c r="L80" s="7">
        <v>1960</v>
      </c>
    </row>
    <row r="81" spans="1:36" x14ac:dyDescent="0.25">
      <c r="A81" s="4" t="s">
        <v>238</v>
      </c>
      <c r="C81" s="4" t="s">
        <v>139</v>
      </c>
      <c r="D81" s="4" t="s">
        <v>348</v>
      </c>
      <c r="E81" s="4" t="s">
        <v>137</v>
      </c>
      <c r="F81" s="4" t="s">
        <v>116</v>
      </c>
      <c r="G81" s="4" t="s">
        <v>119</v>
      </c>
      <c r="H81" s="4">
        <v>65.736324072845093</v>
      </c>
      <c r="I81" s="4">
        <v>-18.195123797058901</v>
      </c>
      <c r="J81" s="4" t="s">
        <v>134</v>
      </c>
      <c r="K81" s="4" t="s">
        <v>257</v>
      </c>
      <c r="L81" s="7">
        <v>1960</v>
      </c>
      <c r="AH81" s="4">
        <v>80</v>
      </c>
    </row>
    <row r="82" spans="1:36" x14ac:dyDescent="0.25">
      <c r="A82" s="4" t="s">
        <v>136</v>
      </c>
      <c r="C82" s="4" t="s">
        <v>139</v>
      </c>
      <c r="D82" s="4" t="s">
        <v>348</v>
      </c>
      <c r="E82" s="4" t="s">
        <v>220</v>
      </c>
      <c r="F82" s="4" t="s">
        <v>116</v>
      </c>
      <c r="G82" s="4" t="s">
        <v>123</v>
      </c>
      <c r="H82" s="4">
        <v>64.1265157590001</v>
      </c>
      <c r="I82" s="4">
        <v>-20.523924716037801</v>
      </c>
      <c r="J82" s="4" t="s">
        <v>134</v>
      </c>
      <c r="K82" s="4" t="s">
        <v>264</v>
      </c>
      <c r="L82" s="7">
        <v>1960</v>
      </c>
    </row>
    <row r="83" spans="1:36" x14ac:dyDescent="0.25">
      <c r="A83" s="4" t="s">
        <v>76</v>
      </c>
      <c r="C83" s="6"/>
      <c r="D83" s="4" t="s">
        <v>348</v>
      </c>
      <c r="E83" s="4" t="s">
        <v>106</v>
      </c>
      <c r="F83" s="4" t="s">
        <v>117</v>
      </c>
      <c r="G83" s="4" t="s">
        <v>123</v>
      </c>
      <c r="H83" s="4">
        <v>64.022211340528301</v>
      </c>
      <c r="I83" s="4">
        <v>-20.705568478288001</v>
      </c>
      <c r="J83" s="4" t="s">
        <v>134</v>
      </c>
      <c r="K83" s="4" t="s">
        <v>251</v>
      </c>
      <c r="L83" s="7">
        <v>1990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H83" s="4">
        <v>48</v>
      </c>
      <c r="AJ83" s="4">
        <v>25.93</v>
      </c>
    </row>
    <row r="84" spans="1:36" x14ac:dyDescent="0.25">
      <c r="A84" s="4" t="s">
        <v>76</v>
      </c>
      <c r="C84" s="6"/>
      <c r="D84" s="4" t="s">
        <v>348</v>
      </c>
      <c r="E84" s="4" t="s">
        <v>107</v>
      </c>
      <c r="F84" s="4" t="s">
        <v>117</v>
      </c>
      <c r="G84" s="4" t="s">
        <v>119</v>
      </c>
      <c r="H84" s="4">
        <v>65.701839000000007</v>
      </c>
      <c r="I84" s="4">
        <v>-19.480556</v>
      </c>
      <c r="J84" s="4" t="s">
        <v>134</v>
      </c>
      <c r="K84" s="4" t="s">
        <v>273</v>
      </c>
      <c r="L84" s="7">
        <v>1990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H84" s="4">
        <v>64</v>
      </c>
      <c r="AJ84" s="4">
        <v>3.95</v>
      </c>
    </row>
  </sheetData>
  <autoFilter ref="A1:AS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6" sqref="B16"/>
    </sheetView>
  </sheetViews>
  <sheetFormatPr defaultRowHeight="15" x14ac:dyDescent="0.25"/>
  <cols>
    <col min="1" max="1" width="19" bestFit="1" customWidth="1"/>
    <col min="2" max="2" width="14.140625" style="3" customWidth="1"/>
    <col min="3" max="3" width="15.5703125" bestFit="1" customWidth="1"/>
    <col min="5" max="5" width="15.85546875" bestFit="1" customWidth="1"/>
    <col min="6" max="6" width="15.42578125" bestFit="1" customWidth="1"/>
    <col min="7" max="7" width="24.42578125" bestFit="1" customWidth="1"/>
    <col min="8" max="8" width="26.28515625" bestFit="1" customWidth="1"/>
    <col min="9" max="9" width="22.28515625" bestFit="1" customWidth="1"/>
    <col min="10" max="10" width="17.28515625" bestFit="1" customWidth="1"/>
  </cols>
  <sheetData>
    <row r="1" spans="1:13" x14ac:dyDescent="0.25">
      <c r="A1" t="s">
        <v>288</v>
      </c>
      <c r="B1" s="3" t="s">
        <v>404</v>
      </c>
      <c r="C1" t="s">
        <v>287</v>
      </c>
      <c r="D1" t="s">
        <v>353</v>
      </c>
      <c r="E1" t="s">
        <v>354</v>
      </c>
      <c r="F1" t="s">
        <v>355</v>
      </c>
      <c r="G1" t="s">
        <v>356</v>
      </c>
      <c r="H1" t="s">
        <v>369</v>
      </c>
      <c r="I1" t="s">
        <v>357</v>
      </c>
      <c r="J1" t="s">
        <v>367</v>
      </c>
      <c r="K1" t="s">
        <v>7</v>
      </c>
      <c r="L1" t="s">
        <v>368</v>
      </c>
      <c r="M1" t="s">
        <v>402</v>
      </c>
    </row>
    <row r="2" spans="1:13" x14ac:dyDescent="0.25">
      <c r="A2" t="s">
        <v>224</v>
      </c>
      <c r="B2" s="3" t="s">
        <v>164</v>
      </c>
      <c r="C2">
        <v>130</v>
      </c>
      <c r="D2">
        <v>310</v>
      </c>
      <c r="K2" t="s">
        <v>117</v>
      </c>
      <c r="L2">
        <v>32</v>
      </c>
    </row>
    <row r="3" spans="1:13" x14ac:dyDescent="0.25">
      <c r="A3" t="s">
        <v>279</v>
      </c>
      <c r="B3" s="3" t="s">
        <v>164</v>
      </c>
      <c r="C3">
        <v>310</v>
      </c>
      <c r="D3">
        <v>191</v>
      </c>
      <c r="K3" t="s">
        <v>117</v>
      </c>
      <c r="L3" t="s">
        <v>315</v>
      </c>
    </row>
    <row r="4" spans="1:13" x14ac:dyDescent="0.25">
      <c r="A4" s="3" t="s">
        <v>232</v>
      </c>
      <c r="B4" s="3" t="s">
        <v>164</v>
      </c>
      <c r="C4">
        <v>260</v>
      </c>
      <c r="D4">
        <v>413</v>
      </c>
      <c r="G4">
        <v>7.8</v>
      </c>
      <c r="H4">
        <v>8.8000000000000007</v>
      </c>
      <c r="I4">
        <v>8.39</v>
      </c>
      <c r="J4">
        <v>398</v>
      </c>
      <c r="K4" t="s">
        <v>117</v>
      </c>
      <c r="L4">
        <v>10</v>
      </c>
    </row>
    <row r="5" spans="1:13" x14ac:dyDescent="0.25">
      <c r="A5" s="3" t="s">
        <v>223</v>
      </c>
      <c r="B5" s="3" t="s">
        <v>164</v>
      </c>
      <c r="C5">
        <v>120</v>
      </c>
      <c r="D5">
        <v>100</v>
      </c>
      <c r="H5">
        <v>11</v>
      </c>
      <c r="J5">
        <v>768</v>
      </c>
      <c r="K5" t="s">
        <v>117</v>
      </c>
      <c r="L5">
        <v>3.5</v>
      </c>
    </row>
    <row r="6" spans="1:13" x14ac:dyDescent="0.25">
      <c r="A6" t="s">
        <v>192</v>
      </c>
      <c r="B6" s="3" t="s">
        <v>164</v>
      </c>
      <c r="C6">
        <v>342</v>
      </c>
      <c r="D6">
        <v>85</v>
      </c>
      <c r="K6" t="s">
        <v>117</v>
      </c>
      <c r="L6">
        <v>61.5</v>
      </c>
      <c r="M6" t="s">
        <v>164</v>
      </c>
    </row>
    <row r="7" spans="1:13" x14ac:dyDescent="0.25">
      <c r="A7" s="4" t="s">
        <v>112</v>
      </c>
      <c r="B7" s="4" t="s">
        <v>164</v>
      </c>
      <c r="C7">
        <v>117</v>
      </c>
      <c r="D7">
        <v>254</v>
      </c>
      <c r="K7" t="s">
        <v>387</v>
      </c>
      <c r="M7" t="s">
        <v>164</v>
      </c>
    </row>
    <row r="8" spans="1:13" x14ac:dyDescent="0.25">
      <c r="A8" s="4" t="s">
        <v>191</v>
      </c>
      <c r="B8" s="4" t="s">
        <v>164</v>
      </c>
      <c r="C8">
        <v>100</v>
      </c>
      <c r="D8">
        <v>80</v>
      </c>
      <c r="K8" t="s">
        <v>116</v>
      </c>
      <c r="M8" t="s">
        <v>164</v>
      </c>
    </row>
    <row r="9" spans="1:13" x14ac:dyDescent="0.25">
      <c r="A9" s="4" t="s">
        <v>194</v>
      </c>
      <c r="B9" s="4" t="s">
        <v>164</v>
      </c>
      <c r="C9">
        <v>62</v>
      </c>
      <c r="D9">
        <v>5</v>
      </c>
      <c r="K9" t="s">
        <v>388</v>
      </c>
      <c r="M9" t="s">
        <v>164</v>
      </c>
    </row>
    <row r="10" spans="1:13" x14ac:dyDescent="0.25">
      <c r="A10" s="4" t="s">
        <v>195</v>
      </c>
      <c r="B10" s="4" t="s">
        <v>164</v>
      </c>
      <c r="C10">
        <v>23</v>
      </c>
      <c r="D10">
        <v>5</v>
      </c>
      <c r="K10" t="s">
        <v>388</v>
      </c>
    </row>
    <row r="11" spans="1:13" x14ac:dyDescent="0.25">
      <c r="A11" s="4" t="s">
        <v>395</v>
      </c>
      <c r="B11" s="4" t="s">
        <v>164</v>
      </c>
      <c r="C11">
        <v>566</v>
      </c>
      <c r="D11">
        <v>48</v>
      </c>
      <c r="K11" t="s">
        <v>117</v>
      </c>
      <c r="L11">
        <v>600</v>
      </c>
    </row>
    <row r="12" spans="1:13" x14ac:dyDescent="0.25">
      <c r="A12" s="4" t="s">
        <v>401</v>
      </c>
      <c r="B12" s="4" t="s">
        <v>164</v>
      </c>
      <c r="C12">
        <v>175</v>
      </c>
      <c r="D12">
        <v>64</v>
      </c>
      <c r="K12" t="s">
        <v>117</v>
      </c>
      <c r="L12">
        <v>20</v>
      </c>
      <c r="M12" t="s">
        <v>164</v>
      </c>
    </row>
    <row r="13" spans="1:13" x14ac:dyDescent="0.25">
      <c r="A13" s="4" t="s">
        <v>283</v>
      </c>
      <c r="B13" s="4" t="s">
        <v>164</v>
      </c>
      <c r="C13">
        <v>242</v>
      </c>
      <c r="K13" t="s">
        <v>116</v>
      </c>
    </row>
    <row r="14" spans="1:13" x14ac:dyDescent="0.25">
      <c r="A14" s="4" t="s">
        <v>408</v>
      </c>
      <c r="B14" s="4" t="s">
        <v>164</v>
      </c>
      <c r="C14">
        <v>515</v>
      </c>
      <c r="K14" t="s">
        <v>117</v>
      </c>
      <c r="L14" s="14" t="s">
        <v>409</v>
      </c>
    </row>
    <row r="15" spans="1:13" x14ac:dyDescent="0.25">
      <c r="A15" s="4" t="s">
        <v>418</v>
      </c>
      <c r="B15" s="4"/>
      <c r="C15">
        <v>250</v>
      </c>
      <c r="D15">
        <v>2</v>
      </c>
      <c r="K15" t="s">
        <v>117</v>
      </c>
      <c r="L15" s="14" t="s">
        <v>409</v>
      </c>
    </row>
    <row r="28" spans="1:13" x14ac:dyDescent="0.25">
      <c r="A28" s="4" t="s">
        <v>403</v>
      </c>
      <c r="B28" s="4"/>
      <c r="M28" t="s">
        <v>164</v>
      </c>
    </row>
    <row r="29" spans="1:13" x14ac:dyDescent="0.25">
      <c r="A29" s="4" t="s">
        <v>208</v>
      </c>
      <c r="B29" s="4"/>
      <c r="M2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12.28515625" bestFit="1" customWidth="1"/>
    <col min="3" max="3" width="13.28515625" bestFit="1" customWidth="1"/>
  </cols>
  <sheetData>
    <row r="1" spans="1:4" x14ac:dyDescent="0.25">
      <c r="A1" t="s">
        <v>288</v>
      </c>
      <c r="B1" t="s">
        <v>290</v>
      </c>
      <c r="C1" t="s">
        <v>289</v>
      </c>
      <c r="D1" t="s">
        <v>291</v>
      </c>
    </row>
    <row r="2" spans="1:4" x14ac:dyDescent="0.25">
      <c r="A2" s="3" t="s">
        <v>224</v>
      </c>
      <c r="B2">
        <v>1</v>
      </c>
      <c r="C2">
        <v>1</v>
      </c>
      <c r="D2" t="s">
        <v>292</v>
      </c>
    </row>
    <row r="3" spans="1:4" x14ac:dyDescent="0.25">
      <c r="A3" s="3" t="s">
        <v>232</v>
      </c>
      <c r="B3">
        <v>1</v>
      </c>
    </row>
    <row r="4" spans="1:4" x14ac:dyDescent="0.25">
      <c r="A4" t="s">
        <v>223</v>
      </c>
      <c r="B4">
        <v>1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B1" workbookViewId="0">
      <selection activeCell="B4" sqref="B4"/>
    </sheetView>
  </sheetViews>
  <sheetFormatPr defaultRowHeight="15" x14ac:dyDescent="0.25"/>
  <cols>
    <col min="1" max="1" width="16" bestFit="1" customWidth="1"/>
    <col min="2" max="2" width="12.28515625" bestFit="1" customWidth="1"/>
  </cols>
  <sheetData>
    <row r="1" spans="1:4" x14ac:dyDescent="0.25">
      <c r="A1" s="3" t="s">
        <v>288</v>
      </c>
      <c r="B1" t="s">
        <v>290</v>
      </c>
      <c r="C1" t="s">
        <v>359</v>
      </c>
      <c r="D1" t="s">
        <v>360</v>
      </c>
    </row>
    <row r="2" spans="1:4" x14ac:dyDescent="0.25">
      <c r="A2" s="3" t="s">
        <v>232</v>
      </c>
      <c r="B2">
        <v>1</v>
      </c>
      <c r="C2">
        <v>1.2</v>
      </c>
      <c r="D2" t="s">
        <v>361</v>
      </c>
    </row>
    <row r="3" spans="1:4" x14ac:dyDescent="0.25">
      <c r="A3" t="s">
        <v>223</v>
      </c>
      <c r="B3">
        <v>1</v>
      </c>
      <c r="C3">
        <v>1</v>
      </c>
      <c r="D3" t="s">
        <v>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1" max="1" width="16" bestFit="1" customWidth="1"/>
    <col min="5" max="5" width="27.85546875" bestFit="1" customWidth="1"/>
  </cols>
  <sheetData>
    <row r="1" spans="1:5" x14ac:dyDescent="0.25">
      <c r="A1" t="s">
        <v>288</v>
      </c>
      <c r="B1" t="s">
        <v>362</v>
      </c>
      <c r="D1" t="s">
        <v>358</v>
      </c>
      <c r="E1" t="s">
        <v>365</v>
      </c>
    </row>
    <row r="2" spans="1:5" x14ac:dyDescent="0.25">
      <c r="A2" s="3" t="s">
        <v>232</v>
      </c>
      <c r="B2" t="s">
        <v>363</v>
      </c>
      <c r="C2" t="s">
        <v>364</v>
      </c>
      <c r="D2">
        <v>2</v>
      </c>
      <c r="E2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defaultRowHeight="15" x14ac:dyDescent="0.25"/>
  <cols>
    <col min="1" max="1" width="14.140625" bestFit="1" customWidth="1"/>
    <col min="2" max="2" width="12.28515625" bestFit="1" customWidth="1"/>
    <col min="3" max="3" width="15.140625" bestFit="1" customWidth="1"/>
  </cols>
  <sheetData>
    <row r="1" spans="1:4" x14ac:dyDescent="0.25">
      <c r="A1" t="s">
        <v>288</v>
      </c>
      <c r="B1" t="s">
        <v>290</v>
      </c>
      <c r="C1" t="s">
        <v>293</v>
      </c>
      <c r="D1" t="s">
        <v>294</v>
      </c>
    </row>
    <row r="2" spans="1:4" x14ac:dyDescent="0.25">
      <c r="A2" s="3" t="s">
        <v>224</v>
      </c>
      <c r="B2">
        <v>1</v>
      </c>
      <c r="C2">
        <v>0.46</v>
      </c>
      <c r="D2" t="s">
        <v>295</v>
      </c>
    </row>
    <row r="3" spans="1:4" x14ac:dyDescent="0.25">
      <c r="A3" s="3" t="s">
        <v>232</v>
      </c>
      <c r="B3">
        <v>1</v>
      </c>
      <c r="D3" s="3" t="s">
        <v>295</v>
      </c>
    </row>
    <row r="4" spans="1:4" x14ac:dyDescent="0.25">
      <c r="A4" t="s">
        <v>223</v>
      </c>
      <c r="B4">
        <v>1</v>
      </c>
      <c r="C4">
        <v>0.46</v>
      </c>
      <c r="D4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H13" sqref="H13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5.42578125" bestFit="1" customWidth="1"/>
    <col min="4" max="4" width="23.5703125" style="3" bestFit="1" customWidth="1"/>
    <col min="5" max="5" width="12.140625" style="3" bestFit="1" customWidth="1"/>
    <col min="6" max="6" width="13.7109375" style="3" bestFit="1" customWidth="1"/>
    <col min="7" max="7" width="12.140625" style="3" bestFit="1" customWidth="1"/>
    <col min="8" max="8" width="13.28515625" style="3" bestFit="1" customWidth="1"/>
    <col min="10" max="10" width="12.140625" bestFit="1" customWidth="1"/>
    <col min="11" max="11" width="15.7109375" customWidth="1"/>
    <col min="12" max="12" width="24" bestFit="1" customWidth="1"/>
  </cols>
  <sheetData>
    <row r="1" spans="1:13" x14ac:dyDescent="0.25">
      <c r="A1" t="s">
        <v>288</v>
      </c>
      <c r="B1" t="s">
        <v>300</v>
      </c>
      <c r="C1" t="s">
        <v>304</v>
      </c>
      <c r="D1" s="3" t="s">
        <v>406</v>
      </c>
      <c r="E1" s="3" t="s">
        <v>301</v>
      </c>
      <c r="F1" s="3" t="s">
        <v>302</v>
      </c>
      <c r="G1" s="3" t="s">
        <v>303</v>
      </c>
      <c r="H1" s="3" t="s">
        <v>289</v>
      </c>
      <c r="I1" t="s">
        <v>296</v>
      </c>
      <c r="J1" t="s">
        <v>410</v>
      </c>
      <c r="K1" t="s">
        <v>298</v>
      </c>
      <c r="L1" t="s">
        <v>332</v>
      </c>
      <c r="M1" t="s">
        <v>389</v>
      </c>
    </row>
    <row r="2" spans="1:13" x14ac:dyDescent="0.25">
      <c r="A2" t="s">
        <v>224</v>
      </c>
      <c r="B2">
        <v>13</v>
      </c>
      <c r="C2" t="s">
        <v>315</v>
      </c>
      <c r="D2" s="3">
        <v>15</v>
      </c>
      <c r="E2" s="3" t="s">
        <v>315</v>
      </c>
      <c r="F2" s="3">
        <v>25</v>
      </c>
      <c r="G2" s="3" t="s">
        <v>315</v>
      </c>
      <c r="H2" s="3">
        <v>1</v>
      </c>
      <c r="I2" t="s">
        <v>297</v>
      </c>
      <c r="J2">
        <v>300</v>
      </c>
      <c r="K2">
        <v>20</v>
      </c>
      <c r="L2">
        <f>330/D2</f>
        <v>22</v>
      </c>
      <c r="M2">
        <f>1000/L2</f>
        <v>45.454545454545453</v>
      </c>
    </row>
    <row r="3" spans="1:13" x14ac:dyDescent="0.25">
      <c r="A3" t="s">
        <v>279</v>
      </c>
      <c r="B3">
        <v>5</v>
      </c>
      <c r="C3">
        <v>10</v>
      </c>
      <c r="D3" s="3">
        <v>6</v>
      </c>
      <c r="E3" s="3">
        <v>10</v>
      </c>
      <c r="F3" s="3">
        <v>10</v>
      </c>
      <c r="G3" s="3">
        <v>10</v>
      </c>
      <c r="H3" s="3">
        <v>2</v>
      </c>
      <c r="I3" t="s">
        <v>297</v>
      </c>
      <c r="J3" t="s">
        <v>315</v>
      </c>
      <c r="K3" t="s">
        <v>315</v>
      </c>
      <c r="L3" s="3">
        <f t="shared" ref="L3:L14" si="0">330/D3</f>
        <v>55</v>
      </c>
      <c r="M3" s="3">
        <f t="shared" ref="M3:M14" si="1">1000/L3</f>
        <v>18.181818181818183</v>
      </c>
    </row>
    <row r="4" spans="1:13" x14ac:dyDescent="0.25">
      <c r="A4" t="s">
        <v>223</v>
      </c>
      <c r="B4">
        <v>24</v>
      </c>
      <c r="C4" t="s">
        <v>315</v>
      </c>
      <c r="D4" s="3">
        <v>13</v>
      </c>
      <c r="E4" s="3" t="s">
        <v>315</v>
      </c>
      <c r="F4" s="3">
        <v>18</v>
      </c>
      <c r="G4" s="3" t="s">
        <v>315</v>
      </c>
      <c r="H4" s="3" t="s">
        <v>315</v>
      </c>
      <c r="I4" t="s">
        <v>297</v>
      </c>
      <c r="J4">
        <v>300</v>
      </c>
      <c r="K4">
        <v>20</v>
      </c>
      <c r="L4" s="3">
        <f>330/D4</f>
        <v>25.384615384615383</v>
      </c>
      <c r="M4" s="3">
        <f t="shared" si="1"/>
        <v>39.393939393939398</v>
      </c>
    </row>
    <row r="5" spans="1:13" x14ac:dyDescent="0.25">
      <c r="A5" s="3" t="s">
        <v>232</v>
      </c>
      <c r="B5">
        <v>33</v>
      </c>
      <c r="C5" t="s">
        <v>315</v>
      </c>
      <c r="D5" s="3">
        <v>2</v>
      </c>
      <c r="E5" s="3" t="s">
        <v>315</v>
      </c>
      <c r="F5" s="3">
        <v>2</v>
      </c>
      <c r="G5" s="3" t="s">
        <v>315</v>
      </c>
      <c r="H5" s="3">
        <v>2</v>
      </c>
      <c r="I5" t="s">
        <v>343</v>
      </c>
      <c r="J5">
        <v>300</v>
      </c>
      <c r="K5" t="s">
        <v>315</v>
      </c>
      <c r="L5" s="3">
        <f t="shared" si="0"/>
        <v>165</v>
      </c>
      <c r="M5" s="3">
        <f t="shared" si="1"/>
        <v>6.0606060606060606</v>
      </c>
    </row>
    <row r="6" spans="1:13" x14ac:dyDescent="0.25">
      <c r="A6" t="s">
        <v>192</v>
      </c>
      <c r="B6">
        <v>41</v>
      </c>
      <c r="D6" s="3">
        <v>3</v>
      </c>
      <c r="F6" s="3">
        <v>2</v>
      </c>
      <c r="J6">
        <v>500</v>
      </c>
      <c r="L6">
        <f t="shared" si="0"/>
        <v>110</v>
      </c>
      <c r="M6" s="3">
        <f t="shared" si="1"/>
        <v>9.0909090909090917</v>
      </c>
    </row>
    <row r="7" spans="1:13" x14ac:dyDescent="0.25">
      <c r="A7" s="4" t="s">
        <v>112</v>
      </c>
      <c r="B7">
        <v>9</v>
      </c>
      <c r="D7" s="3">
        <v>8</v>
      </c>
      <c r="F7" s="3">
        <v>16</v>
      </c>
      <c r="J7">
        <v>500</v>
      </c>
      <c r="L7" s="3">
        <f>330/D7</f>
        <v>41.25</v>
      </c>
      <c r="M7" s="3">
        <f t="shared" si="1"/>
        <v>24.242424242424242</v>
      </c>
    </row>
    <row r="8" spans="1:13" x14ac:dyDescent="0.25">
      <c r="A8" s="4" t="s">
        <v>191</v>
      </c>
      <c r="B8">
        <v>10</v>
      </c>
      <c r="D8" s="3">
        <v>4</v>
      </c>
      <c r="F8" s="3">
        <v>5</v>
      </c>
      <c r="J8">
        <v>500</v>
      </c>
      <c r="L8" s="3">
        <f t="shared" si="0"/>
        <v>82.5</v>
      </c>
      <c r="M8" s="3">
        <f t="shared" si="1"/>
        <v>12.121212121212121</v>
      </c>
    </row>
    <row r="9" spans="1:13" x14ac:dyDescent="0.25">
      <c r="A9" s="4" t="s">
        <v>194</v>
      </c>
      <c r="B9">
        <v>3</v>
      </c>
      <c r="D9" s="3">
        <v>7</v>
      </c>
      <c r="F9" s="3">
        <v>6</v>
      </c>
      <c r="J9">
        <v>500</v>
      </c>
      <c r="L9" s="3">
        <f>330/D9</f>
        <v>47.142857142857146</v>
      </c>
      <c r="M9" s="3">
        <f t="shared" si="1"/>
        <v>21.212121212121211</v>
      </c>
    </row>
    <row r="10" spans="1:13" x14ac:dyDescent="0.25">
      <c r="A10" s="4" t="s">
        <v>195</v>
      </c>
      <c r="B10">
        <v>5</v>
      </c>
      <c r="D10" s="3">
        <v>2</v>
      </c>
      <c r="F10" s="3">
        <v>0</v>
      </c>
      <c r="J10">
        <v>500</v>
      </c>
      <c r="L10" s="3">
        <f t="shared" si="0"/>
        <v>165</v>
      </c>
      <c r="M10" s="3">
        <f t="shared" si="1"/>
        <v>6.0606060606060606</v>
      </c>
    </row>
    <row r="11" spans="1:13" x14ac:dyDescent="0.25">
      <c r="A11" s="4" t="s">
        <v>106</v>
      </c>
      <c r="B11">
        <v>20</v>
      </c>
      <c r="D11" s="3">
        <v>1</v>
      </c>
      <c r="F11" s="3">
        <v>3</v>
      </c>
      <c r="J11">
        <v>500</v>
      </c>
      <c r="L11">
        <f t="shared" si="0"/>
        <v>330</v>
      </c>
      <c r="M11">
        <f t="shared" si="1"/>
        <v>3.0303030303030303</v>
      </c>
    </row>
    <row r="12" spans="1:13" s="2" customFormat="1" x14ac:dyDescent="0.25">
      <c r="A12" s="2" t="s">
        <v>401</v>
      </c>
      <c r="L12" s="3"/>
      <c r="M12" s="3" t="e">
        <f t="shared" si="1"/>
        <v>#DIV/0!</v>
      </c>
    </row>
    <row r="13" spans="1:13" x14ac:dyDescent="0.25">
      <c r="A13" s="4" t="s">
        <v>405</v>
      </c>
      <c r="B13">
        <v>10</v>
      </c>
      <c r="D13" s="3">
        <v>1</v>
      </c>
      <c r="F13" s="3">
        <v>6</v>
      </c>
      <c r="H13" s="3">
        <v>1</v>
      </c>
      <c r="I13" t="s">
        <v>297</v>
      </c>
      <c r="J13">
        <v>300</v>
      </c>
      <c r="L13" s="3">
        <f t="shared" si="0"/>
        <v>330</v>
      </c>
      <c r="M13" s="3">
        <f t="shared" si="1"/>
        <v>3.0303030303030303</v>
      </c>
    </row>
    <row r="14" spans="1:13" x14ac:dyDescent="0.25">
      <c r="A14" s="4" t="s">
        <v>408</v>
      </c>
      <c r="B14">
        <v>23</v>
      </c>
      <c r="D14" s="3">
        <v>2</v>
      </c>
      <c r="F14" s="3">
        <v>3</v>
      </c>
      <c r="J14">
        <v>300</v>
      </c>
      <c r="L14">
        <f t="shared" si="0"/>
        <v>165</v>
      </c>
      <c r="M14">
        <f t="shared" si="1"/>
        <v>6.0606060606060606</v>
      </c>
    </row>
    <row r="15" spans="1:13" x14ac:dyDescent="0.25">
      <c r="A15" s="4" t="s">
        <v>418</v>
      </c>
      <c r="B15">
        <v>4</v>
      </c>
      <c r="D15" s="3">
        <v>5</v>
      </c>
      <c r="F15" s="3">
        <v>5</v>
      </c>
      <c r="J15" t="s">
        <v>315</v>
      </c>
      <c r="L15" s="3">
        <f t="shared" ref="L15:L24" si="2">330/D15</f>
        <v>66</v>
      </c>
      <c r="M15" s="3">
        <f t="shared" ref="M15:M24" si="3">1000/L15</f>
        <v>15.151515151515152</v>
      </c>
    </row>
    <row r="16" spans="1:13" x14ac:dyDescent="0.25">
      <c r="L16" s="3" t="e">
        <f t="shared" si="2"/>
        <v>#DIV/0!</v>
      </c>
      <c r="M16" s="3" t="e">
        <f t="shared" si="3"/>
        <v>#DIV/0!</v>
      </c>
    </row>
    <row r="17" spans="12:13" x14ac:dyDescent="0.25">
      <c r="L17" s="3" t="e">
        <f t="shared" si="2"/>
        <v>#DIV/0!</v>
      </c>
      <c r="M17" s="3" t="e">
        <f t="shared" si="3"/>
        <v>#DIV/0!</v>
      </c>
    </row>
    <row r="18" spans="12:13" x14ac:dyDescent="0.25">
      <c r="L18" s="3" t="e">
        <f t="shared" si="2"/>
        <v>#DIV/0!</v>
      </c>
      <c r="M18" s="3" t="e">
        <f t="shared" si="3"/>
        <v>#DIV/0!</v>
      </c>
    </row>
    <row r="19" spans="12:13" x14ac:dyDescent="0.25">
      <c r="L19" s="3" t="e">
        <f t="shared" si="2"/>
        <v>#DIV/0!</v>
      </c>
      <c r="M19" s="3" t="e">
        <f t="shared" si="3"/>
        <v>#DIV/0!</v>
      </c>
    </row>
    <row r="20" spans="12:13" x14ac:dyDescent="0.25">
      <c r="L20" s="3" t="e">
        <f t="shared" si="2"/>
        <v>#DIV/0!</v>
      </c>
      <c r="M20" s="3" t="e">
        <f t="shared" si="3"/>
        <v>#DIV/0!</v>
      </c>
    </row>
    <row r="21" spans="12:13" x14ac:dyDescent="0.25">
      <c r="L21" s="3" t="e">
        <f t="shared" si="2"/>
        <v>#DIV/0!</v>
      </c>
      <c r="M21" s="3" t="e">
        <f t="shared" si="3"/>
        <v>#DIV/0!</v>
      </c>
    </row>
    <row r="22" spans="12:13" x14ac:dyDescent="0.25">
      <c r="L22" s="3" t="e">
        <f t="shared" si="2"/>
        <v>#DIV/0!</v>
      </c>
      <c r="M22" s="3" t="e">
        <f t="shared" si="3"/>
        <v>#DIV/0!</v>
      </c>
    </row>
    <row r="23" spans="12:13" x14ac:dyDescent="0.25">
      <c r="L23" s="3" t="e">
        <f t="shared" si="2"/>
        <v>#DIV/0!</v>
      </c>
      <c r="M23" s="3" t="e">
        <f t="shared" si="3"/>
        <v>#DIV/0!</v>
      </c>
    </row>
    <row r="24" spans="12:13" x14ac:dyDescent="0.25">
      <c r="L24" s="3" t="e">
        <f t="shared" si="2"/>
        <v>#DIV/0!</v>
      </c>
      <c r="M24" s="3" t="e">
        <f t="shared" si="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288</v>
      </c>
      <c r="B1" t="s">
        <v>358</v>
      </c>
    </row>
    <row r="2" spans="1:2" x14ac:dyDescent="0.25">
      <c r="A2" s="3" t="s">
        <v>232</v>
      </c>
      <c r="B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</vt:lpstr>
      <vt:lpstr>db_iceland</vt:lpstr>
      <vt:lpstr>site_details</vt:lpstr>
      <vt:lpstr>Dry bulk density</vt:lpstr>
      <vt:lpstr>Organic content</vt:lpstr>
      <vt:lpstr>Elemental stuff</vt:lpstr>
      <vt:lpstr>magn susc</vt:lpstr>
      <vt:lpstr>pollen</vt:lpstr>
      <vt:lpstr>macrofossils</vt:lpstr>
      <vt:lpstr>chronology</vt:lpstr>
      <vt:lpstr>chironomids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sgsdphd25</dc:creator>
  <cp:lastModifiedBy>Willem</cp:lastModifiedBy>
  <dcterms:created xsi:type="dcterms:W3CDTF">2019-06-12T09:45:28Z</dcterms:created>
  <dcterms:modified xsi:type="dcterms:W3CDTF">2020-10-28T10:29:21Z</dcterms:modified>
</cp:coreProperties>
</file>