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875" windowWidth="28830" windowHeight="7305" tabRatio="694"/>
  </bookViews>
  <sheets>
    <sheet name="Doprava" sheetId="14" r:id="rId1"/>
    <sheet name="Vstupné dáta" sheetId="13" r:id="rId2"/>
    <sheet name="Parametre" sheetId="1" r:id="rId3"/>
    <sheet name="Investičné náklady" sheetId="2" r:id="rId4"/>
    <sheet name="Zostatková hodnota" sheetId="4" r:id="rId5"/>
    <sheet name="Prevádzka a údržba ŽI" sheetId="6" r:id="rId6"/>
    <sheet name="Príjmy ŽSR" sheetId="7" r:id="rId7"/>
    <sheet name="Financovanie" sheetId="15" r:id="rId8"/>
    <sheet name="Finančná analýza" sheetId="8" r:id="rId9"/>
    <sheet name="Ocenenie času" sheetId="9" r:id="rId10"/>
    <sheet name="Prevádzkové náklady vozidiel" sheetId="5" r:id="rId11"/>
    <sheet name="Nehodovosť" sheetId="11" r:id="rId12"/>
    <sheet name="Externality" sheetId="10" r:id="rId13"/>
    <sheet name="Ekonomická analýza" sheetId="3" r:id="rId14"/>
    <sheet name="Analýza citlivosti" sheetId="16" r:id="rId15"/>
  </sheets>
  <externalReferences>
    <externalReference r:id="rId16"/>
    <externalReference r:id="rId17"/>
  </externalReferences>
  <definedNames>
    <definedName name="usekA01">[1]Zber_dat!$E$5:$E$11</definedName>
    <definedName name="usekB01">[1]Zber_dat!$E$12:$E$18</definedName>
    <definedName name="usekB02">[1]Zber_dat!$E$19:$E$25</definedName>
    <definedName name="usekB03">[1]Zber_dat!$E$26:$E$32</definedName>
    <definedName name="usekB04">[1]Zber_dat!$E$33:$E$40</definedName>
    <definedName name="usekB05">[1]Zber_dat!$E$41:$E$47</definedName>
    <definedName name="usekC01">[1]Zber_dat!$E$48:$E$54</definedName>
    <definedName name="usekC02">[1]Zber_dat!$E$55:$E$61</definedName>
    <definedName name="usekC03">[1]Zber_dat!$E$62:$E$68</definedName>
    <definedName name="usekD01">[1]Zber_dat!$E$69:$E$75</definedName>
    <definedName name="usekD02">[1]Zber_dat!$E$76:$E$82</definedName>
    <definedName name="usekE01">[1]Zber_dat!$E$83:$E$89</definedName>
    <definedName name="usekE02">[1]Zber_dat!$E$90:$E$96</definedName>
    <definedName name="usekE03">[1]Zber_dat!$E$97:$E$103</definedName>
    <definedName name="usekE04">[1]Zber_dat!$E$104:$E$110</definedName>
    <definedName name="usekE05">[1]Zber_dat!$E$111:$E$117</definedName>
    <definedName name="usekE06">[1]Zber_dat!$E$118:$E$124</definedName>
    <definedName name="usekE07">[1]Zber_dat!$E$125:$E$131</definedName>
    <definedName name="usekE08">[1]Zber_dat!$E$132:$E$138</definedName>
    <definedName name="usekE09">[1]Zber_dat!$E$139:$E$145</definedName>
    <definedName name="usekF01">[1]Zber_dat!$E$146:$E$152</definedName>
    <definedName name="usekH01">[1]Zber_dat!$E$161:$E$167</definedName>
    <definedName name="usekH02">[1]Zber_dat!$E$168:$E$174</definedName>
    <definedName name="usekI01">[1]Zber_dat!$E$175:$E$181</definedName>
    <definedName name="usekJ01">[1]Zber_dat!$E$182:$E$188</definedName>
    <definedName name="usekJ02">[1]Zber_dat!$E$189:$E$195</definedName>
  </definedNames>
  <calcPr calcId="145621"/>
</workbook>
</file>

<file path=xl/calcChain.xml><?xml version="1.0" encoding="utf-8"?>
<calcChain xmlns="http://schemas.openxmlformats.org/spreadsheetml/2006/main">
  <c r="B79" i="2" l="1"/>
  <c r="B80" i="2"/>
  <c r="B59" i="2"/>
  <c r="B58" i="2"/>
  <c r="E13" i="5" l="1"/>
  <c r="F13" i="5"/>
  <c r="G13" i="5"/>
  <c r="D13" i="5"/>
  <c r="B22" i="6" l="1"/>
  <c r="E11" i="5" l="1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1" i="5"/>
  <c r="K19" i="14"/>
  <c r="L19" i="14"/>
  <c r="N20" i="14" l="1"/>
  <c r="O20" i="14"/>
  <c r="P20" i="14" s="1"/>
  <c r="Q20" i="14" s="1"/>
  <c r="R20" i="14" s="1"/>
  <c r="S20" i="14" s="1"/>
  <c r="T20" i="14" s="1"/>
  <c r="U20" i="14" s="1"/>
  <c r="V20" i="14" s="1"/>
  <c r="W20" i="14" s="1"/>
  <c r="X20" i="14" s="1"/>
  <c r="Y20" i="14" s="1"/>
  <c r="Z20" i="14" s="1"/>
  <c r="AA20" i="14" s="1"/>
  <c r="AB20" i="14" s="1"/>
  <c r="AC20" i="14" s="1"/>
  <c r="AD20" i="14" s="1"/>
  <c r="AE20" i="14" s="1"/>
  <c r="AF20" i="14" s="1"/>
  <c r="AG20" i="14" s="1"/>
  <c r="M20" i="14"/>
  <c r="L20" i="14"/>
  <c r="D48" i="13" l="1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K167" i="14" l="1"/>
  <c r="L167" i="14" s="1"/>
  <c r="M167" i="14" s="1"/>
  <c r="K94" i="14"/>
  <c r="L94" i="14"/>
  <c r="M94" i="14"/>
  <c r="N94" i="14"/>
  <c r="O94" i="14"/>
  <c r="P94" i="14"/>
  <c r="Q94" i="14"/>
  <c r="R94" i="14"/>
  <c r="S94" i="14"/>
  <c r="T94" i="14"/>
  <c r="U94" i="14"/>
  <c r="B94" i="2"/>
  <c r="B93" i="2"/>
  <c r="B92" i="2"/>
  <c r="B91" i="2"/>
  <c r="B90" i="2"/>
  <c r="B89" i="2"/>
  <c r="B88" i="2"/>
  <c r="B87" i="2"/>
  <c r="B86" i="2"/>
  <c r="B85" i="2"/>
  <c r="Y95" i="2" l="1"/>
  <c r="B39" i="8" l="1"/>
  <c r="C38" i="8"/>
  <c r="C35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AB33" i="8" s="1"/>
  <c r="AC33" i="8" s="1"/>
  <c r="AD33" i="8" s="1"/>
  <c r="AE33" i="8" s="1"/>
  <c r="AF33" i="8" s="1"/>
  <c r="AG33" i="8" s="1"/>
  <c r="C25" i="8"/>
  <c r="C23" i="8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E10" i="8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B26" i="15"/>
  <c r="D22" i="15"/>
  <c r="E22" i="15" s="1"/>
  <c r="F22" i="15" s="1"/>
  <c r="G22" i="15" s="1"/>
  <c r="H22" i="15" s="1"/>
  <c r="I22" i="15" s="1"/>
  <c r="J22" i="15" s="1"/>
  <c r="K22" i="15" s="1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V33" i="9" l="1"/>
  <c r="E64" i="13"/>
  <c r="G33" i="9" s="1"/>
  <c r="J64" i="13"/>
  <c r="L33" i="9" s="1"/>
  <c r="AG14" i="2" l="1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1" i="4" l="1"/>
  <c r="C21" i="4"/>
  <c r="C20" i="4"/>
  <c r="C23" i="4"/>
  <c r="C17" i="4"/>
  <c r="C19" i="4"/>
  <c r="C18" i="4"/>
  <c r="C16" i="4"/>
  <c r="C15" i="4"/>
  <c r="C14" i="4"/>
  <c r="C12" i="4"/>
  <c r="C13" i="4"/>
  <c r="G63" i="13"/>
  <c r="H63" i="13" s="1"/>
  <c r="I63" i="13" s="1"/>
  <c r="J63" i="13" s="1"/>
  <c r="K63" i="13" s="1"/>
  <c r="L63" i="13" s="1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C22" i="4" l="1"/>
  <c r="B15" i="2" l="1"/>
  <c r="B16" i="2"/>
  <c r="B17" i="2"/>
  <c r="B18" i="2"/>
  <c r="B19" i="2"/>
  <c r="B20" i="2"/>
  <c r="B21" i="2"/>
  <c r="B22" i="2"/>
  <c r="B23" i="2"/>
  <c r="B24" i="2"/>
  <c r="B25" i="2"/>
  <c r="B26" i="2"/>
  <c r="C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E27" i="2"/>
  <c r="D27" i="2"/>
  <c r="C12" i="2"/>
  <c r="B27" i="2" l="1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T68" i="13" l="1"/>
  <c r="T69" i="13" s="1"/>
  <c r="V13" i="5" s="1"/>
  <c r="V31" i="9" l="1"/>
  <c r="Y74" i="2" l="1"/>
  <c r="C63" i="2" l="1"/>
  <c r="C64" i="2"/>
  <c r="C65" i="2"/>
  <c r="C66" i="2"/>
  <c r="C67" i="2"/>
  <c r="C68" i="2"/>
  <c r="C69" i="2"/>
  <c r="C70" i="2"/>
  <c r="C71" i="2"/>
  <c r="C72" i="2"/>
  <c r="C73" i="2"/>
  <c r="C74" i="2"/>
  <c r="C62" i="2"/>
  <c r="E50" i="2" l="1"/>
  <c r="E49" i="2" s="1"/>
  <c r="F50" i="2"/>
  <c r="G50" i="2"/>
  <c r="G49" i="2" s="1"/>
  <c r="H50" i="2"/>
  <c r="I50" i="2"/>
  <c r="J50" i="2"/>
  <c r="J49" i="2" s="1"/>
  <c r="K50" i="2"/>
  <c r="L50" i="2"/>
  <c r="L49" i="2" s="1"/>
  <c r="M50" i="2"/>
  <c r="M49" i="2" s="1"/>
  <c r="N50" i="2"/>
  <c r="N49" i="2" s="1"/>
  <c r="O50" i="2"/>
  <c r="O49" i="2" s="1"/>
  <c r="P50" i="2"/>
  <c r="P49" i="2" s="1"/>
  <c r="Q50" i="2"/>
  <c r="Q49" i="2" s="1"/>
  <c r="R50" i="2"/>
  <c r="R49" i="2" s="1"/>
  <c r="S50" i="2"/>
  <c r="T50" i="2"/>
  <c r="T49" i="2" s="1"/>
  <c r="U50" i="2"/>
  <c r="V50" i="2"/>
  <c r="V49" i="2" s="1"/>
  <c r="W50" i="2"/>
  <c r="X50" i="2"/>
  <c r="X49" i="2" s="1"/>
  <c r="Y50" i="2"/>
  <c r="Y49" i="2" s="1"/>
  <c r="Z50" i="2"/>
  <c r="Z49" i="2" s="1"/>
  <c r="AA50" i="2"/>
  <c r="AA49" i="2" s="1"/>
  <c r="AB50" i="2"/>
  <c r="AB49" i="2" s="1"/>
  <c r="AC50" i="2"/>
  <c r="AC49" i="2" s="1"/>
  <c r="AD50" i="2"/>
  <c r="AD49" i="2" s="1"/>
  <c r="AE50" i="2"/>
  <c r="AE49" i="2" s="1"/>
  <c r="AF50" i="2"/>
  <c r="AF49" i="2" s="1"/>
  <c r="AG50" i="2"/>
  <c r="D50" i="2"/>
  <c r="Z28" i="2"/>
  <c r="AA28" i="2"/>
  <c r="AB28" i="2"/>
  <c r="AC28" i="2"/>
  <c r="AD28" i="2"/>
  <c r="AE28" i="2"/>
  <c r="AF28" i="2"/>
  <c r="AG28" i="2"/>
  <c r="Z30" i="2"/>
  <c r="AA30" i="2"/>
  <c r="AB30" i="2"/>
  <c r="AC30" i="2"/>
  <c r="AD30" i="2"/>
  <c r="AE30" i="2"/>
  <c r="AF30" i="2"/>
  <c r="AG30" i="2"/>
  <c r="Z12" i="2"/>
  <c r="AA12" i="2"/>
  <c r="AB12" i="2"/>
  <c r="AC12" i="2"/>
  <c r="AD12" i="2"/>
  <c r="AE12" i="2"/>
  <c r="AF12" i="2"/>
  <c r="AG12" i="2"/>
  <c r="B14" i="2"/>
  <c r="B12" i="2" l="1"/>
  <c r="H49" i="2"/>
  <c r="F49" i="2"/>
  <c r="AG49" i="2"/>
  <c r="S49" i="2"/>
  <c r="K49" i="2"/>
  <c r="I49" i="2"/>
  <c r="W49" i="2"/>
  <c r="D49" i="2"/>
  <c r="U49" i="2"/>
  <c r="B50" i="2"/>
  <c r="D14" i="5"/>
  <c r="D15" i="5"/>
  <c r="E15" i="5"/>
  <c r="E14" i="5"/>
  <c r="F31" i="9"/>
  <c r="D62" i="13"/>
  <c r="F29" i="9" s="1"/>
  <c r="D61" i="13"/>
  <c r="F27" i="9" s="1"/>
  <c r="D60" i="13"/>
  <c r="F24" i="9" s="1"/>
  <c r="D59" i="13"/>
  <c r="F26" i="9" s="1"/>
  <c r="D58" i="13"/>
  <c r="F23" i="9" s="1"/>
  <c r="D57" i="13"/>
  <c r="F20" i="9" s="1"/>
  <c r="D56" i="13"/>
  <c r="F17" i="9" s="1"/>
  <c r="D55" i="13"/>
  <c r="F19" i="9" s="1"/>
  <c r="D54" i="13"/>
  <c r="F16" i="9" s="1"/>
  <c r="D53" i="13"/>
  <c r="F13" i="9" s="1"/>
  <c r="D52" i="13"/>
  <c r="F12" i="9" s="1"/>
  <c r="D184" i="14"/>
  <c r="F15" i="5" s="1"/>
  <c r="D183" i="14"/>
  <c r="D179" i="14"/>
  <c r="D178" i="14"/>
  <c r="D177" i="14"/>
  <c r="D176" i="14"/>
  <c r="D64" i="13" l="1"/>
  <c r="F33" i="9" s="1"/>
  <c r="F14" i="5"/>
  <c r="B49" i="2"/>
  <c r="B95" i="2" l="1"/>
  <c r="X28" i="2"/>
  <c r="Y28" i="2"/>
  <c r="X30" i="2"/>
  <c r="Y30" i="2"/>
  <c r="W28" i="2"/>
  <c r="W30" i="2"/>
  <c r="C91" i="2" l="1"/>
  <c r="C90" i="2"/>
  <c r="C93" i="2"/>
  <c r="C92" i="2"/>
  <c r="C85" i="2"/>
  <c r="C84" i="2"/>
  <c r="AJ95" i="2"/>
  <c r="AI95" i="2"/>
  <c r="AH95" i="2"/>
  <c r="AG95" i="2"/>
  <c r="AF95" i="2"/>
  <c r="AE95" i="2"/>
  <c r="X95" i="2"/>
  <c r="J95" i="2"/>
  <c r="H95" i="2"/>
  <c r="C89" i="2"/>
  <c r="C88" i="2"/>
  <c r="C87" i="2"/>
  <c r="C86" i="2"/>
  <c r="C94" i="2" l="1"/>
  <c r="C83" i="2"/>
  <c r="C95" i="2" l="1"/>
  <c r="U62" i="13" l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U61" i="13"/>
  <c r="V61" i="13" s="1"/>
  <c r="W61" i="13" s="1"/>
  <c r="X61" i="13" s="1"/>
  <c r="Y61" i="13" s="1"/>
  <c r="Z61" i="13" s="1"/>
  <c r="AA61" i="13" s="1"/>
  <c r="AB61" i="13" s="1"/>
  <c r="AC61" i="13" s="1"/>
  <c r="AD61" i="13" s="1"/>
  <c r="AE61" i="13" s="1"/>
  <c r="U60" i="13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U59" i="13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U58" i="13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U57" i="13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U56" i="13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U55" i="13"/>
  <c r="V55" i="13" s="1"/>
  <c r="W55" i="13" s="1"/>
  <c r="X55" i="13" s="1"/>
  <c r="Y55" i="13" s="1"/>
  <c r="Z55" i="13" s="1"/>
  <c r="AA55" i="13" s="1"/>
  <c r="AB55" i="13" s="1"/>
  <c r="AC55" i="13" s="1"/>
  <c r="AD55" i="13" s="1"/>
  <c r="AE55" i="13" s="1"/>
  <c r="U54" i="13"/>
  <c r="V54" i="13" s="1"/>
  <c r="W54" i="13" s="1"/>
  <c r="X54" i="13" s="1"/>
  <c r="Y54" i="13" s="1"/>
  <c r="Z54" i="13" s="1"/>
  <c r="AA54" i="13" s="1"/>
  <c r="AB54" i="13" s="1"/>
  <c r="AC54" i="13" s="1"/>
  <c r="AD54" i="13" s="1"/>
  <c r="AE54" i="13" s="1"/>
  <c r="U53" i="13"/>
  <c r="V53" i="13" s="1"/>
  <c r="W53" i="13" s="1"/>
  <c r="X53" i="13" s="1"/>
  <c r="Y53" i="13" s="1"/>
  <c r="Z53" i="13" s="1"/>
  <c r="AA53" i="13" s="1"/>
  <c r="AB53" i="13" s="1"/>
  <c r="AC53" i="13" s="1"/>
  <c r="AD53" i="13" s="1"/>
  <c r="AE53" i="13" s="1"/>
  <c r="U52" i="13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S62" i="13"/>
  <c r="R62" i="13" s="1"/>
  <c r="Q62" i="13" s="1"/>
  <c r="P62" i="13" s="1"/>
  <c r="O62" i="13" s="1"/>
  <c r="N62" i="13" s="1"/>
  <c r="M62" i="13" s="1"/>
  <c r="L62" i="13" s="1"/>
  <c r="K62" i="13" s="1"/>
  <c r="J62" i="13" s="1"/>
  <c r="S61" i="13"/>
  <c r="R61" i="13" s="1"/>
  <c r="Q61" i="13" s="1"/>
  <c r="S60" i="13"/>
  <c r="R60" i="13" s="1"/>
  <c r="Q60" i="13" s="1"/>
  <c r="S59" i="13"/>
  <c r="R59" i="13" s="1"/>
  <c r="Q59" i="13" s="1"/>
  <c r="S58" i="13"/>
  <c r="R58" i="13" s="1"/>
  <c r="Q58" i="13" s="1"/>
  <c r="S57" i="13"/>
  <c r="R57" i="13" s="1"/>
  <c r="Q57" i="13" s="1"/>
  <c r="S56" i="13"/>
  <c r="R56" i="13" s="1"/>
  <c r="Q56" i="13" s="1"/>
  <c r="S55" i="13"/>
  <c r="R55" i="13" s="1"/>
  <c r="Q55" i="13" s="1"/>
  <c r="S54" i="13"/>
  <c r="R54" i="13" s="1"/>
  <c r="Q54" i="13" s="1"/>
  <c r="S53" i="13"/>
  <c r="R53" i="13" s="1"/>
  <c r="Q53" i="13" s="1"/>
  <c r="S52" i="13"/>
  <c r="R52" i="13" s="1"/>
  <c r="Q52" i="13" s="1"/>
  <c r="K61" i="13"/>
  <c r="L61" i="13" s="1"/>
  <c r="M61" i="13" s="1"/>
  <c r="N61" i="13" s="1"/>
  <c r="O61" i="13" s="1"/>
  <c r="P61" i="13" s="1"/>
  <c r="K60" i="13"/>
  <c r="L60" i="13" s="1"/>
  <c r="M60" i="13" s="1"/>
  <c r="N60" i="13" s="1"/>
  <c r="O60" i="13" s="1"/>
  <c r="P60" i="13" s="1"/>
  <c r="K59" i="13"/>
  <c r="L59" i="13" s="1"/>
  <c r="M59" i="13" s="1"/>
  <c r="N59" i="13" s="1"/>
  <c r="O59" i="13" s="1"/>
  <c r="P59" i="13" s="1"/>
  <c r="K58" i="13"/>
  <c r="L58" i="13" s="1"/>
  <c r="M58" i="13" s="1"/>
  <c r="N58" i="13" s="1"/>
  <c r="O58" i="13" s="1"/>
  <c r="P58" i="13" s="1"/>
  <c r="K57" i="13"/>
  <c r="L57" i="13" s="1"/>
  <c r="M57" i="13" s="1"/>
  <c r="N57" i="13" s="1"/>
  <c r="O57" i="13" s="1"/>
  <c r="P57" i="13" s="1"/>
  <c r="K56" i="13"/>
  <c r="L56" i="13" s="1"/>
  <c r="M56" i="13" s="1"/>
  <c r="N56" i="13" s="1"/>
  <c r="O56" i="13" s="1"/>
  <c r="P56" i="13" s="1"/>
  <c r="K55" i="13"/>
  <c r="L55" i="13" s="1"/>
  <c r="M55" i="13" s="1"/>
  <c r="N55" i="13" s="1"/>
  <c r="O55" i="13" s="1"/>
  <c r="P55" i="13" s="1"/>
  <c r="K54" i="13"/>
  <c r="L54" i="13" s="1"/>
  <c r="M54" i="13" s="1"/>
  <c r="N54" i="13" s="1"/>
  <c r="O54" i="13" s="1"/>
  <c r="P54" i="13" s="1"/>
  <c r="K53" i="13"/>
  <c r="L53" i="13" s="1"/>
  <c r="M53" i="13" s="1"/>
  <c r="N53" i="13" s="1"/>
  <c r="O53" i="13" s="1"/>
  <c r="P53" i="13" s="1"/>
  <c r="K52" i="13"/>
  <c r="L52" i="13" s="1"/>
  <c r="M52" i="13" s="1"/>
  <c r="N52" i="13" s="1"/>
  <c r="O52" i="13" s="1"/>
  <c r="P52" i="13" s="1"/>
  <c r="G58" i="13"/>
  <c r="H58" i="13" s="1"/>
  <c r="I58" i="13" s="1"/>
  <c r="F62" i="13"/>
  <c r="G62" i="13" s="1"/>
  <c r="H62" i="13" s="1"/>
  <c r="I62" i="13" s="1"/>
  <c r="F61" i="13"/>
  <c r="G61" i="13" s="1"/>
  <c r="H61" i="13" s="1"/>
  <c r="I61" i="13" s="1"/>
  <c r="F60" i="13"/>
  <c r="G60" i="13" s="1"/>
  <c r="H60" i="13" s="1"/>
  <c r="I60" i="13" s="1"/>
  <c r="F59" i="13"/>
  <c r="G59" i="13" s="1"/>
  <c r="H59" i="13" s="1"/>
  <c r="I59" i="13" s="1"/>
  <c r="F58" i="13"/>
  <c r="F57" i="13"/>
  <c r="G57" i="13" s="1"/>
  <c r="H57" i="13" s="1"/>
  <c r="I57" i="13" s="1"/>
  <c r="F56" i="13"/>
  <c r="G56" i="13" s="1"/>
  <c r="H56" i="13" s="1"/>
  <c r="I56" i="13" s="1"/>
  <c r="F55" i="13"/>
  <c r="G55" i="13" s="1"/>
  <c r="H55" i="13" s="1"/>
  <c r="I55" i="13" s="1"/>
  <c r="F54" i="13"/>
  <c r="G54" i="13" s="1"/>
  <c r="H54" i="13" s="1"/>
  <c r="I54" i="13" s="1"/>
  <c r="F53" i="13"/>
  <c r="G53" i="13" s="1"/>
  <c r="H53" i="13" s="1"/>
  <c r="I53" i="13" s="1"/>
  <c r="F52" i="13"/>
  <c r="G52" i="13" s="1"/>
  <c r="H52" i="13" s="1"/>
  <c r="I52" i="13" s="1"/>
  <c r="S184" i="14"/>
  <c r="R184" i="14" s="1"/>
  <c r="Q184" i="14" s="1"/>
  <c r="S183" i="14"/>
  <c r="S179" i="14"/>
  <c r="R179" i="14" s="1"/>
  <c r="Q179" i="14" s="1"/>
  <c r="S178" i="14"/>
  <c r="R178" i="14" s="1"/>
  <c r="Q178" i="14" s="1"/>
  <c r="S177" i="14"/>
  <c r="R177" i="14" s="1"/>
  <c r="Q177" i="14" s="1"/>
  <c r="S176" i="14"/>
  <c r="R176" i="14" s="1"/>
  <c r="Q176" i="14" s="1"/>
  <c r="F184" i="14"/>
  <c r="G184" i="14" s="1"/>
  <c r="H184" i="14" s="1"/>
  <c r="I184" i="14" s="1"/>
  <c r="K184" i="14" s="1"/>
  <c r="L184" i="14" s="1"/>
  <c r="M184" i="14" s="1"/>
  <c r="N184" i="14" s="1"/>
  <c r="O184" i="14" s="1"/>
  <c r="P184" i="14" s="1"/>
  <c r="U184" i="14" s="1"/>
  <c r="V184" i="14" s="1"/>
  <c r="W184" i="14" s="1"/>
  <c r="X184" i="14" s="1"/>
  <c r="Y184" i="14" s="1"/>
  <c r="Z184" i="14" s="1"/>
  <c r="AA184" i="14" s="1"/>
  <c r="AB184" i="14" s="1"/>
  <c r="AC184" i="14" s="1"/>
  <c r="AD184" i="14" s="1"/>
  <c r="AE184" i="14" s="1"/>
  <c r="F183" i="14"/>
  <c r="F179" i="14"/>
  <c r="G179" i="14" s="1"/>
  <c r="H179" i="14" s="1"/>
  <c r="I179" i="14" s="1"/>
  <c r="K179" i="14" s="1"/>
  <c r="L179" i="14" s="1"/>
  <c r="M179" i="14" s="1"/>
  <c r="N179" i="14" s="1"/>
  <c r="O179" i="14" s="1"/>
  <c r="P179" i="14" s="1"/>
  <c r="U179" i="14" s="1"/>
  <c r="V179" i="14" s="1"/>
  <c r="W179" i="14" s="1"/>
  <c r="X179" i="14" s="1"/>
  <c r="Y179" i="14" s="1"/>
  <c r="Z179" i="14" s="1"/>
  <c r="AA179" i="14" s="1"/>
  <c r="AB179" i="14" s="1"/>
  <c r="AC179" i="14" s="1"/>
  <c r="AD179" i="14" s="1"/>
  <c r="AE179" i="14" s="1"/>
  <c r="F178" i="14"/>
  <c r="G178" i="14" s="1"/>
  <c r="H178" i="14" s="1"/>
  <c r="I178" i="14" s="1"/>
  <c r="K178" i="14" s="1"/>
  <c r="L178" i="14" s="1"/>
  <c r="M178" i="14" s="1"/>
  <c r="N178" i="14" s="1"/>
  <c r="O178" i="14" s="1"/>
  <c r="P178" i="14" s="1"/>
  <c r="U178" i="14" s="1"/>
  <c r="V178" i="14" s="1"/>
  <c r="W178" i="14" s="1"/>
  <c r="X178" i="14" s="1"/>
  <c r="Y178" i="14" s="1"/>
  <c r="Z178" i="14" s="1"/>
  <c r="AA178" i="14" s="1"/>
  <c r="AB178" i="14" s="1"/>
  <c r="AC178" i="14" s="1"/>
  <c r="AD178" i="14" s="1"/>
  <c r="AE178" i="14" s="1"/>
  <c r="F177" i="14"/>
  <c r="G177" i="14" s="1"/>
  <c r="H177" i="14" s="1"/>
  <c r="I177" i="14" s="1"/>
  <c r="K177" i="14" s="1"/>
  <c r="L177" i="14" s="1"/>
  <c r="M177" i="14" s="1"/>
  <c r="N177" i="14" s="1"/>
  <c r="O177" i="14" s="1"/>
  <c r="P177" i="14" s="1"/>
  <c r="U177" i="14" s="1"/>
  <c r="V177" i="14" s="1"/>
  <c r="W177" i="14" s="1"/>
  <c r="X177" i="14" s="1"/>
  <c r="Y177" i="14" s="1"/>
  <c r="Z177" i="14" s="1"/>
  <c r="AA177" i="14" s="1"/>
  <c r="AB177" i="14" s="1"/>
  <c r="AC177" i="14" s="1"/>
  <c r="AD177" i="14" s="1"/>
  <c r="AE177" i="14" s="1"/>
  <c r="K176" i="14"/>
  <c r="L176" i="14" s="1"/>
  <c r="M176" i="14" s="1"/>
  <c r="N176" i="14" s="1"/>
  <c r="O176" i="14" s="1"/>
  <c r="P176" i="14" s="1"/>
  <c r="U176" i="14" s="1"/>
  <c r="V176" i="14" s="1"/>
  <c r="W176" i="14" s="1"/>
  <c r="X176" i="14" s="1"/>
  <c r="Y176" i="14" s="1"/>
  <c r="Z176" i="14" s="1"/>
  <c r="AA176" i="14" s="1"/>
  <c r="AB176" i="14" s="1"/>
  <c r="AC176" i="14" s="1"/>
  <c r="AD176" i="14" s="1"/>
  <c r="AE176" i="14" s="1"/>
  <c r="F176" i="14"/>
  <c r="G176" i="14" s="1"/>
  <c r="H176" i="14" s="1"/>
  <c r="I176" i="14" s="1"/>
  <c r="B172" i="14"/>
  <c r="C172" i="14" s="1"/>
  <c r="D172" i="14" s="1"/>
  <c r="E172" i="14" s="1"/>
  <c r="F172" i="14" s="1"/>
  <c r="G172" i="14" s="1"/>
  <c r="H172" i="14" s="1"/>
  <c r="I172" i="14" s="1"/>
  <c r="J172" i="14" s="1"/>
  <c r="K172" i="14" s="1"/>
  <c r="L172" i="14" s="1"/>
  <c r="M172" i="14" s="1"/>
  <c r="N172" i="14" s="1"/>
  <c r="O172" i="14" s="1"/>
  <c r="P172" i="14" s="1"/>
  <c r="Q172" i="14" s="1"/>
  <c r="R172" i="14" s="1"/>
  <c r="S172" i="14" s="1"/>
  <c r="T172" i="14" s="1"/>
  <c r="U172" i="14" s="1"/>
  <c r="V172" i="14" s="1"/>
  <c r="W172" i="14" s="1"/>
  <c r="X172" i="14" s="1"/>
  <c r="Y172" i="14" s="1"/>
  <c r="Z172" i="14" s="1"/>
  <c r="AA172" i="14" s="1"/>
  <c r="AB172" i="14" s="1"/>
  <c r="AC172" i="14" s="1"/>
  <c r="AD172" i="14" s="1"/>
  <c r="AE172" i="14" s="1"/>
  <c r="R183" i="14" l="1"/>
  <c r="S64" i="13"/>
  <c r="U33" i="9" s="1"/>
  <c r="G183" i="14"/>
  <c r="F64" i="13"/>
  <c r="H33" i="9" s="1"/>
  <c r="M19" i="14"/>
  <c r="E117" i="1"/>
  <c r="D117" i="1"/>
  <c r="C117" i="1"/>
  <c r="B117" i="1"/>
  <c r="E116" i="1"/>
  <c r="E118" i="1" s="1"/>
  <c r="D116" i="1"/>
  <c r="D118" i="1" s="1"/>
  <c r="C116" i="1"/>
  <c r="C118" i="1" s="1"/>
  <c r="B116" i="1"/>
  <c r="B118" i="1" l="1"/>
  <c r="Q183" i="14"/>
  <c r="R64" i="13"/>
  <c r="T33" i="9" s="1"/>
  <c r="H183" i="14"/>
  <c r="G64" i="13"/>
  <c r="I33" i="9" s="1"/>
  <c r="F118" i="1"/>
  <c r="F119" i="1" s="1"/>
  <c r="B64" i="1" s="1"/>
  <c r="Q64" i="13" l="1"/>
  <c r="S33" i="9" s="1"/>
  <c r="I183" i="14"/>
  <c r="H64" i="13"/>
  <c r="J33" i="9" s="1"/>
  <c r="D167" i="14"/>
  <c r="E166" i="14"/>
  <c r="F166" i="14"/>
  <c r="E165" i="14"/>
  <c r="F165" i="14"/>
  <c r="G165" i="14"/>
  <c r="D165" i="14"/>
  <c r="H92" i="14"/>
  <c r="I92" i="14" s="1"/>
  <c r="E94" i="14"/>
  <c r="E167" i="14" s="1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X31" i="9"/>
  <c r="Y31" i="9"/>
  <c r="Z31" i="9"/>
  <c r="AA31" i="9"/>
  <c r="AB31" i="9"/>
  <c r="AC31" i="9"/>
  <c r="AD31" i="9"/>
  <c r="AE31" i="9"/>
  <c r="AF31" i="9"/>
  <c r="AG31" i="9"/>
  <c r="G31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G29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G27" i="9"/>
  <c r="G26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G20" i="9"/>
  <c r="G19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G16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G13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G12" i="9"/>
  <c r="K183" i="14" l="1"/>
  <c r="I64" i="13"/>
  <c r="K33" i="9" s="1"/>
  <c r="J92" i="14"/>
  <c r="I165" i="14"/>
  <c r="H165" i="14"/>
  <c r="F94" i="14"/>
  <c r="B31" i="9"/>
  <c r="L183" i="14" l="1"/>
  <c r="K64" i="13"/>
  <c r="M33" i="9" s="1"/>
  <c r="G94" i="14"/>
  <c r="F167" i="14"/>
  <c r="K92" i="14"/>
  <c r="J165" i="14"/>
  <c r="X29" i="9"/>
  <c r="W16" i="9"/>
  <c r="W26" i="9"/>
  <c r="W27" i="9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G15" i="5"/>
  <c r="H14" i="5"/>
  <c r="I14" i="5"/>
  <c r="J14" i="5"/>
  <c r="K14" i="5"/>
  <c r="L14" i="5"/>
  <c r="M14" i="5"/>
  <c r="S14" i="5"/>
  <c r="T14" i="5"/>
  <c r="U14" i="5"/>
  <c r="V14" i="5"/>
  <c r="G14" i="5"/>
  <c r="N14" i="5" l="1"/>
  <c r="M183" i="14"/>
  <c r="L64" i="13"/>
  <c r="N33" i="9" s="1"/>
  <c r="K165" i="14"/>
  <c r="L92" i="14"/>
  <c r="H94" i="14"/>
  <c r="I94" i="14" s="1"/>
  <c r="J94" i="14" s="1"/>
  <c r="G167" i="14"/>
  <c r="X27" i="9"/>
  <c r="W20" i="9"/>
  <c r="W19" i="9"/>
  <c r="W13" i="9"/>
  <c r="W12" i="9"/>
  <c r="N183" i="14" l="1"/>
  <c r="M64" i="13"/>
  <c r="O33" i="9" s="1"/>
  <c r="O14" i="5"/>
  <c r="L165" i="14"/>
  <c r="M92" i="14"/>
  <c r="Y29" i="9"/>
  <c r="Y27" i="9"/>
  <c r="X26" i="9"/>
  <c r="X20" i="9"/>
  <c r="X19" i="9"/>
  <c r="X16" i="9"/>
  <c r="X13" i="9"/>
  <c r="X12" i="9"/>
  <c r="G39" i="9"/>
  <c r="G24" i="9"/>
  <c r="H24" i="9"/>
  <c r="I24" i="9"/>
  <c r="G23" i="9"/>
  <c r="H23" i="9"/>
  <c r="I23" i="9"/>
  <c r="G17" i="9"/>
  <c r="H17" i="9"/>
  <c r="I17" i="9"/>
  <c r="O183" i="14" l="1"/>
  <c r="N64" i="13"/>
  <c r="P33" i="9" s="1"/>
  <c r="P14" i="5"/>
  <c r="M165" i="14"/>
  <c r="N92" i="14"/>
  <c r="Z29" i="9"/>
  <c r="Z27" i="9"/>
  <c r="Y26" i="9"/>
  <c r="Y20" i="9"/>
  <c r="Y19" i="9"/>
  <c r="Y16" i="9"/>
  <c r="Y13" i="9"/>
  <c r="Y12" i="9"/>
  <c r="B51" i="2"/>
  <c r="P183" i="14" l="1"/>
  <c r="O64" i="13"/>
  <c r="Q33" i="9" s="1"/>
  <c r="Q14" i="5"/>
  <c r="N165" i="14"/>
  <c r="O92" i="14"/>
  <c r="O165" i="14" s="1"/>
  <c r="AA29" i="9"/>
  <c r="AA27" i="9"/>
  <c r="Z26" i="9"/>
  <c r="Z20" i="9"/>
  <c r="Z19" i="9"/>
  <c r="Z16" i="9"/>
  <c r="Z13" i="9"/>
  <c r="Z12" i="9"/>
  <c r="U183" i="14" l="1"/>
  <c r="P64" i="13"/>
  <c r="R33" i="9" s="1"/>
  <c r="R14" i="5"/>
  <c r="AB29" i="9"/>
  <c r="AB27" i="9"/>
  <c r="AA26" i="9"/>
  <c r="AA20" i="9"/>
  <c r="AA19" i="9"/>
  <c r="AA16" i="9"/>
  <c r="AA13" i="9"/>
  <c r="AA12" i="9"/>
  <c r="V183" i="14" l="1"/>
  <c r="U64" i="13"/>
  <c r="W33" i="9" s="1"/>
  <c r="W14" i="5"/>
  <c r="AC29" i="9"/>
  <c r="AC27" i="9"/>
  <c r="AB26" i="9"/>
  <c r="AB20" i="9"/>
  <c r="AB19" i="9"/>
  <c r="AB16" i="9"/>
  <c r="AB13" i="9"/>
  <c r="AB12" i="9"/>
  <c r="W183" i="14" l="1"/>
  <c r="V64" i="13"/>
  <c r="X33" i="9" s="1"/>
  <c r="X14" i="5"/>
  <c r="AD29" i="9"/>
  <c r="AD27" i="9"/>
  <c r="AC26" i="9"/>
  <c r="AC20" i="9"/>
  <c r="AC19" i="9"/>
  <c r="AC16" i="9"/>
  <c r="AC13" i="9"/>
  <c r="AC12" i="9"/>
  <c r="X183" i="14" l="1"/>
  <c r="W64" i="13"/>
  <c r="Y33" i="9" s="1"/>
  <c r="Y14" i="5"/>
  <c r="AE29" i="9"/>
  <c r="AE27" i="9"/>
  <c r="AD26" i="9"/>
  <c r="AD20" i="9"/>
  <c r="AD19" i="9"/>
  <c r="AD16" i="9"/>
  <c r="AD13" i="9"/>
  <c r="AD12" i="9"/>
  <c r="Y183" i="14" l="1"/>
  <c r="X64" i="13"/>
  <c r="Z33" i="9" s="1"/>
  <c r="Z14" i="5"/>
  <c r="AF29" i="9"/>
  <c r="AF27" i="9"/>
  <c r="AE26" i="9"/>
  <c r="AE20" i="9"/>
  <c r="AE19" i="9"/>
  <c r="AE16" i="9"/>
  <c r="AE13" i="9"/>
  <c r="AE12" i="9"/>
  <c r="Z183" i="14" l="1"/>
  <c r="Y64" i="13"/>
  <c r="AA33" i="9" s="1"/>
  <c r="AA14" i="5"/>
  <c r="AG29" i="9"/>
  <c r="AG27" i="9"/>
  <c r="AF26" i="9"/>
  <c r="AF20" i="9"/>
  <c r="AF19" i="9"/>
  <c r="AF16" i="9"/>
  <c r="AF13" i="9"/>
  <c r="AF12" i="9"/>
  <c r="I167" i="14"/>
  <c r="J167" i="14"/>
  <c r="N19" i="14"/>
  <c r="O19" i="14" s="1"/>
  <c r="P19" i="14" s="1"/>
  <c r="V19" i="14"/>
  <c r="AA183" i="14" l="1"/>
  <c r="Z64" i="13"/>
  <c r="AB33" i="9" s="1"/>
  <c r="AB14" i="5"/>
  <c r="Q19" i="14"/>
  <c r="R19" i="14" s="1"/>
  <c r="S19" i="14" s="1"/>
  <c r="T19" i="14" s="1"/>
  <c r="U19" i="14" s="1"/>
  <c r="B29" i="9"/>
  <c r="B27" i="9"/>
  <c r="AG26" i="9"/>
  <c r="AG20" i="9"/>
  <c r="AG19" i="9"/>
  <c r="AG16" i="9"/>
  <c r="AG13" i="9"/>
  <c r="AG12" i="9"/>
  <c r="AB183" i="14" l="1"/>
  <c r="AA64" i="13"/>
  <c r="AC33" i="9" s="1"/>
  <c r="AC14" i="5"/>
  <c r="B26" i="9"/>
  <c r="B20" i="9"/>
  <c r="B19" i="9"/>
  <c r="B16" i="9"/>
  <c r="B13" i="9"/>
  <c r="B12" i="9"/>
  <c r="AC183" i="14" l="1"/>
  <c r="AB64" i="13"/>
  <c r="AD33" i="9" s="1"/>
  <c r="AD14" i="5"/>
  <c r="N28" i="2"/>
  <c r="O28" i="2"/>
  <c r="P28" i="2"/>
  <c r="Q28" i="2"/>
  <c r="R28" i="2"/>
  <c r="S28" i="2"/>
  <c r="T28" i="2"/>
  <c r="U28" i="2"/>
  <c r="V28" i="2"/>
  <c r="N30" i="2"/>
  <c r="O30" i="2"/>
  <c r="P30" i="2"/>
  <c r="Q30" i="2"/>
  <c r="R30" i="2"/>
  <c r="S30" i="2"/>
  <c r="T30" i="2"/>
  <c r="U30" i="2"/>
  <c r="V30" i="2"/>
  <c r="AD183" i="14" l="1"/>
  <c r="AC64" i="13"/>
  <c r="AE33" i="9" s="1"/>
  <c r="AE14" i="5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J24" i="9"/>
  <c r="J23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J17" i="9"/>
  <c r="H167" i="14"/>
  <c r="D166" i="14"/>
  <c r="B182" i="14"/>
  <c r="C182" i="14" s="1"/>
  <c r="D182" i="14" s="1"/>
  <c r="E182" i="14" s="1"/>
  <c r="F182" i="14" s="1"/>
  <c r="G182" i="14" s="1"/>
  <c r="H182" i="14" s="1"/>
  <c r="I182" i="14" s="1"/>
  <c r="J182" i="14" s="1"/>
  <c r="K182" i="14" s="1"/>
  <c r="L182" i="14" s="1"/>
  <c r="M182" i="14" s="1"/>
  <c r="N182" i="14" s="1"/>
  <c r="O182" i="14" s="1"/>
  <c r="P182" i="14" s="1"/>
  <c r="Q182" i="14" s="1"/>
  <c r="R182" i="14" s="1"/>
  <c r="S182" i="14" s="1"/>
  <c r="T182" i="14" s="1"/>
  <c r="U182" i="14" s="1"/>
  <c r="V182" i="14" s="1"/>
  <c r="W182" i="14" s="1"/>
  <c r="X182" i="14" s="1"/>
  <c r="Y182" i="14" s="1"/>
  <c r="Z182" i="14" s="1"/>
  <c r="AA182" i="14" s="1"/>
  <c r="AB182" i="14" s="1"/>
  <c r="AC182" i="14" s="1"/>
  <c r="AD182" i="14" s="1"/>
  <c r="AE182" i="14" s="1"/>
  <c r="AE183" i="14" l="1"/>
  <c r="AD64" i="13"/>
  <c r="AF33" i="9" s="1"/>
  <c r="AF14" i="5"/>
  <c r="B17" i="9"/>
  <c r="B23" i="9"/>
  <c r="B24" i="9"/>
  <c r="C24" i="4"/>
  <c r="AE64" i="13" l="1"/>
  <c r="AG33" i="9" s="1"/>
  <c r="AG14" i="5"/>
  <c r="B9" i="15"/>
  <c r="AH14" i="8"/>
  <c r="C14" i="6"/>
  <c r="B33" i="9" l="1"/>
  <c r="B14" i="8"/>
  <c r="C14" i="8"/>
  <c r="C9" i="15" s="1"/>
  <c r="AG26" i="8"/>
  <c r="C30" i="2"/>
  <c r="C28" i="2"/>
  <c r="I28" i="2"/>
  <c r="J28" i="2"/>
  <c r="K30" i="2"/>
  <c r="L28" i="2"/>
  <c r="M28" i="2"/>
  <c r="B26" i="8" l="1"/>
  <c r="H28" i="2"/>
  <c r="G28" i="2"/>
  <c r="F28" i="2"/>
  <c r="G30" i="2"/>
  <c r="E30" i="2"/>
  <c r="E28" i="2"/>
  <c r="D30" i="2"/>
  <c r="M30" i="2"/>
  <c r="D28" i="2"/>
  <c r="I30" i="2"/>
  <c r="J30" i="2"/>
  <c r="H30" i="2"/>
  <c r="F30" i="2"/>
  <c r="K28" i="2"/>
  <c r="L30" i="2"/>
  <c r="B28" i="2" l="1"/>
  <c r="B30" i="2"/>
  <c r="D36" i="2"/>
  <c r="D42" i="1" l="1"/>
  <c r="E42" i="1" s="1"/>
  <c r="F42" i="1" s="1"/>
  <c r="G42" i="1" s="1"/>
  <c r="H42" i="1" s="1"/>
  <c r="D29" i="10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B175" i="14"/>
  <c r="C175" i="14" s="1"/>
  <c r="D175" i="14" s="1"/>
  <c r="E175" i="14" s="1"/>
  <c r="F175" i="14" s="1"/>
  <c r="G175" i="14" s="1"/>
  <c r="H175" i="14" s="1"/>
  <c r="I175" i="14" s="1"/>
  <c r="J175" i="14" s="1"/>
  <c r="K175" i="14" s="1"/>
  <c r="L175" i="14" s="1"/>
  <c r="M175" i="14" s="1"/>
  <c r="N175" i="14" s="1"/>
  <c r="O175" i="14" s="1"/>
  <c r="P175" i="14" s="1"/>
  <c r="Q175" i="14" s="1"/>
  <c r="R175" i="14" s="1"/>
  <c r="S175" i="14" s="1"/>
  <c r="T175" i="14" s="1"/>
  <c r="U175" i="14" s="1"/>
  <c r="V175" i="14" s="1"/>
  <c r="W175" i="14" s="1"/>
  <c r="X175" i="14" s="1"/>
  <c r="Y175" i="14" s="1"/>
  <c r="Z175" i="14" s="1"/>
  <c r="AA175" i="14" s="1"/>
  <c r="AB175" i="14" s="1"/>
  <c r="AC175" i="14" s="1"/>
  <c r="AD175" i="14" s="1"/>
  <c r="AE175" i="14" s="1"/>
  <c r="E39" i="9"/>
  <c r="F39" i="9"/>
  <c r="D39" i="9"/>
  <c r="V39" i="9"/>
  <c r="I42" i="1" l="1"/>
  <c r="E29" i="10" s="1"/>
  <c r="D28" i="10"/>
  <c r="B67" i="13"/>
  <c r="C67" i="13" s="1"/>
  <c r="D67" i="13" s="1"/>
  <c r="E67" i="13" s="1"/>
  <c r="F67" i="13" s="1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B51" i="13"/>
  <c r="C51" i="13" s="1"/>
  <c r="D51" i="13" s="1"/>
  <c r="E51" i="13" s="1"/>
  <c r="F51" i="13" s="1"/>
  <c r="G51" i="13" s="1"/>
  <c r="H51" i="13" s="1"/>
  <c r="I51" i="13" s="1"/>
  <c r="J51" i="13" s="1"/>
  <c r="K51" i="13" s="1"/>
  <c r="L51" i="13" s="1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J42" i="1" l="1"/>
  <c r="F29" i="10" s="1"/>
  <c r="E28" i="10"/>
  <c r="F27" i="1"/>
  <c r="E27" i="1"/>
  <c r="K42" i="1" l="1"/>
  <c r="G29" i="10" s="1"/>
  <c r="F28" i="10"/>
  <c r="F28" i="1"/>
  <c r="E28" i="1"/>
  <c r="L42" i="1" l="1"/>
  <c r="H29" i="10" s="1"/>
  <c r="G28" i="10"/>
  <c r="V18" i="14"/>
  <c r="V17" i="14"/>
  <c r="M42" i="1" l="1"/>
  <c r="I29" i="10" s="1"/>
  <c r="H28" i="10"/>
  <c r="W17" i="14"/>
  <c r="V10" i="14"/>
  <c r="W10" i="14" s="1"/>
  <c r="V11" i="14"/>
  <c r="D11" i="14"/>
  <c r="D10" i="14"/>
  <c r="G10" i="14" s="1"/>
  <c r="Q27" i="13"/>
  <c r="Q28" i="13"/>
  <c r="Q29" i="13"/>
  <c r="Q30" i="13"/>
  <c r="Q31" i="13"/>
  <c r="Q33" i="13"/>
  <c r="Q34" i="13"/>
  <c r="P29" i="13"/>
  <c r="P30" i="13"/>
  <c r="P34" i="13"/>
  <c r="P33" i="13"/>
  <c r="Q32" i="13"/>
  <c r="P32" i="13"/>
  <c r="P31" i="13"/>
  <c r="P28" i="13"/>
  <c r="P27" i="13"/>
  <c r="N42" i="1" l="1"/>
  <c r="J29" i="10" s="1"/>
  <c r="I28" i="10"/>
  <c r="R28" i="13"/>
  <c r="S28" i="13" s="1"/>
  <c r="V93" i="14"/>
  <c r="I10" i="14"/>
  <c r="I17" i="14" s="1"/>
  <c r="J10" i="14"/>
  <c r="J17" i="14" s="1"/>
  <c r="K10" i="14"/>
  <c r="K17" i="14" s="1"/>
  <c r="M10" i="14"/>
  <c r="N10" i="14"/>
  <c r="L10" i="14"/>
  <c r="E10" i="14"/>
  <c r="E17" i="14" s="1"/>
  <c r="D17" i="14"/>
  <c r="X17" i="14"/>
  <c r="F10" i="14"/>
  <c r="F17" i="14" s="1"/>
  <c r="R29" i="13"/>
  <c r="S29" i="13" s="1"/>
  <c r="E11" i="14"/>
  <c r="F11" i="14"/>
  <c r="X10" i="14"/>
  <c r="G17" i="14"/>
  <c r="H10" i="14"/>
  <c r="R33" i="13"/>
  <c r="S33" i="13" s="1"/>
  <c r="R34" i="13"/>
  <c r="S34" i="13" s="1"/>
  <c r="R30" i="13"/>
  <c r="S30" i="13" s="1"/>
  <c r="R31" i="13"/>
  <c r="S31" i="13" s="1"/>
  <c r="R32" i="13"/>
  <c r="S32" i="13" s="1"/>
  <c r="R27" i="13"/>
  <c r="S27" i="13" s="1"/>
  <c r="W93" i="14" l="1"/>
  <c r="W166" i="14" s="1"/>
  <c r="V166" i="14"/>
  <c r="G93" i="14"/>
  <c r="O42" i="1"/>
  <c r="K29" i="10" s="1"/>
  <c r="J28" i="10"/>
  <c r="Y17" i="14"/>
  <c r="Z17" i="14" s="1"/>
  <c r="O17" i="14"/>
  <c r="L17" i="14"/>
  <c r="N17" i="14"/>
  <c r="M17" i="14"/>
  <c r="H17" i="14"/>
  <c r="Y10" i="14"/>
  <c r="X93" i="14" l="1"/>
  <c r="X166" i="14" s="1"/>
  <c r="G166" i="14"/>
  <c r="H93" i="14"/>
  <c r="G11" i="14"/>
  <c r="P42" i="1"/>
  <c r="L29" i="10" s="1"/>
  <c r="K28" i="10"/>
  <c r="Y93" i="14"/>
  <c r="Y166" i="14" s="1"/>
  <c r="AA17" i="14"/>
  <c r="Z10" i="14"/>
  <c r="I93" i="14" l="1"/>
  <c r="H166" i="14"/>
  <c r="H11" i="14"/>
  <c r="Q42" i="1"/>
  <c r="M29" i="10" s="1"/>
  <c r="L28" i="10"/>
  <c r="Z93" i="14"/>
  <c r="Z166" i="14" s="1"/>
  <c r="P93" i="14"/>
  <c r="P166" i="14" s="1"/>
  <c r="AA10" i="14"/>
  <c r="AB17" i="14"/>
  <c r="J93" i="14" l="1"/>
  <c r="I166" i="14"/>
  <c r="I11" i="14"/>
  <c r="R42" i="1"/>
  <c r="N29" i="10" s="1"/>
  <c r="M28" i="10"/>
  <c r="AA93" i="14"/>
  <c r="AA166" i="14" s="1"/>
  <c r="Q93" i="14"/>
  <c r="Q166" i="14" s="1"/>
  <c r="AC17" i="14"/>
  <c r="AB10" i="14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F25" i="1"/>
  <c r="E24" i="1"/>
  <c r="E25" i="1"/>
  <c r="AB40" i="2" l="1"/>
  <c r="AC40" i="2"/>
  <c r="AE40" i="2"/>
  <c r="AF40" i="2"/>
  <c r="AG40" i="2"/>
  <c r="AD40" i="2"/>
  <c r="AA40" i="2"/>
  <c r="Z40" i="2"/>
  <c r="Y40" i="2"/>
  <c r="W40" i="2"/>
  <c r="X40" i="2"/>
  <c r="K93" i="14"/>
  <c r="J166" i="14"/>
  <c r="J11" i="14"/>
  <c r="N40" i="2"/>
  <c r="O40" i="2"/>
  <c r="B40" i="2"/>
  <c r="S40" i="2"/>
  <c r="U40" i="2"/>
  <c r="P40" i="2"/>
  <c r="R40" i="2"/>
  <c r="T40" i="2"/>
  <c r="Q40" i="2"/>
  <c r="V40" i="2"/>
  <c r="C40" i="2"/>
  <c r="S42" i="1"/>
  <c r="O29" i="10" s="1"/>
  <c r="N28" i="10"/>
  <c r="AB93" i="14"/>
  <c r="AB166" i="14" s="1"/>
  <c r="R93" i="14"/>
  <c r="R166" i="14" s="1"/>
  <c r="J40" i="2"/>
  <c r="F40" i="2"/>
  <c r="K40" i="2"/>
  <c r="M40" i="2"/>
  <c r="H40" i="2"/>
  <c r="I40" i="2"/>
  <c r="D40" i="2"/>
  <c r="L40" i="2"/>
  <c r="G40" i="2"/>
  <c r="E40" i="2"/>
  <c r="AC10" i="14"/>
  <c r="AD17" i="14"/>
  <c r="F168" i="14"/>
  <c r="G168" i="14"/>
  <c r="V21" i="14"/>
  <c r="E168" i="14"/>
  <c r="L93" i="14" l="1"/>
  <c r="K166" i="14"/>
  <c r="K11" i="14"/>
  <c r="T42" i="1"/>
  <c r="P29" i="10" s="1"/>
  <c r="O28" i="10"/>
  <c r="AC93" i="14"/>
  <c r="AC166" i="14" s="1"/>
  <c r="S93" i="14"/>
  <c r="S166" i="14" s="1"/>
  <c r="P92" i="14"/>
  <c r="P165" i="14" s="1"/>
  <c r="P17" i="14" s="1"/>
  <c r="O10" i="14"/>
  <c r="AE17" i="14"/>
  <c r="AD10" i="14"/>
  <c r="B34" i="1"/>
  <c r="C34" i="1"/>
  <c r="B35" i="1"/>
  <c r="C35" i="1"/>
  <c r="E36" i="2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M93" i="14" l="1"/>
  <c r="L166" i="14"/>
  <c r="L11" i="14"/>
  <c r="U42" i="1"/>
  <c r="Q29" i="10" s="1"/>
  <c r="P28" i="10"/>
  <c r="AD93" i="14"/>
  <c r="AD166" i="14" s="1"/>
  <c r="T93" i="14"/>
  <c r="T166" i="14" s="1"/>
  <c r="U17" i="7"/>
  <c r="Q92" i="14"/>
  <c r="Q165" i="14" s="1"/>
  <c r="Q17" i="14" s="1"/>
  <c r="P10" i="14"/>
  <c r="AE10" i="14"/>
  <c r="AF17" i="14"/>
  <c r="V14" i="14"/>
  <c r="V22" i="14" s="1"/>
  <c r="U18" i="7" s="1"/>
  <c r="V13" i="14"/>
  <c r="T187" i="14" s="1"/>
  <c r="D14" i="14"/>
  <c r="D13" i="14"/>
  <c r="V12" i="14"/>
  <c r="U11" i="7" s="1"/>
  <c r="D12" i="14"/>
  <c r="C11" i="7" s="1"/>
  <c r="N93" i="14" l="1"/>
  <c r="M166" i="14"/>
  <c r="V42" i="1"/>
  <c r="R29" i="10" s="1"/>
  <c r="Q28" i="10"/>
  <c r="T180" i="14"/>
  <c r="AE93" i="14"/>
  <c r="U93" i="14"/>
  <c r="U166" i="14" s="1"/>
  <c r="U12" i="7"/>
  <c r="V12" i="5"/>
  <c r="AG17" i="14"/>
  <c r="AF10" i="14"/>
  <c r="C12" i="7"/>
  <c r="R92" i="14"/>
  <c r="R165" i="14" s="1"/>
  <c r="R17" i="14" s="1"/>
  <c r="Q10" i="14"/>
  <c r="G12" i="14"/>
  <c r="F11" i="7" s="1"/>
  <c r="F12" i="14"/>
  <c r="E11" i="7" s="1"/>
  <c r="E12" i="14"/>
  <c r="D11" i="7" s="1"/>
  <c r="K12" i="14"/>
  <c r="J11" i="7" s="1"/>
  <c r="J12" i="14"/>
  <c r="I11" i="7" s="1"/>
  <c r="I12" i="14"/>
  <c r="H11" i="7" s="1"/>
  <c r="H12" i="14"/>
  <c r="G11" i="7" s="1"/>
  <c r="V94" i="14"/>
  <c r="V95" i="14"/>
  <c r="W95" i="14" s="1"/>
  <c r="X95" i="14" s="1"/>
  <c r="Y95" i="14" s="1"/>
  <c r="Z95" i="14" s="1"/>
  <c r="AA95" i="14" s="1"/>
  <c r="AB95" i="14" s="1"/>
  <c r="AC95" i="14" s="1"/>
  <c r="AD95" i="14" s="1"/>
  <c r="AE95" i="14" s="1"/>
  <c r="AF95" i="14" s="1"/>
  <c r="AG95" i="14" s="1"/>
  <c r="C95" i="14" s="1"/>
  <c r="L12" i="14" l="1"/>
  <c r="AF93" i="14"/>
  <c r="AE166" i="14"/>
  <c r="O93" i="14"/>
  <c r="O166" i="14" s="1"/>
  <c r="N166" i="14"/>
  <c r="K11" i="7"/>
  <c r="W42" i="1"/>
  <c r="S29" i="10" s="1"/>
  <c r="R28" i="10"/>
  <c r="W94" i="14"/>
  <c r="AG10" i="14"/>
  <c r="S92" i="14"/>
  <c r="S165" i="14" s="1"/>
  <c r="S17" i="14" s="1"/>
  <c r="R10" i="14"/>
  <c r="AG93" i="14" l="1"/>
  <c r="C93" i="14" s="1"/>
  <c r="AF166" i="14"/>
  <c r="X42" i="1"/>
  <c r="T29" i="10" s="1"/>
  <c r="S28" i="10"/>
  <c r="X94" i="14"/>
  <c r="T92" i="14"/>
  <c r="T165" i="14" s="1"/>
  <c r="T17" i="14" s="1"/>
  <c r="S10" i="14"/>
  <c r="AG166" i="14" l="1"/>
  <c r="C166" i="14" s="1"/>
  <c r="Y42" i="1"/>
  <c r="U29" i="10" s="1"/>
  <c r="T28" i="10"/>
  <c r="Y94" i="14"/>
  <c r="U92" i="14"/>
  <c r="T10" i="14"/>
  <c r="C27" i="10"/>
  <c r="U10" i="14" l="1"/>
  <c r="U165" i="14"/>
  <c r="U17" i="14" s="1"/>
  <c r="Z42" i="1"/>
  <c r="V29" i="10" s="1"/>
  <c r="U28" i="10"/>
  <c r="Z94" i="14"/>
  <c r="AA42" i="1" l="1"/>
  <c r="W29" i="10" s="1"/>
  <c r="V28" i="10"/>
  <c r="AA94" i="14"/>
  <c r="AB42" i="1" l="1"/>
  <c r="X29" i="10" s="1"/>
  <c r="W28" i="10"/>
  <c r="AB94" i="14"/>
  <c r="W19" i="14"/>
  <c r="X19" i="14" s="1"/>
  <c r="Y19" i="14" s="1"/>
  <c r="Z19" i="14" s="1"/>
  <c r="AA19" i="14" s="1"/>
  <c r="AB19" i="14" s="1"/>
  <c r="AC19" i="14" s="1"/>
  <c r="AD19" i="14" s="1"/>
  <c r="AE19" i="14" s="1"/>
  <c r="AF19" i="14" s="1"/>
  <c r="AG19" i="14" s="1"/>
  <c r="AC42" i="1" l="1"/>
  <c r="Y29" i="10" s="1"/>
  <c r="X28" i="10"/>
  <c r="AC94" i="14"/>
  <c r="W18" i="14"/>
  <c r="AD42" i="1" l="1"/>
  <c r="Z29" i="10" s="1"/>
  <c r="Y28" i="10"/>
  <c r="AD94" i="14"/>
  <c r="X18" i="14"/>
  <c r="V17" i="7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C42" i="13"/>
  <c r="D42" i="13"/>
  <c r="E42" i="13"/>
  <c r="F42" i="13"/>
  <c r="G42" i="13"/>
  <c r="H42" i="13"/>
  <c r="I42" i="13"/>
  <c r="J42" i="13"/>
  <c r="B42" i="13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C26" i="7"/>
  <c r="B19" i="7"/>
  <c r="D22" i="14"/>
  <c r="D19" i="14"/>
  <c r="C25" i="4"/>
  <c r="AH19" i="3" s="1"/>
  <c r="B48" i="13"/>
  <c r="B38" i="13"/>
  <c r="C38" i="13" s="1"/>
  <c r="D38" i="13" s="1"/>
  <c r="E38" i="13" s="1"/>
  <c r="F38" i="13" s="1"/>
  <c r="G38" i="13" s="1"/>
  <c r="H38" i="13" s="1"/>
  <c r="I38" i="13" s="1"/>
  <c r="J38" i="13" s="1"/>
  <c r="K38" i="13" s="1"/>
  <c r="L38" i="13" s="1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W38" i="13" s="1"/>
  <c r="X38" i="13" s="1"/>
  <c r="Y38" i="13" s="1"/>
  <c r="Z38" i="13" s="1"/>
  <c r="AA38" i="13" s="1"/>
  <c r="AB38" i="13" s="1"/>
  <c r="AC38" i="13" s="1"/>
  <c r="AD38" i="13" s="1"/>
  <c r="AE38" i="13" s="1"/>
  <c r="B44" i="13"/>
  <c r="C44" i="13" s="1"/>
  <c r="D44" i="13" s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D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D19" i="6"/>
  <c r="C48" i="13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D11" i="6"/>
  <c r="D12" i="6"/>
  <c r="D13" i="6"/>
  <c r="C52" i="2"/>
  <c r="W22" i="14"/>
  <c r="D16" i="14"/>
  <c r="E16" i="14" s="1"/>
  <c r="F16" i="14" s="1"/>
  <c r="G16" i="14" s="1"/>
  <c r="H16" i="14" s="1"/>
  <c r="I16" i="14" s="1"/>
  <c r="J16" i="14" s="1"/>
  <c r="K16" i="14" s="1"/>
  <c r="L16" i="14" s="1"/>
  <c r="M16" i="14" s="1"/>
  <c r="N16" i="14" s="1"/>
  <c r="O16" i="14" s="1"/>
  <c r="P16" i="14" s="1"/>
  <c r="Q16" i="14" s="1"/>
  <c r="R16" i="14" s="1"/>
  <c r="S16" i="14" s="1"/>
  <c r="T16" i="14" s="1"/>
  <c r="U16" i="14" s="1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D168" i="14"/>
  <c r="D164" i="14"/>
  <c r="E164" i="14" s="1"/>
  <c r="F164" i="14" s="1"/>
  <c r="G164" i="14" s="1"/>
  <c r="H164" i="14" s="1"/>
  <c r="I164" i="14" s="1"/>
  <c r="J164" i="14" s="1"/>
  <c r="K164" i="14" s="1"/>
  <c r="L164" i="14" s="1"/>
  <c r="M164" i="14" s="1"/>
  <c r="N164" i="14" s="1"/>
  <c r="O164" i="14" s="1"/>
  <c r="P164" i="14" s="1"/>
  <c r="Q164" i="14" s="1"/>
  <c r="R164" i="14" s="1"/>
  <c r="S164" i="14" s="1"/>
  <c r="T164" i="14" s="1"/>
  <c r="U164" i="14" s="1"/>
  <c r="V164" i="14" s="1"/>
  <c r="W164" i="14" s="1"/>
  <c r="X164" i="14" s="1"/>
  <c r="Y164" i="14" s="1"/>
  <c r="Z164" i="14" s="1"/>
  <c r="AA164" i="14" s="1"/>
  <c r="AB164" i="14" s="1"/>
  <c r="AC164" i="14" s="1"/>
  <c r="AD164" i="14" s="1"/>
  <c r="AE164" i="14" s="1"/>
  <c r="AF164" i="14" s="1"/>
  <c r="AG164" i="14" s="1"/>
  <c r="D91" i="14"/>
  <c r="E91" i="14" s="1"/>
  <c r="F91" i="14" s="1"/>
  <c r="G91" i="14" s="1"/>
  <c r="H91" i="14" s="1"/>
  <c r="I91" i="14" s="1"/>
  <c r="J91" i="14" s="1"/>
  <c r="K91" i="14" s="1"/>
  <c r="L91" i="14" s="1"/>
  <c r="M91" i="14" s="1"/>
  <c r="N91" i="14" s="1"/>
  <c r="O91" i="14" s="1"/>
  <c r="P91" i="14" s="1"/>
  <c r="Q91" i="14" s="1"/>
  <c r="R91" i="14" s="1"/>
  <c r="S91" i="14" s="1"/>
  <c r="T91" i="14" s="1"/>
  <c r="U91" i="14" s="1"/>
  <c r="V91" i="14" s="1"/>
  <c r="W91" i="14" s="1"/>
  <c r="X91" i="14" s="1"/>
  <c r="Y91" i="14" s="1"/>
  <c r="Z91" i="14" s="1"/>
  <c r="AA91" i="14" s="1"/>
  <c r="AB91" i="14" s="1"/>
  <c r="AC91" i="14" s="1"/>
  <c r="AD91" i="14" s="1"/>
  <c r="AE91" i="14" s="1"/>
  <c r="AF91" i="14" s="1"/>
  <c r="AG91" i="14" s="1"/>
  <c r="D9" i="14"/>
  <c r="E9" i="14" s="1"/>
  <c r="F9" i="14" s="1"/>
  <c r="G9" i="14" s="1"/>
  <c r="H9" i="14" s="1"/>
  <c r="I9" i="14" s="1"/>
  <c r="J9" i="14" s="1"/>
  <c r="K9" i="14" s="1"/>
  <c r="L9" i="14" s="1"/>
  <c r="M9" i="14" s="1"/>
  <c r="N9" i="14" s="1"/>
  <c r="O9" i="14" s="1"/>
  <c r="P9" i="14" s="1"/>
  <c r="Q9" i="14" s="1"/>
  <c r="R9" i="14" s="1"/>
  <c r="S9" i="14" s="1"/>
  <c r="T9" i="14" s="1"/>
  <c r="U9" i="14" s="1"/>
  <c r="V9" i="14" s="1"/>
  <c r="W9" i="14" s="1"/>
  <c r="X9" i="14" s="1"/>
  <c r="Y9" i="14" s="1"/>
  <c r="Z9" i="14" s="1"/>
  <c r="AA9" i="14" s="1"/>
  <c r="AB9" i="14" s="1"/>
  <c r="AC9" i="14" s="1"/>
  <c r="AD9" i="14" s="1"/>
  <c r="AE9" i="14" s="1"/>
  <c r="AF9" i="14" s="1"/>
  <c r="AG9" i="14" s="1"/>
  <c r="E19" i="14"/>
  <c r="D18" i="14"/>
  <c r="D14" i="6"/>
  <c r="D30" i="6" s="1"/>
  <c r="M14" i="6"/>
  <c r="O14" i="6"/>
  <c r="O30" i="6" s="1"/>
  <c r="P14" i="6"/>
  <c r="P30" i="6" s="1"/>
  <c r="X14" i="6"/>
  <c r="X30" i="6" s="1"/>
  <c r="Y14" i="6"/>
  <c r="Y30" i="6" s="1"/>
  <c r="C11" i="6"/>
  <c r="C13" i="6"/>
  <c r="C12" i="6"/>
  <c r="D48" i="2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C19" i="6"/>
  <c r="C21" i="6"/>
  <c r="C20" i="6"/>
  <c r="D35" i="1"/>
  <c r="E35" i="1"/>
  <c r="D41" i="1" s="1"/>
  <c r="F35" i="1"/>
  <c r="G35" i="1"/>
  <c r="H35" i="1"/>
  <c r="I35" i="1"/>
  <c r="B93" i="1"/>
  <c r="C93" i="1" s="1"/>
  <c r="D93" i="1" s="1"/>
  <c r="E93" i="1" s="1"/>
  <c r="F93" i="1" s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B96" i="1" s="1"/>
  <c r="C96" i="1" s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B92" i="1"/>
  <c r="C92" i="1" s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B95" i="1" s="1"/>
  <c r="C95" i="1" s="1"/>
  <c r="D95" i="1" s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I34" i="1"/>
  <c r="H34" i="1"/>
  <c r="G34" i="1"/>
  <c r="D34" i="10"/>
  <c r="E34" i="10" s="1"/>
  <c r="F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D26" i="10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W26" i="10" s="1"/>
  <c r="X26" i="10" s="1"/>
  <c r="Y26" i="10" s="1"/>
  <c r="Z26" i="10" s="1"/>
  <c r="AA26" i="10" s="1"/>
  <c r="AB26" i="10" s="1"/>
  <c r="AC26" i="10" s="1"/>
  <c r="AD26" i="10" s="1"/>
  <c r="AE26" i="10" s="1"/>
  <c r="AF26" i="10" s="1"/>
  <c r="AG26" i="10" s="1"/>
  <c r="D18" i="10"/>
  <c r="E18" i="10" s="1"/>
  <c r="F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AG18" i="10" s="1"/>
  <c r="F31" i="10"/>
  <c r="E31" i="10"/>
  <c r="D31" i="10"/>
  <c r="D10" i="10"/>
  <c r="E10" i="10" s="1"/>
  <c r="F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D10" i="2"/>
  <c r="G31" i="10"/>
  <c r="H31" i="10"/>
  <c r="I31" i="10"/>
  <c r="J31" i="10"/>
  <c r="K31" i="10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Q18" i="6" s="1"/>
  <c r="R18" i="6" s="1"/>
  <c r="S18" i="6" s="1"/>
  <c r="T18" i="6" s="1"/>
  <c r="U18" i="6" s="1"/>
  <c r="V18" i="6" s="1"/>
  <c r="W18" i="6" s="1"/>
  <c r="X18" i="6" s="1"/>
  <c r="Y18" i="6" s="1"/>
  <c r="Z18" i="6" s="1"/>
  <c r="AA18" i="6" s="1"/>
  <c r="AB18" i="6" s="1"/>
  <c r="AC18" i="6" s="1"/>
  <c r="AD18" i="6" s="1"/>
  <c r="AE18" i="6" s="1"/>
  <c r="AF18" i="6" s="1"/>
  <c r="D38" i="9"/>
  <c r="E38" i="9" s="1"/>
  <c r="F38" i="9" s="1"/>
  <c r="G38" i="9" s="1"/>
  <c r="H38" i="9" s="1"/>
  <c r="I38" i="9" s="1"/>
  <c r="J38" i="9" s="1"/>
  <c r="K38" i="9" s="1"/>
  <c r="L38" i="9" s="1"/>
  <c r="M38" i="9" s="1"/>
  <c r="N38" i="9" s="1"/>
  <c r="O38" i="9" s="1"/>
  <c r="P38" i="9" s="1"/>
  <c r="Q38" i="9" s="1"/>
  <c r="R38" i="9" s="1"/>
  <c r="S38" i="9" s="1"/>
  <c r="T38" i="9" s="1"/>
  <c r="U38" i="9" s="1"/>
  <c r="V38" i="9" s="1"/>
  <c r="W38" i="9" s="1"/>
  <c r="X38" i="9" s="1"/>
  <c r="Y38" i="9" s="1"/>
  <c r="Z38" i="9" s="1"/>
  <c r="AA38" i="9" s="1"/>
  <c r="AB38" i="9" s="1"/>
  <c r="AC38" i="9" s="1"/>
  <c r="AD38" i="9" s="1"/>
  <c r="AE38" i="9" s="1"/>
  <c r="AF38" i="9" s="1"/>
  <c r="AG38" i="9" s="1"/>
  <c r="D18" i="3"/>
  <c r="B27" i="10"/>
  <c r="E29" i="1"/>
  <c r="E26" i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C10" i="7"/>
  <c r="D10" i="7" s="1"/>
  <c r="E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D10" i="11"/>
  <c r="E10" i="11" s="1"/>
  <c r="F10" i="11" s="1"/>
  <c r="G10" i="11" s="1"/>
  <c r="H10" i="11" s="1"/>
  <c r="I10" i="11" s="1"/>
  <c r="J10" i="11" s="1"/>
  <c r="K10" i="11" s="1"/>
  <c r="L10" i="11" s="1"/>
  <c r="M10" i="11" s="1"/>
  <c r="N10" i="11" s="1"/>
  <c r="D10" i="5"/>
  <c r="E10" i="5" s="1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D10" i="9"/>
  <c r="E10" i="9" s="1"/>
  <c r="F10" i="9" s="1"/>
  <c r="G10" i="9" s="1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D46" i="1"/>
  <c r="E46" i="1" s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C34" i="6"/>
  <c r="D34" i="6" s="1"/>
  <c r="E34" i="6" s="1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C26" i="6"/>
  <c r="D26" i="6" s="1"/>
  <c r="E26" i="6" s="1"/>
  <c r="F26" i="6" s="1"/>
  <c r="G26" i="6" s="1"/>
  <c r="H26" i="6" s="1"/>
  <c r="I26" i="6" s="1"/>
  <c r="J26" i="6" s="1"/>
  <c r="K26" i="6" s="1"/>
  <c r="L26" i="6" s="1"/>
  <c r="M26" i="6" s="1"/>
  <c r="N26" i="6" s="1"/>
  <c r="O26" i="6" s="1"/>
  <c r="P26" i="6" s="1"/>
  <c r="Q26" i="6" s="1"/>
  <c r="R26" i="6" s="1"/>
  <c r="S26" i="6" s="1"/>
  <c r="T26" i="6" s="1"/>
  <c r="U26" i="6" s="1"/>
  <c r="V26" i="6" s="1"/>
  <c r="W26" i="6" s="1"/>
  <c r="X26" i="6" s="1"/>
  <c r="Y26" i="6" s="1"/>
  <c r="Z26" i="6" s="1"/>
  <c r="AA26" i="6" s="1"/>
  <c r="AB26" i="6" s="1"/>
  <c r="AC26" i="6" s="1"/>
  <c r="AD26" i="6" s="1"/>
  <c r="AE26" i="6" s="1"/>
  <c r="AF26" i="6" s="1"/>
  <c r="C10" i="6"/>
  <c r="D10" i="6" s="1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F29" i="1"/>
  <c r="F34" i="1"/>
  <c r="E34" i="1"/>
  <c r="D40" i="1" s="1"/>
  <c r="D34" i="1"/>
  <c r="C48" i="1" s="1"/>
  <c r="F26" i="1"/>
  <c r="E10" i="2" l="1"/>
  <c r="AC38" i="2"/>
  <c r="AB38" i="2"/>
  <c r="Z38" i="2"/>
  <c r="AG38" i="2"/>
  <c r="Z42" i="2"/>
  <c r="AD42" i="2"/>
  <c r="AG42" i="2"/>
  <c r="AF42" i="2"/>
  <c r="AE38" i="2"/>
  <c r="AC42" i="2"/>
  <c r="AD38" i="2"/>
  <c r="AE42" i="2"/>
  <c r="AA38" i="2"/>
  <c r="AB42" i="2"/>
  <c r="AA42" i="2"/>
  <c r="AF38" i="2"/>
  <c r="X38" i="2"/>
  <c r="Y38" i="2"/>
  <c r="W38" i="2"/>
  <c r="W42" i="2"/>
  <c r="Y42" i="2"/>
  <c r="X42" i="2"/>
  <c r="G52" i="2"/>
  <c r="F38" i="6" s="1"/>
  <c r="J52" i="2"/>
  <c r="AA52" i="2"/>
  <c r="Z38" i="6" s="1"/>
  <c r="E52" i="2"/>
  <c r="V52" i="2"/>
  <c r="U38" i="6" s="1"/>
  <c r="W52" i="2"/>
  <c r="V38" i="6" s="1"/>
  <c r="AC52" i="2"/>
  <c r="AB52" i="2"/>
  <c r="AA38" i="6" s="1"/>
  <c r="AD52" i="2"/>
  <c r="N52" i="2"/>
  <c r="T52" i="2"/>
  <c r="S38" i="6" s="1"/>
  <c r="Z52" i="2"/>
  <c r="Y38" i="6" s="1"/>
  <c r="B52" i="2"/>
  <c r="M52" i="2"/>
  <c r="L38" i="6" s="1"/>
  <c r="Y52" i="2"/>
  <c r="R52" i="2"/>
  <c r="Q38" i="6" s="1"/>
  <c r="Q52" i="2"/>
  <c r="AE52" i="2"/>
  <c r="AD38" i="6" s="1"/>
  <c r="S52" i="2"/>
  <c r="R38" i="6" s="1"/>
  <c r="P52" i="2"/>
  <c r="H52" i="2"/>
  <c r="AG52" i="2"/>
  <c r="AF38" i="6" s="1"/>
  <c r="I52" i="2"/>
  <c r="D52" i="2"/>
  <c r="F52" i="2"/>
  <c r="E38" i="6" s="1"/>
  <c r="X52" i="2"/>
  <c r="AF52" i="2"/>
  <c r="AE38" i="6" s="1"/>
  <c r="L52" i="2"/>
  <c r="K38" i="6" s="1"/>
  <c r="K52" i="2"/>
  <c r="J38" i="6" s="1"/>
  <c r="O52" i="2"/>
  <c r="U52" i="2"/>
  <c r="T38" i="6" s="1"/>
  <c r="B186" i="14"/>
  <c r="N167" i="14"/>
  <c r="O167" i="14" s="1"/>
  <c r="P167" i="14" s="1"/>
  <c r="Q167" i="14" s="1"/>
  <c r="R167" i="14" s="1"/>
  <c r="C56" i="1"/>
  <c r="D56" i="1" s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C57" i="1"/>
  <c r="D57" i="1" s="1"/>
  <c r="E57" i="1" s="1"/>
  <c r="F57" i="1" s="1"/>
  <c r="G57" i="1" s="1"/>
  <c r="H57" i="1" s="1"/>
  <c r="I57" i="1" s="1"/>
  <c r="J57" i="1" s="1"/>
  <c r="C52" i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C54" i="1"/>
  <c r="D54" i="1" s="1"/>
  <c r="E54" i="1" s="1"/>
  <c r="F54" i="1" s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C58" i="1"/>
  <c r="D58" i="1" s="1"/>
  <c r="E58" i="1" s="1"/>
  <c r="F58" i="1" s="1"/>
  <c r="G58" i="1" s="1"/>
  <c r="H58" i="1" s="1"/>
  <c r="I58" i="1" s="1"/>
  <c r="J58" i="1" s="1"/>
  <c r="R42" i="2"/>
  <c r="C38" i="2"/>
  <c r="Q42" i="2"/>
  <c r="T42" i="2"/>
  <c r="N38" i="2"/>
  <c r="P38" i="2"/>
  <c r="S38" i="2"/>
  <c r="N42" i="2"/>
  <c r="Q38" i="2"/>
  <c r="O42" i="2"/>
  <c r="U38" i="2"/>
  <c r="U42" i="2"/>
  <c r="V42" i="2"/>
  <c r="V38" i="2"/>
  <c r="T38" i="2"/>
  <c r="O38" i="2"/>
  <c r="P42" i="2"/>
  <c r="R38" i="2"/>
  <c r="S42" i="2"/>
  <c r="C42" i="2"/>
  <c r="B38" i="2"/>
  <c r="B42" i="2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E40" i="1"/>
  <c r="F40" i="1" s="1"/>
  <c r="G40" i="1" s="1"/>
  <c r="H40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E42" i="1"/>
  <c r="AA29" i="10" s="1"/>
  <c r="Z28" i="10"/>
  <c r="AE94" i="14"/>
  <c r="AF94" i="14" s="1"/>
  <c r="AG94" i="14" s="1"/>
  <c r="C94" i="14" s="1"/>
  <c r="G42" i="2"/>
  <c r="F42" i="2"/>
  <c r="M42" i="2"/>
  <c r="H42" i="2"/>
  <c r="I42" i="2"/>
  <c r="L42" i="2"/>
  <c r="J42" i="2"/>
  <c r="K42" i="2"/>
  <c r="D42" i="2"/>
  <c r="E42" i="2"/>
  <c r="M38" i="2"/>
  <c r="L38" i="2"/>
  <c r="P28" i="6"/>
  <c r="P36" i="6" s="1"/>
  <c r="AB14" i="6"/>
  <c r="AB30" i="6" s="1"/>
  <c r="AA14" i="6"/>
  <c r="AA30" i="6" s="1"/>
  <c r="Z14" i="6"/>
  <c r="Z30" i="6" s="1"/>
  <c r="L14" i="6"/>
  <c r="L30" i="6" s="1"/>
  <c r="W14" i="6"/>
  <c r="W30" i="6" s="1"/>
  <c r="K14" i="6"/>
  <c r="K30" i="6" s="1"/>
  <c r="V14" i="6"/>
  <c r="V30" i="6" s="1"/>
  <c r="J14" i="6"/>
  <c r="J30" i="6" s="1"/>
  <c r="N14" i="6"/>
  <c r="N30" i="6" s="1"/>
  <c r="U14" i="6"/>
  <c r="U30" i="6" s="1"/>
  <c r="I14" i="6"/>
  <c r="I30" i="6" s="1"/>
  <c r="H14" i="6"/>
  <c r="H30" i="6" s="1"/>
  <c r="C30" i="6"/>
  <c r="AE14" i="6"/>
  <c r="AE30" i="6" s="1"/>
  <c r="S14" i="6"/>
  <c r="S30" i="6" s="1"/>
  <c r="G14" i="6"/>
  <c r="G30" i="6" s="1"/>
  <c r="AF14" i="6"/>
  <c r="AF30" i="6" s="1"/>
  <c r="AD14" i="6"/>
  <c r="AD30" i="6" s="1"/>
  <c r="R14" i="6"/>
  <c r="R30" i="6" s="1"/>
  <c r="F14" i="6"/>
  <c r="F30" i="6" s="1"/>
  <c r="AC14" i="6"/>
  <c r="AC30" i="6" s="1"/>
  <c r="Q14" i="6"/>
  <c r="Q30" i="6" s="1"/>
  <c r="E14" i="6"/>
  <c r="E30" i="6" s="1"/>
  <c r="T14" i="6"/>
  <c r="T30" i="6" s="1"/>
  <c r="O18" i="14"/>
  <c r="N18" i="14"/>
  <c r="M18" i="14"/>
  <c r="L18" i="14"/>
  <c r="U18" i="14"/>
  <c r="T18" i="14"/>
  <c r="S18" i="14"/>
  <c r="R18" i="14"/>
  <c r="Q18" i="14"/>
  <c r="P18" i="14"/>
  <c r="C17" i="7"/>
  <c r="X22" i="14"/>
  <c r="Y18" i="14"/>
  <c r="W17" i="7"/>
  <c r="C47" i="1"/>
  <c r="D47" i="1" s="1"/>
  <c r="E47" i="1" s="1"/>
  <c r="F47" i="1" s="1"/>
  <c r="G47" i="1" s="1"/>
  <c r="H47" i="1" s="1"/>
  <c r="I47" i="1" s="1"/>
  <c r="J47" i="1" s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C53" i="1"/>
  <c r="D53" i="1" s="1"/>
  <c r="E53" i="1" s="1"/>
  <c r="F53" i="1" s="1"/>
  <c r="G53" i="1" s="1"/>
  <c r="H53" i="1" s="1"/>
  <c r="I53" i="1" s="1"/>
  <c r="J53" i="1" s="1"/>
  <c r="C51" i="1"/>
  <c r="D51" i="1" s="1"/>
  <c r="E51" i="1" s="1"/>
  <c r="F51" i="1" s="1"/>
  <c r="G51" i="1" s="1"/>
  <c r="H51" i="1" s="1"/>
  <c r="I51" i="1" s="1"/>
  <c r="J51" i="1" s="1"/>
  <c r="C49" i="1"/>
  <c r="D49" i="1" s="1"/>
  <c r="E49" i="1" s="1"/>
  <c r="F49" i="1" s="1"/>
  <c r="G49" i="1" s="1"/>
  <c r="H49" i="1" s="1"/>
  <c r="I49" i="1" s="1"/>
  <c r="J49" i="1" s="1"/>
  <c r="S46" i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B27" i="6"/>
  <c r="AB35" i="6" s="1"/>
  <c r="V27" i="6"/>
  <c r="V35" i="6" s="1"/>
  <c r="V167" i="14"/>
  <c r="AA28" i="6"/>
  <c r="AA36" i="6" s="1"/>
  <c r="AC29" i="6"/>
  <c r="AC37" i="6" s="1"/>
  <c r="P29" i="6"/>
  <c r="P37" i="6" s="1"/>
  <c r="S29" i="6"/>
  <c r="S37" i="6" s="1"/>
  <c r="Y28" i="6"/>
  <c r="Y36" i="6" s="1"/>
  <c r="D23" i="6"/>
  <c r="L28" i="6"/>
  <c r="L36" i="6" s="1"/>
  <c r="AA29" i="6"/>
  <c r="AA37" i="6" s="1"/>
  <c r="Z29" i="6"/>
  <c r="Z37" i="6" s="1"/>
  <c r="AD27" i="6"/>
  <c r="AD35" i="6" s="1"/>
  <c r="I28" i="6"/>
  <c r="I36" i="6" s="1"/>
  <c r="C23" i="6"/>
  <c r="E28" i="6"/>
  <c r="E36" i="6" s="1"/>
  <c r="E18" i="14"/>
  <c r="C186" i="14" s="1"/>
  <c r="AA27" i="6"/>
  <c r="AA35" i="6" s="1"/>
  <c r="B13" i="6"/>
  <c r="X28" i="6"/>
  <c r="X36" i="6" s="1"/>
  <c r="O28" i="6"/>
  <c r="O36" i="6" s="1"/>
  <c r="Z28" i="6"/>
  <c r="Z36" i="6" s="1"/>
  <c r="M30" i="6"/>
  <c r="B11" i="6"/>
  <c r="D27" i="6"/>
  <c r="D35" i="6" s="1"/>
  <c r="R29" i="6"/>
  <c r="R37" i="6" s="1"/>
  <c r="M28" i="6"/>
  <c r="M36" i="6" s="1"/>
  <c r="AB23" i="6"/>
  <c r="D29" i="6"/>
  <c r="D37" i="6" s="1"/>
  <c r="S28" i="6"/>
  <c r="S36" i="6" s="1"/>
  <c r="B20" i="6"/>
  <c r="B12" i="6"/>
  <c r="O15" i="6"/>
  <c r="Q27" i="6"/>
  <c r="Q35" i="6" s="1"/>
  <c r="P15" i="6"/>
  <c r="Y29" i="6"/>
  <c r="Y37" i="6" s="1"/>
  <c r="X29" i="6"/>
  <c r="X37" i="6" s="1"/>
  <c r="P23" i="6"/>
  <c r="O29" i="6"/>
  <c r="O37" i="6" s="1"/>
  <c r="AB28" i="6"/>
  <c r="AB36" i="6" s="1"/>
  <c r="W28" i="6"/>
  <c r="W36" i="6" s="1"/>
  <c r="AE29" i="6"/>
  <c r="AE37" i="6" s="1"/>
  <c r="Y15" i="6"/>
  <c r="AE27" i="6"/>
  <c r="AE35" i="6" s="1"/>
  <c r="W27" i="6"/>
  <c r="W35" i="6" s="1"/>
  <c r="O27" i="6"/>
  <c r="O35" i="6" s="1"/>
  <c r="V28" i="6"/>
  <c r="V36" i="6" s="1"/>
  <c r="N28" i="6"/>
  <c r="N36" i="6" s="1"/>
  <c r="M29" i="6"/>
  <c r="M37" i="6" s="1"/>
  <c r="W29" i="6"/>
  <c r="W37" i="6" s="1"/>
  <c r="D15" i="6"/>
  <c r="X15" i="6"/>
  <c r="U28" i="6"/>
  <c r="U36" i="6" s="1"/>
  <c r="U27" i="6"/>
  <c r="U35" i="6" s="1"/>
  <c r="H28" i="6"/>
  <c r="H36" i="6" s="1"/>
  <c r="M15" i="6"/>
  <c r="P27" i="6"/>
  <c r="P35" i="6" s="1"/>
  <c r="V29" i="6"/>
  <c r="V37" i="6" s="1"/>
  <c r="O23" i="6"/>
  <c r="M23" i="6"/>
  <c r="AF28" i="6"/>
  <c r="AF36" i="6" s="1"/>
  <c r="W23" i="6"/>
  <c r="R27" i="6"/>
  <c r="R35" i="6" s="1"/>
  <c r="Y23" i="6"/>
  <c r="C29" i="6"/>
  <c r="C37" i="6" s="1"/>
  <c r="M27" i="6"/>
  <c r="M35" i="6" s="1"/>
  <c r="X27" i="6"/>
  <c r="X35" i="6" s="1"/>
  <c r="AD29" i="6"/>
  <c r="AD37" i="6" s="1"/>
  <c r="F10" i="2"/>
  <c r="K28" i="6"/>
  <c r="K36" i="6" s="1"/>
  <c r="V23" i="6"/>
  <c r="J28" i="6"/>
  <c r="J36" i="6" s="1"/>
  <c r="T28" i="6"/>
  <c r="T36" i="6" s="1"/>
  <c r="Z27" i="6"/>
  <c r="Z35" i="6" s="1"/>
  <c r="Q28" i="6"/>
  <c r="Q36" i="6" s="1"/>
  <c r="AF29" i="6"/>
  <c r="AF37" i="6" s="1"/>
  <c r="X23" i="6"/>
  <c r="Q23" i="6"/>
  <c r="Z23" i="6"/>
  <c r="D28" i="6"/>
  <c r="D36" i="6" s="1"/>
  <c r="C27" i="6"/>
  <c r="C35" i="6" s="1"/>
  <c r="S27" i="6"/>
  <c r="S35" i="6" s="1"/>
  <c r="N27" i="6"/>
  <c r="N35" i="6" s="1"/>
  <c r="AC28" i="6"/>
  <c r="AC36" i="6" s="1"/>
  <c r="T29" i="6"/>
  <c r="T37" i="6" s="1"/>
  <c r="Y27" i="6"/>
  <c r="Y35" i="6" s="1"/>
  <c r="AF27" i="6"/>
  <c r="AF35" i="6" s="1"/>
  <c r="AA23" i="6"/>
  <c r="AC27" i="6"/>
  <c r="AC35" i="6" s="1"/>
  <c r="U29" i="6"/>
  <c r="U37" i="6" s="1"/>
  <c r="Q29" i="6"/>
  <c r="Q37" i="6" s="1"/>
  <c r="G28" i="6"/>
  <c r="G36" i="6" s="1"/>
  <c r="O10" i="11"/>
  <c r="D21" i="14"/>
  <c r="AD28" i="6"/>
  <c r="AD36" i="6" s="1"/>
  <c r="R28" i="6"/>
  <c r="R36" i="6" s="1"/>
  <c r="F28" i="6"/>
  <c r="F36" i="6" s="1"/>
  <c r="AB29" i="6"/>
  <c r="AB37" i="6" s="1"/>
  <c r="T27" i="6"/>
  <c r="T35" i="6" s="1"/>
  <c r="N29" i="6"/>
  <c r="N37" i="6" s="1"/>
  <c r="C28" i="6"/>
  <c r="E14" i="14"/>
  <c r="AE28" i="6"/>
  <c r="AE36" i="6" s="1"/>
  <c r="B26" i="7"/>
  <c r="K53" i="1" l="1"/>
  <c r="F34" i="9"/>
  <c r="W38" i="6"/>
  <c r="W39" i="6" s="1"/>
  <c r="Y11" i="3" s="1"/>
  <c r="I38" i="6"/>
  <c r="C38" i="6"/>
  <c r="H38" i="6"/>
  <c r="M38" i="6"/>
  <c r="M39" i="6" s="1"/>
  <c r="O11" i="3" s="1"/>
  <c r="G38" i="6"/>
  <c r="AC38" i="6"/>
  <c r="AC39" i="6" s="1"/>
  <c r="AE11" i="3" s="1"/>
  <c r="O38" i="6"/>
  <c r="O39" i="6" s="1"/>
  <c r="Q11" i="3" s="1"/>
  <c r="AB38" i="6"/>
  <c r="AB39" i="6" s="1"/>
  <c r="AD11" i="3" s="1"/>
  <c r="N38" i="6"/>
  <c r="N39" i="6" s="1"/>
  <c r="P11" i="3" s="1"/>
  <c r="P38" i="6"/>
  <c r="P39" i="6" s="1"/>
  <c r="R11" i="3" s="1"/>
  <c r="D38" i="6"/>
  <c r="D39" i="6" s="1"/>
  <c r="F11" i="3" s="1"/>
  <c r="X38" i="6"/>
  <c r="X39" i="6" s="1"/>
  <c r="Z11" i="3" s="1"/>
  <c r="AA15" i="6"/>
  <c r="AA31" i="6" s="1"/>
  <c r="AC12" i="8" s="1"/>
  <c r="K47" i="1"/>
  <c r="G14" i="9" s="1"/>
  <c r="F14" i="9"/>
  <c r="K57" i="1"/>
  <c r="G30" i="9" s="1"/>
  <c r="F30" i="9"/>
  <c r="K49" i="1"/>
  <c r="F28" i="9"/>
  <c r="K51" i="1"/>
  <c r="F21" i="9"/>
  <c r="D13" i="11"/>
  <c r="D13" i="10"/>
  <c r="D21" i="10"/>
  <c r="K58" i="1"/>
  <c r="F32" i="9"/>
  <c r="B187" i="14"/>
  <c r="B180" i="14" s="1"/>
  <c r="D12" i="11" s="1"/>
  <c r="D20" i="10"/>
  <c r="D11" i="11"/>
  <c r="I40" i="1"/>
  <c r="E19" i="10" s="1"/>
  <c r="D12" i="10"/>
  <c r="E15" i="6"/>
  <c r="Z15" i="6"/>
  <c r="Z31" i="6" s="1"/>
  <c r="AB12" i="8" s="1"/>
  <c r="AB15" i="6"/>
  <c r="AB31" i="6" s="1"/>
  <c r="AD12" i="8" s="1"/>
  <c r="AE15" i="6"/>
  <c r="S15" i="6"/>
  <c r="AF42" i="1"/>
  <c r="AB29" i="10" s="1"/>
  <c r="AA28" i="10"/>
  <c r="D19" i="10"/>
  <c r="D11" i="10"/>
  <c r="AD15" i="6"/>
  <c r="W167" i="14"/>
  <c r="AE23" i="6"/>
  <c r="F15" i="6"/>
  <c r="V15" i="6"/>
  <c r="V31" i="6" s="1"/>
  <c r="X12" i="8" s="1"/>
  <c r="AD23" i="6"/>
  <c r="AF15" i="6"/>
  <c r="H15" i="6"/>
  <c r="N23" i="6"/>
  <c r="N15" i="6"/>
  <c r="Q15" i="6"/>
  <c r="Q31" i="6" s="1"/>
  <c r="S12" i="8" s="1"/>
  <c r="I15" i="6"/>
  <c r="AF23" i="6"/>
  <c r="U23" i="6"/>
  <c r="S23" i="6"/>
  <c r="U15" i="6"/>
  <c r="E38" i="2"/>
  <c r="F38" i="2"/>
  <c r="G38" i="2"/>
  <c r="H38" i="2"/>
  <c r="I38" i="2"/>
  <c r="G15" i="6"/>
  <c r="J38" i="2"/>
  <c r="W15" i="6"/>
  <c r="W31" i="6" s="1"/>
  <c r="Y12" i="8" s="1"/>
  <c r="K38" i="2"/>
  <c r="D38" i="2"/>
  <c r="C15" i="6"/>
  <c r="C31" i="6" s="1"/>
  <c r="R23" i="6"/>
  <c r="T15" i="6"/>
  <c r="K15" i="6"/>
  <c r="AC15" i="6"/>
  <c r="B14" i="6"/>
  <c r="L15" i="6"/>
  <c r="AC23" i="6"/>
  <c r="T23" i="6"/>
  <c r="R15" i="6"/>
  <c r="J15" i="6"/>
  <c r="D40" i="9"/>
  <c r="K17" i="7"/>
  <c r="D17" i="7"/>
  <c r="L17" i="7"/>
  <c r="C18" i="7"/>
  <c r="D12" i="5"/>
  <c r="Z18" i="14"/>
  <c r="X17" i="7"/>
  <c r="Y22" i="14"/>
  <c r="D10" i="3"/>
  <c r="D12" i="3" s="1"/>
  <c r="V168" i="14"/>
  <c r="W168" i="14" s="1"/>
  <c r="X168" i="14" s="1"/>
  <c r="Y168" i="14" s="1"/>
  <c r="Z168" i="14" s="1"/>
  <c r="AA168" i="14" s="1"/>
  <c r="AB168" i="14" s="1"/>
  <c r="AC168" i="14" s="1"/>
  <c r="AD168" i="14" s="1"/>
  <c r="AE168" i="14" s="1"/>
  <c r="AF168" i="14" s="1"/>
  <c r="AG168" i="14" s="1"/>
  <c r="C168" i="14" s="1"/>
  <c r="O31" i="6"/>
  <c r="Q12" i="8" s="1"/>
  <c r="D31" i="6"/>
  <c r="F12" i="8" s="1"/>
  <c r="Y31" i="6"/>
  <c r="AA12" i="8" s="1"/>
  <c r="F19" i="14"/>
  <c r="F13" i="14"/>
  <c r="F14" i="14"/>
  <c r="E22" i="14"/>
  <c r="H13" i="14"/>
  <c r="F18" i="14"/>
  <c r="I13" i="14"/>
  <c r="V39" i="6"/>
  <c r="X11" i="3" s="1"/>
  <c r="P31" i="6"/>
  <c r="R12" i="8" s="1"/>
  <c r="B30" i="6"/>
  <c r="B28" i="6"/>
  <c r="X31" i="6"/>
  <c r="Z12" i="8" s="1"/>
  <c r="G13" i="14"/>
  <c r="M31" i="6"/>
  <c r="O12" i="8" s="1"/>
  <c r="U39" i="6"/>
  <c r="W11" i="3" s="1"/>
  <c r="Z39" i="6"/>
  <c r="AB11" i="3" s="1"/>
  <c r="G10" i="2"/>
  <c r="AA39" i="6"/>
  <c r="AC11" i="3" s="1"/>
  <c r="Y39" i="6"/>
  <c r="AA11" i="3" s="1"/>
  <c r="S39" i="6"/>
  <c r="U11" i="3" s="1"/>
  <c r="AD39" i="6"/>
  <c r="AF11" i="3" s="1"/>
  <c r="AE39" i="6"/>
  <c r="AG11" i="3" s="1"/>
  <c r="AF39" i="6"/>
  <c r="AH11" i="3" s="1"/>
  <c r="P10" i="11"/>
  <c r="T39" i="6"/>
  <c r="V11" i="3" s="1"/>
  <c r="C36" i="6"/>
  <c r="B36" i="6" s="1"/>
  <c r="R39" i="6"/>
  <c r="T11" i="3" s="1"/>
  <c r="L57" i="1" l="1"/>
  <c r="L47" i="1"/>
  <c r="H14" i="9" s="1"/>
  <c r="L53" i="1"/>
  <c r="G34" i="9"/>
  <c r="F35" i="9"/>
  <c r="G13" i="3" s="1"/>
  <c r="P38" i="8"/>
  <c r="P23" i="8"/>
  <c r="H10" i="2"/>
  <c r="I10" i="2" s="1"/>
  <c r="X23" i="8"/>
  <c r="X38" i="8"/>
  <c r="N38" i="8"/>
  <c r="N23" i="8"/>
  <c r="W38" i="8"/>
  <c r="W23" i="8"/>
  <c r="Q38" i="8"/>
  <c r="Q23" i="8"/>
  <c r="Y23" i="8"/>
  <c r="Y38" i="8"/>
  <c r="Z38" i="8"/>
  <c r="Z23" i="8"/>
  <c r="AC38" i="8"/>
  <c r="AC23" i="8"/>
  <c r="AB38" i="8"/>
  <c r="AB23" i="8"/>
  <c r="R38" i="8"/>
  <c r="R23" i="8"/>
  <c r="E38" i="8"/>
  <c r="E23" i="8"/>
  <c r="E12" i="8"/>
  <c r="AA38" i="8"/>
  <c r="AA23" i="8"/>
  <c r="B38" i="6"/>
  <c r="E11" i="10"/>
  <c r="E35" i="10" s="1"/>
  <c r="D37" i="10"/>
  <c r="L58" i="1"/>
  <c r="G32" i="9"/>
  <c r="E21" i="10"/>
  <c r="E13" i="10"/>
  <c r="E13" i="11"/>
  <c r="E20" i="10"/>
  <c r="L51" i="1"/>
  <c r="G21" i="9"/>
  <c r="E12" i="10"/>
  <c r="L49" i="1"/>
  <c r="G28" i="9"/>
  <c r="J40" i="1"/>
  <c r="D22" i="10"/>
  <c r="D23" i="10" s="1"/>
  <c r="Y21" i="14"/>
  <c r="D14" i="10"/>
  <c r="D15" i="10" s="1"/>
  <c r="AE21" i="14"/>
  <c r="X21" i="14"/>
  <c r="W18" i="7" s="1"/>
  <c r="W21" i="14"/>
  <c r="V18" i="7" s="1"/>
  <c r="AG21" i="14"/>
  <c r="AF21" i="14"/>
  <c r="AD21" i="14"/>
  <c r="AC21" i="14"/>
  <c r="D14" i="11"/>
  <c r="E16" i="3" s="1"/>
  <c r="AB21" i="14"/>
  <c r="AA21" i="14"/>
  <c r="D16" i="5"/>
  <c r="E15" i="3" s="1"/>
  <c r="Z21" i="14"/>
  <c r="D36" i="10"/>
  <c r="D186" i="14"/>
  <c r="M57" i="1"/>
  <c r="H30" i="9"/>
  <c r="E11" i="11"/>
  <c r="AE31" i="6"/>
  <c r="AG12" i="8" s="1"/>
  <c r="AD31" i="6"/>
  <c r="AF12" i="8" s="1"/>
  <c r="S31" i="6"/>
  <c r="U12" i="8" s="1"/>
  <c r="AG42" i="1"/>
  <c r="AC29" i="10" s="1"/>
  <c r="AB28" i="10"/>
  <c r="D35" i="10"/>
  <c r="M17" i="7"/>
  <c r="X167" i="14"/>
  <c r="N31" i="6"/>
  <c r="P12" i="8" s="1"/>
  <c r="U31" i="6"/>
  <c r="W12" i="8" s="1"/>
  <c r="AF31" i="6"/>
  <c r="AH12" i="8" s="1"/>
  <c r="T31" i="6"/>
  <c r="V12" i="8" s="1"/>
  <c r="R31" i="6"/>
  <c r="T12" i="8" s="1"/>
  <c r="AC31" i="6"/>
  <c r="AE12" i="8" s="1"/>
  <c r="B15" i="6"/>
  <c r="E40" i="9"/>
  <c r="I168" i="14"/>
  <c r="I21" i="14" s="1"/>
  <c r="G187" i="14" s="1"/>
  <c r="T168" i="14"/>
  <c r="T21" i="14" s="1"/>
  <c r="R168" i="14"/>
  <c r="R21" i="14" s="1"/>
  <c r="H168" i="14"/>
  <c r="H21" i="14" s="1"/>
  <c r="F187" i="14" s="1"/>
  <c r="S168" i="14"/>
  <c r="S21" i="14" s="1"/>
  <c r="P168" i="14"/>
  <c r="P21" i="14" s="1"/>
  <c r="O168" i="14"/>
  <c r="O21" i="14" s="1"/>
  <c r="N168" i="14"/>
  <c r="N21" i="14" s="1"/>
  <c r="M168" i="14"/>
  <c r="M21" i="14" s="1"/>
  <c r="Q168" i="14"/>
  <c r="Q21" i="14" s="1"/>
  <c r="L168" i="14"/>
  <c r="L21" i="14" s="1"/>
  <c r="K168" i="14"/>
  <c r="K21" i="14" s="1"/>
  <c r="J168" i="14"/>
  <c r="J21" i="14" s="1"/>
  <c r="U168" i="14"/>
  <c r="U21" i="14" s="1"/>
  <c r="E17" i="7"/>
  <c r="E24" i="7" s="1"/>
  <c r="Z22" i="14"/>
  <c r="X18" i="7"/>
  <c r="G21" i="14"/>
  <c r="E187" i="14" s="1"/>
  <c r="AA18" i="14"/>
  <c r="Y17" i="7"/>
  <c r="F21" i="14"/>
  <c r="D187" i="14" s="1"/>
  <c r="E12" i="7"/>
  <c r="E13" i="7" s="1"/>
  <c r="C19" i="3"/>
  <c r="B19" i="3"/>
  <c r="E13" i="14"/>
  <c r="G19" i="14"/>
  <c r="G18" i="14"/>
  <c r="J13" i="14"/>
  <c r="G14" i="14"/>
  <c r="F12" i="7" s="1"/>
  <c r="F13" i="7" s="1"/>
  <c r="F22" i="14"/>
  <c r="K24" i="7"/>
  <c r="C13" i="7"/>
  <c r="C24" i="7"/>
  <c r="K13" i="14"/>
  <c r="D24" i="7"/>
  <c r="C25" i="7"/>
  <c r="Q39" i="6"/>
  <c r="S11" i="3" s="1"/>
  <c r="Q10" i="11"/>
  <c r="D20" i="3"/>
  <c r="C39" i="6"/>
  <c r="C20" i="7"/>
  <c r="F20" i="10" l="1"/>
  <c r="F13" i="11"/>
  <c r="K40" i="1"/>
  <c r="L40" i="1" s="1"/>
  <c r="F11" i="11"/>
  <c r="M47" i="1"/>
  <c r="I14" i="9" s="1"/>
  <c r="E36" i="10"/>
  <c r="M53" i="1"/>
  <c r="H34" i="9"/>
  <c r="G35" i="9"/>
  <c r="AF38" i="8"/>
  <c r="AF23" i="8"/>
  <c r="T38" i="8"/>
  <c r="T23" i="8"/>
  <c r="S38" i="8"/>
  <c r="S23" i="8"/>
  <c r="U38" i="8"/>
  <c r="U23" i="8"/>
  <c r="O38" i="8"/>
  <c r="O23" i="8"/>
  <c r="AD38" i="8"/>
  <c r="AD23" i="8"/>
  <c r="AG38" i="8"/>
  <c r="AG23" i="8"/>
  <c r="AE38" i="8"/>
  <c r="AE23" i="8"/>
  <c r="V23" i="8"/>
  <c r="V38" i="8"/>
  <c r="D38" i="8"/>
  <c r="D23" i="8"/>
  <c r="M51" i="1"/>
  <c r="H21" i="9"/>
  <c r="F21" i="10"/>
  <c r="F13" i="10"/>
  <c r="F12" i="10"/>
  <c r="M49" i="1"/>
  <c r="H28" i="9"/>
  <c r="M58" i="1"/>
  <c r="H32" i="9"/>
  <c r="AA12" i="3"/>
  <c r="D39" i="10"/>
  <c r="E17" i="3" s="1"/>
  <c r="E18" i="3" s="1"/>
  <c r="E37" i="10"/>
  <c r="E186" i="14"/>
  <c r="N57" i="1"/>
  <c r="I30" i="9"/>
  <c r="AH42" i="1"/>
  <c r="AD29" i="10" s="1"/>
  <c r="AC28" i="10"/>
  <c r="H187" i="14"/>
  <c r="I187" i="14"/>
  <c r="I180" i="14" s="1"/>
  <c r="F19" i="10"/>
  <c r="F11" i="10"/>
  <c r="F180" i="14"/>
  <c r="G180" i="14"/>
  <c r="F22" i="10"/>
  <c r="F14" i="10"/>
  <c r="D180" i="14"/>
  <c r="F12" i="11" s="1"/>
  <c r="E180" i="14"/>
  <c r="Y167" i="14"/>
  <c r="F40" i="9"/>
  <c r="G14" i="3" s="1"/>
  <c r="F12" i="5"/>
  <c r="F17" i="7"/>
  <c r="F24" i="7" s="1"/>
  <c r="U68" i="13"/>
  <c r="U69" i="13" s="1"/>
  <c r="W13" i="5" s="1"/>
  <c r="N17" i="7"/>
  <c r="AB18" i="14"/>
  <c r="Z17" i="7"/>
  <c r="E21" i="14"/>
  <c r="C187" i="14" s="1"/>
  <c r="D12" i="7"/>
  <c r="D13" i="7" s="1"/>
  <c r="E18" i="7"/>
  <c r="AA22" i="14"/>
  <c r="Y18" i="7"/>
  <c r="H14" i="14"/>
  <c r="G12" i="7" s="1"/>
  <c r="G13" i="7" s="1"/>
  <c r="G22" i="14"/>
  <c r="F18" i="7" s="1"/>
  <c r="H18" i="14"/>
  <c r="H19" i="14"/>
  <c r="L13" i="14"/>
  <c r="J187" i="14" s="1"/>
  <c r="R10" i="11"/>
  <c r="D21" i="3"/>
  <c r="J10" i="2"/>
  <c r="C27" i="7"/>
  <c r="E11" i="3"/>
  <c r="F36" i="10" l="1"/>
  <c r="G21" i="10"/>
  <c r="G13" i="11"/>
  <c r="G11" i="11"/>
  <c r="H14" i="10"/>
  <c r="H13" i="11"/>
  <c r="G22" i="10"/>
  <c r="G12" i="11"/>
  <c r="G12" i="10"/>
  <c r="G14" i="10"/>
  <c r="G20" i="10"/>
  <c r="G13" i="10"/>
  <c r="N47" i="1"/>
  <c r="O47" i="1" s="1"/>
  <c r="F37" i="10"/>
  <c r="E39" i="10"/>
  <c r="F17" i="3" s="1"/>
  <c r="N53" i="1"/>
  <c r="I34" i="9"/>
  <c r="W39" i="9"/>
  <c r="F14" i="11"/>
  <c r="G16" i="3" s="1"/>
  <c r="E13" i="8"/>
  <c r="H35" i="9"/>
  <c r="I13" i="3" s="1"/>
  <c r="N49" i="1"/>
  <c r="I28" i="9"/>
  <c r="N51" i="1"/>
  <c r="I21" i="9"/>
  <c r="N58" i="1"/>
  <c r="I32" i="9"/>
  <c r="F16" i="5"/>
  <c r="G15" i="3" s="1"/>
  <c r="F186" i="14"/>
  <c r="O57" i="1"/>
  <c r="J30" i="9"/>
  <c r="H13" i="10"/>
  <c r="H21" i="10"/>
  <c r="G11" i="10"/>
  <c r="G19" i="10"/>
  <c r="M40" i="1"/>
  <c r="I13" i="11" s="1"/>
  <c r="H20" i="10"/>
  <c r="H11" i="11"/>
  <c r="H12" i="10"/>
  <c r="H22" i="10"/>
  <c r="H12" i="11"/>
  <c r="AI42" i="1"/>
  <c r="AE29" i="10" s="1"/>
  <c r="AD28" i="10"/>
  <c r="H180" i="14"/>
  <c r="J180" i="14"/>
  <c r="E22" i="10"/>
  <c r="E23" i="10" s="1"/>
  <c r="E14" i="10"/>
  <c r="E15" i="10" s="1"/>
  <c r="C180" i="14"/>
  <c r="E12" i="11" s="1"/>
  <c r="E14" i="11" s="1"/>
  <c r="F16" i="3" s="1"/>
  <c r="F15" i="10"/>
  <c r="F35" i="10"/>
  <c r="F23" i="10"/>
  <c r="Z167" i="14"/>
  <c r="G40" i="9"/>
  <c r="H14" i="3" s="1"/>
  <c r="G12" i="5"/>
  <c r="G16" i="5" s="1"/>
  <c r="H15" i="3" s="1"/>
  <c r="D18" i="7"/>
  <c r="D25" i="7" s="1"/>
  <c r="D27" i="7" s="1"/>
  <c r="F13" i="8" s="1"/>
  <c r="E12" i="5"/>
  <c r="E16" i="5" s="1"/>
  <c r="F15" i="3" s="1"/>
  <c r="O17" i="7"/>
  <c r="V68" i="13"/>
  <c r="V69" i="13" s="1"/>
  <c r="X13" i="5" s="1"/>
  <c r="F25" i="7"/>
  <c r="F27" i="7" s="1"/>
  <c r="H13" i="8" s="1"/>
  <c r="F20" i="7"/>
  <c r="AB22" i="14"/>
  <c r="Z18" i="7"/>
  <c r="G17" i="7"/>
  <c r="AC18" i="14"/>
  <c r="AA17" i="7"/>
  <c r="E25" i="7"/>
  <c r="E27" i="7" s="1"/>
  <c r="G13" i="8" s="1"/>
  <c r="E20" i="7"/>
  <c r="I19" i="14"/>
  <c r="I18" i="14"/>
  <c r="I14" i="14"/>
  <c r="H12" i="7" s="1"/>
  <c r="H13" i="7" s="1"/>
  <c r="H22" i="14"/>
  <c r="H13" i="3"/>
  <c r="M13" i="14"/>
  <c r="K187" i="14" s="1"/>
  <c r="S10" i="11"/>
  <c r="K10" i="2"/>
  <c r="G37" i="10" l="1"/>
  <c r="H38" i="10"/>
  <c r="G14" i="11"/>
  <c r="H16" i="3" s="1"/>
  <c r="G36" i="10"/>
  <c r="G23" i="10"/>
  <c r="J14" i="9"/>
  <c r="F39" i="10"/>
  <c r="G17" i="3" s="1"/>
  <c r="G18" i="3" s="1"/>
  <c r="O53" i="1"/>
  <c r="J34" i="9"/>
  <c r="I35" i="9"/>
  <c r="J13" i="3" s="1"/>
  <c r="X39" i="9"/>
  <c r="G25" i="8"/>
  <c r="G35" i="8"/>
  <c r="D35" i="8"/>
  <c r="D25" i="8"/>
  <c r="E25" i="8"/>
  <c r="E35" i="8"/>
  <c r="F25" i="8"/>
  <c r="F35" i="8"/>
  <c r="F18" i="3"/>
  <c r="O58" i="1"/>
  <c r="J32" i="9"/>
  <c r="O51" i="1"/>
  <c r="J21" i="9"/>
  <c r="P47" i="1"/>
  <c r="K14" i="9"/>
  <c r="O49" i="1"/>
  <c r="J28" i="9"/>
  <c r="H14" i="11"/>
  <c r="I16" i="3" s="1"/>
  <c r="G186" i="14"/>
  <c r="I11" i="10" s="1"/>
  <c r="P57" i="1"/>
  <c r="K30" i="9"/>
  <c r="I21" i="10"/>
  <c r="I13" i="10"/>
  <c r="I12" i="11"/>
  <c r="G35" i="10"/>
  <c r="G15" i="10"/>
  <c r="H36" i="10"/>
  <c r="H37" i="10"/>
  <c r="AJ42" i="1"/>
  <c r="AF29" i="10" s="1"/>
  <c r="AE28" i="10"/>
  <c r="N40" i="1"/>
  <c r="I20" i="10"/>
  <c r="I11" i="11"/>
  <c r="I12" i="10"/>
  <c r="I14" i="10"/>
  <c r="I22" i="10"/>
  <c r="K180" i="14"/>
  <c r="H19" i="10"/>
  <c r="H23" i="10" s="1"/>
  <c r="H11" i="10"/>
  <c r="AA167" i="14"/>
  <c r="D20" i="7"/>
  <c r="V40" i="9"/>
  <c r="G18" i="7"/>
  <c r="G25" i="7" s="1"/>
  <c r="H12" i="5"/>
  <c r="H17" i="7"/>
  <c r="P17" i="7"/>
  <c r="W68" i="13"/>
  <c r="W69" i="13" s="1"/>
  <c r="Y13" i="5" s="1"/>
  <c r="AD18" i="14"/>
  <c r="AB17" i="7"/>
  <c r="G24" i="7"/>
  <c r="AC22" i="14"/>
  <c r="AA18" i="7"/>
  <c r="J14" i="14"/>
  <c r="I12" i="7" s="1"/>
  <c r="I13" i="7" s="1"/>
  <c r="I22" i="14"/>
  <c r="J18" i="14"/>
  <c r="J19" i="14"/>
  <c r="N13" i="14"/>
  <c r="L187" i="14" s="1"/>
  <c r="T10" i="11"/>
  <c r="L10" i="2"/>
  <c r="J12" i="11" l="1"/>
  <c r="J13" i="11"/>
  <c r="G39" i="10"/>
  <c r="H17" i="3" s="1"/>
  <c r="H18" i="3" s="1"/>
  <c r="P53" i="1"/>
  <c r="K34" i="9"/>
  <c r="Y39" i="9"/>
  <c r="J35" i="9"/>
  <c r="K13" i="3" s="1"/>
  <c r="I19" i="10"/>
  <c r="I35" i="10" s="1"/>
  <c r="P51" i="1"/>
  <c r="K21" i="9"/>
  <c r="P49" i="1"/>
  <c r="K28" i="9"/>
  <c r="P58" i="1"/>
  <c r="K32" i="9"/>
  <c r="Q47" i="1"/>
  <c r="L14" i="9"/>
  <c r="I38" i="10"/>
  <c r="I14" i="11"/>
  <c r="J16" i="3" s="1"/>
  <c r="H186" i="14"/>
  <c r="Q57" i="1"/>
  <c r="L30" i="9"/>
  <c r="J21" i="10"/>
  <c r="J13" i="10"/>
  <c r="O40" i="1"/>
  <c r="K13" i="11" s="1"/>
  <c r="J20" i="10"/>
  <c r="J11" i="11"/>
  <c r="J12" i="10"/>
  <c r="J14" i="10"/>
  <c r="J22" i="10"/>
  <c r="AK42" i="1"/>
  <c r="AG29" i="10" s="1"/>
  <c r="AF28" i="10"/>
  <c r="I36" i="10"/>
  <c r="I37" i="10"/>
  <c r="H15" i="10"/>
  <c r="H35" i="10"/>
  <c r="H39" i="10" s="1"/>
  <c r="I17" i="3" s="1"/>
  <c r="L180" i="14"/>
  <c r="I15" i="10"/>
  <c r="AB167" i="14"/>
  <c r="S167" i="14"/>
  <c r="G20" i="7"/>
  <c r="W40" i="9"/>
  <c r="G27" i="7"/>
  <c r="H18" i="7"/>
  <c r="H25" i="7" s="1"/>
  <c r="I12" i="5"/>
  <c r="Q17" i="7"/>
  <c r="H24" i="7"/>
  <c r="X68" i="13"/>
  <c r="X69" i="13" s="1"/>
  <c r="Z13" i="5" s="1"/>
  <c r="AD22" i="14"/>
  <c r="AB18" i="7"/>
  <c r="I17" i="7"/>
  <c r="AE18" i="14"/>
  <c r="AC17" i="7"/>
  <c r="K18" i="14"/>
  <c r="W12" i="14"/>
  <c r="X12" i="14" s="1"/>
  <c r="Y12" i="14" s="1"/>
  <c r="Z12" i="14" s="1"/>
  <c r="AA12" i="14" s="1"/>
  <c r="AB12" i="14" s="1"/>
  <c r="AC12" i="14" s="1"/>
  <c r="AD12" i="14" s="1"/>
  <c r="AE12" i="14" s="1"/>
  <c r="AF12" i="14" s="1"/>
  <c r="AG12" i="14" s="1"/>
  <c r="K14" i="14"/>
  <c r="J12" i="7" s="1"/>
  <c r="J13" i="7" s="1"/>
  <c r="J22" i="14"/>
  <c r="O13" i="14"/>
  <c r="M187" i="14" s="1"/>
  <c r="M10" i="2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U10" i="11"/>
  <c r="I23" i="10" l="1"/>
  <c r="Q53" i="1"/>
  <c r="L34" i="9"/>
  <c r="Z39" i="9"/>
  <c r="K35" i="9"/>
  <c r="L13" i="3" s="1"/>
  <c r="I13" i="8"/>
  <c r="Q58" i="1"/>
  <c r="L32" i="9"/>
  <c r="Q49" i="1"/>
  <c r="L28" i="9"/>
  <c r="R47" i="1"/>
  <c r="M14" i="9"/>
  <c r="Q51" i="1"/>
  <c r="L21" i="9"/>
  <c r="J37" i="10"/>
  <c r="J14" i="11"/>
  <c r="K16" i="3" s="1"/>
  <c r="J38" i="10"/>
  <c r="I186" i="14"/>
  <c r="R57" i="1"/>
  <c r="M30" i="9"/>
  <c r="K21" i="10"/>
  <c r="K13" i="10"/>
  <c r="AL42" i="1"/>
  <c r="AG28" i="10"/>
  <c r="I39" i="10"/>
  <c r="J17" i="3" s="1"/>
  <c r="J36" i="10"/>
  <c r="P40" i="1"/>
  <c r="L13" i="11" s="1"/>
  <c r="K20" i="10"/>
  <c r="K11" i="11"/>
  <c r="K12" i="10"/>
  <c r="K22" i="10"/>
  <c r="K14" i="10"/>
  <c r="K12" i="11"/>
  <c r="J19" i="10"/>
  <c r="J23" i="10" s="1"/>
  <c r="J11" i="10"/>
  <c r="M180" i="14"/>
  <c r="AC167" i="14"/>
  <c r="T167" i="14"/>
  <c r="H27" i="7"/>
  <c r="J13" i="8" s="1"/>
  <c r="X40" i="9"/>
  <c r="H20" i="7"/>
  <c r="R17" i="7"/>
  <c r="Y68" i="13"/>
  <c r="Y69" i="13" s="1"/>
  <c r="AA13" i="5" s="1"/>
  <c r="J17" i="7"/>
  <c r="J24" i="7" s="1"/>
  <c r="I18" i="7"/>
  <c r="I25" i="7" s="1"/>
  <c r="J12" i="5"/>
  <c r="I24" i="7"/>
  <c r="AE22" i="14"/>
  <c r="AC18" i="7"/>
  <c r="AF18" i="14"/>
  <c r="AD17" i="7"/>
  <c r="L14" i="14"/>
  <c r="K22" i="14"/>
  <c r="P13" i="14"/>
  <c r="N187" i="14" s="1"/>
  <c r="V10" i="11"/>
  <c r="R53" i="1" l="1"/>
  <c r="M34" i="9"/>
  <c r="AA39" i="9"/>
  <c r="L35" i="9"/>
  <c r="M13" i="3" s="1"/>
  <c r="I25" i="8"/>
  <c r="I35" i="8"/>
  <c r="H35" i="8"/>
  <c r="H25" i="8"/>
  <c r="R51" i="1"/>
  <c r="M21" i="9"/>
  <c r="R49" i="1"/>
  <c r="M28" i="9"/>
  <c r="S47" i="1"/>
  <c r="N14" i="9"/>
  <c r="R58" i="1"/>
  <c r="M32" i="9"/>
  <c r="K14" i="11"/>
  <c r="L16" i="3" s="1"/>
  <c r="K37" i="10"/>
  <c r="S57" i="1"/>
  <c r="N30" i="9"/>
  <c r="L21" i="10"/>
  <c r="L13" i="10"/>
  <c r="K38" i="10"/>
  <c r="K36" i="10"/>
  <c r="Q40" i="1"/>
  <c r="M13" i="11" s="1"/>
  <c r="L11" i="11"/>
  <c r="L20" i="10"/>
  <c r="L12" i="10"/>
  <c r="L19" i="10"/>
  <c r="L11" i="10"/>
  <c r="L22" i="10"/>
  <c r="L14" i="10"/>
  <c r="L12" i="11"/>
  <c r="K19" i="10"/>
  <c r="K23" i="10" s="1"/>
  <c r="K11" i="10"/>
  <c r="N180" i="14"/>
  <c r="J35" i="10"/>
  <c r="J39" i="10" s="1"/>
  <c r="K17" i="3" s="1"/>
  <c r="J15" i="10"/>
  <c r="S17" i="7"/>
  <c r="AD167" i="14"/>
  <c r="AE167" i="14" s="1"/>
  <c r="AF167" i="14" s="1"/>
  <c r="AG167" i="14" s="1"/>
  <c r="C167" i="14" s="1"/>
  <c r="U167" i="14"/>
  <c r="I27" i="7"/>
  <c r="K13" i="8" s="1"/>
  <c r="Y40" i="9"/>
  <c r="I20" i="7"/>
  <c r="K12" i="7"/>
  <c r="K13" i="7" s="1"/>
  <c r="L22" i="14"/>
  <c r="Z68" i="13"/>
  <c r="Z69" i="13" s="1"/>
  <c r="AB13" i="5" s="1"/>
  <c r="J18" i="7"/>
  <c r="J25" i="7" s="1"/>
  <c r="J27" i="7" s="1"/>
  <c r="L13" i="8" s="1"/>
  <c r="K12" i="5"/>
  <c r="AG18" i="14"/>
  <c r="AE17" i="7"/>
  <c r="AF22" i="14"/>
  <c r="AD18" i="7"/>
  <c r="M14" i="14"/>
  <c r="Q13" i="14"/>
  <c r="O187" i="14" s="1"/>
  <c r="U20" i="7"/>
  <c r="W10" i="11"/>
  <c r="S53" i="1" l="1"/>
  <c r="N34" i="9"/>
  <c r="AB39" i="9"/>
  <c r="M35" i="9"/>
  <c r="N13" i="3" s="1"/>
  <c r="J25" i="8"/>
  <c r="J35" i="8"/>
  <c r="K35" i="8"/>
  <c r="K25" i="8"/>
  <c r="S58" i="1"/>
  <c r="N32" i="9"/>
  <c r="S49" i="1"/>
  <c r="N28" i="9"/>
  <c r="T47" i="1"/>
  <c r="O14" i="9"/>
  <c r="S51" i="1"/>
  <c r="N21" i="9"/>
  <c r="L35" i="10"/>
  <c r="T57" i="1"/>
  <c r="O30" i="9"/>
  <c r="M21" i="10"/>
  <c r="M13" i="10"/>
  <c r="L15" i="10"/>
  <c r="L36" i="10"/>
  <c r="R40" i="1"/>
  <c r="N13" i="11" s="1"/>
  <c r="M20" i="10"/>
  <c r="M11" i="11"/>
  <c r="M12" i="10"/>
  <c r="M22" i="10"/>
  <c r="M14" i="10"/>
  <c r="M12" i="11"/>
  <c r="L37" i="10"/>
  <c r="L14" i="11"/>
  <c r="M16" i="3" s="1"/>
  <c r="O180" i="14"/>
  <c r="K15" i="10"/>
  <c r="K35" i="10"/>
  <c r="K39" i="10" s="1"/>
  <c r="L17" i="3" s="1"/>
  <c r="Z40" i="9"/>
  <c r="J20" i="7"/>
  <c r="L12" i="7"/>
  <c r="M22" i="14"/>
  <c r="AA68" i="13"/>
  <c r="AA69" i="13" s="1"/>
  <c r="AC13" i="5" s="1"/>
  <c r="K18" i="7"/>
  <c r="L12" i="5"/>
  <c r="AG22" i="14"/>
  <c r="AE18" i="7"/>
  <c r="AF17" i="7"/>
  <c r="L23" i="10"/>
  <c r="L38" i="10"/>
  <c r="L31" i="10"/>
  <c r="N14" i="14"/>
  <c r="M31" i="10"/>
  <c r="R13" i="14"/>
  <c r="P187" i="14" s="1"/>
  <c r="X10" i="11"/>
  <c r="T53" i="1" l="1"/>
  <c r="O34" i="9"/>
  <c r="AC39" i="9"/>
  <c r="N35" i="9"/>
  <c r="O13" i="3" s="1"/>
  <c r="U47" i="1"/>
  <c r="P14" i="9"/>
  <c r="T49" i="1"/>
  <c r="O28" i="9"/>
  <c r="T51" i="1"/>
  <c r="O21" i="9"/>
  <c r="M37" i="10"/>
  <c r="T58" i="1"/>
  <c r="O32" i="9"/>
  <c r="U57" i="1"/>
  <c r="P30" i="9"/>
  <c r="N21" i="10"/>
  <c r="N13" i="10"/>
  <c r="M14" i="11"/>
  <c r="N16" i="3" s="1"/>
  <c r="M36" i="10"/>
  <c r="S40" i="1"/>
  <c r="O13" i="11" s="1"/>
  <c r="N11" i="11"/>
  <c r="N20" i="10"/>
  <c r="N12" i="10"/>
  <c r="N22" i="10"/>
  <c r="N14" i="10"/>
  <c r="N12" i="11"/>
  <c r="T17" i="7"/>
  <c r="B17" i="7" s="1"/>
  <c r="P180" i="14"/>
  <c r="AA40" i="9"/>
  <c r="AB68" i="13"/>
  <c r="AB69" i="13" s="1"/>
  <c r="AD13" i="5" s="1"/>
  <c r="M12" i="7"/>
  <c r="N22" i="14"/>
  <c r="L18" i="7"/>
  <c r="M12" i="5"/>
  <c r="K20" i="7"/>
  <c r="K25" i="7"/>
  <c r="K27" i="7" s="1"/>
  <c r="M13" i="8" s="1"/>
  <c r="AF18" i="7"/>
  <c r="L39" i="10"/>
  <c r="M17" i="3" s="1"/>
  <c r="M38" i="10"/>
  <c r="O14" i="14"/>
  <c r="N31" i="10"/>
  <c r="S13" i="14"/>
  <c r="Q187" i="14" s="1"/>
  <c r="Y10" i="11"/>
  <c r="W20" i="7"/>
  <c r="U53" i="1" l="1"/>
  <c r="P34" i="9"/>
  <c r="AD39" i="9"/>
  <c r="O35" i="9"/>
  <c r="P13" i="3" s="1"/>
  <c r="L25" i="8"/>
  <c r="L35" i="8"/>
  <c r="U58" i="1"/>
  <c r="P32" i="9"/>
  <c r="U51" i="1"/>
  <c r="P21" i="9"/>
  <c r="U49" i="1"/>
  <c r="P28" i="9"/>
  <c r="V47" i="1"/>
  <c r="Q14" i="9"/>
  <c r="V57" i="1"/>
  <c r="Q30" i="9"/>
  <c r="O21" i="10"/>
  <c r="O13" i="10"/>
  <c r="N36" i="10"/>
  <c r="N37" i="10"/>
  <c r="N14" i="11"/>
  <c r="O16" i="3" s="1"/>
  <c r="T40" i="1"/>
  <c r="P13" i="11" s="1"/>
  <c r="O11" i="11"/>
  <c r="O20" i="10"/>
  <c r="O12" i="10"/>
  <c r="O22" i="10"/>
  <c r="O14" i="10"/>
  <c r="O12" i="11"/>
  <c r="Q180" i="14"/>
  <c r="AB40" i="9"/>
  <c r="L20" i="7"/>
  <c r="L25" i="7"/>
  <c r="M18" i="7"/>
  <c r="N12" i="5"/>
  <c r="N12" i="7"/>
  <c r="O22" i="14"/>
  <c r="AC68" i="13"/>
  <c r="AC69" i="13" s="1"/>
  <c r="AE13" i="5" s="1"/>
  <c r="P14" i="14"/>
  <c r="N38" i="10"/>
  <c r="T13" i="14"/>
  <c r="R187" i="14" s="1"/>
  <c r="Z10" i="11"/>
  <c r="V53" i="1" l="1"/>
  <c r="Q34" i="9"/>
  <c r="AE39" i="9"/>
  <c r="P35" i="9"/>
  <c r="Q13" i="3" s="1"/>
  <c r="V49" i="1"/>
  <c r="Q28" i="9"/>
  <c r="V51" i="1"/>
  <c r="Q21" i="9"/>
  <c r="W47" i="1"/>
  <c r="R14" i="9"/>
  <c r="V58" i="1"/>
  <c r="Q32" i="9"/>
  <c r="O37" i="10"/>
  <c r="W57" i="1"/>
  <c r="R30" i="9"/>
  <c r="P21" i="10"/>
  <c r="P13" i="10"/>
  <c r="O36" i="10"/>
  <c r="O14" i="11"/>
  <c r="P16" i="3" s="1"/>
  <c r="U40" i="1"/>
  <c r="Q13" i="11" s="1"/>
  <c r="P11" i="11"/>
  <c r="P20" i="10"/>
  <c r="P12" i="10"/>
  <c r="P22" i="10"/>
  <c r="P14" i="10"/>
  <c r="P12" i="11"/>
  <c r="R180" i="14"/>
  <c r="O31" i="10"/>
  <c r="AC40" i="9"/>
  <c r="N18" i="7"/>
  <c r="O12" i="5"/>
  <c r="O12" i="7"/>
  <c r="P22" i="14"/>
  <c r="M20" i="7"/>
  <c r="M25" i="7"/>
  <c r="AD68" i="13"/>
  <c r="AD69" i="13" s="1"/>
  <c r="AF13" i="5" s="1"/>
  <c r="Q14" i="14"/>
  <c r="U13" i="14"/>
  <c r="S187" i="14" s="1"/>
  <c r="Y20" i="7"/>
  <c r="AA10" i="11"/>
  <c r="W53" i="1" l="1"/>
  <c r="R34" i="9"/>
  <c r="AF39" i="9"/>
  <c r="Q35" i="9"/>
  <c r="R13" i="3" s="1"/>
  <c r="W58" i="1"/>
  <c r="R32" i="9"/>
  <c r="W51" i="1"/>
  <c r="R21" i="9"/>
  <c r="X47" i="1"/>
  <c r="S14" i="9"/>
  <c r="W49" i="1"/>
  <c r="R28" i="9"/>
  <c r="P37" i="10"/>
  <c r="X57" i="1"/>
  <c r="S30" i="9"/>
  <c r="Q21" i="10"/>
  <c r="Q13" i="10"/>
  <c r="P14" i="11"/>
  <c r="Q16" i="3" s="1"/>
  <c r="P36" i="10"/>
  <c r="V40" i="1"/>
  <c r="R13" i="11" s="1"/>
  <c r="Q20" i="10"/>
  <c r="Q11" i="11"/>
  <c r="Q12" i="10"/>
  <c r="Q22" i="10"/>
  <c r="Q14" i="10"/>
  <c r="Q12" i="11"/>
  <c r="S180" i="14"/>
  <c r="O38" i="10"/>
  <c r="AD40" i="9"/>
  <c r="AE68" i="13"/>
  <c r="AE69" i="13" s="1"/>
  <c r="AG13" i="5" s="1"/>
  <c r="P12" i="7"/>
  <c r="Q22" i="14"/>
  <c r="O18" i="7"/>
  <c r="P12" i="5"/>
  <c r="N20" i="7"/>
  <c r="N25" i="7"/>
  <c r="P31" i="10"/>
  <c r="R14" i="14"/>
  <c r="Q31" i="10"/>
  <c r="Z20" i="7"/>
  <c r="AB10" i="11"/>
  <c r="X53" i="1" l="1"/>
  <c r="S34" i="9"/>
  <c r="AG39" i="9"/>
  <c r="R35" i="9"/>
  <c r="S13" i="3" s="1"/>
  <c r="X49" i="1"/>
  <c r="S28" i="9"/>
  <c r="Y47" i="1"/>
  <c r="T14" i="9"/>
  <c r="X51" i="1"/>
  <c r="S21" i="9"/>
  <c r="X58" i="1"/>
  <c r="S32" i="9"/>
  <c r="Q37" i="10"/>
  <c r="Y57" i="1"/>
  <c r="T30" i="9"/>
  <c r="R21" i="10"/>
  <c r="R13" i="10"/>
  <c r="Q36" i="10"/>
  <c r="W40" i="1"/>
  <c r="S13" i="11" s="1"/>
  <c r="R20" i="10"/>
  <c r="R11" i="11"/>
  <c r="R12" i="10"/>
  <c r="R22" i="10"/>
  <c r="R14" i="10"/>
  <c r="R12" i="11"/>
  <c r="Q14" i="11"/>
  <c r="R16" i="3" s="1"/>
  <c r="AE40" i="9"/>
  <c r="O20" i="7"/>
  <c r="O25" i="7"/>
  <c r="P18" i="7"/>
  <c r="Q12" i="5"/>
  <c r="P38" i="10"/>
  <c r="Q12" i="7"/>
  <c r="R22" i="14"/>
  <c r="Q38" i="10"/>
  <c r="S14" i="14"/>
  <c r="W13" i="14"/>
  <c r="U187" i="14" s="1"/>
  <c r="AC10" i="11"/>
  <c r="W14" i="3"/>
  <c r="AA20" i="7"/>
  <c r="S35" i="9" l="1"/>
  <c r="T13" i="3" s="1"/>
  <c r="Y53" i="1"/>
  <c r="T34" i="9"/>
  <c r="Y51" i="1"/>
  <c r="T21" i="9"/>
  <c r="Z47" i="1"/>
  <c r="U14" i="9"/>
  <c r="Y58" i="1"/>
  <c r="T32" i="9"/>
  <c r="Y49" i="1"/>
  <c r="T28" i="9"/>
  <c r="R36" i="10"/>
  <c r="Z57" i="1"/>
  <c r="U30" i="9"/>
  <c r="S13" i="10"/>
  <c r="S21" i="10"/>
  <c r="R37" i="10"/>
  <c r="R14" i="11"/>
  <c r="S16" i="3" s="1"/>
  <c r="X40" i="1"/>
  <c r="T13" i="11" s="1"/>
  <c r="S20" i="10"/>
  <c r="S11" i="11"/>
  <c r="S12" i="10"/>
  <c r="S22" i="10"/>
  <c r="S14" i="10"/>
  <c r="S12" i="11"/>
  <c r="U180" i="14"/>
  <c r="AF40" i="9"/>
  <c r="Q18" i="7"/>
  <c r="R12" i="5"/>
  <c r="P20" i="7"/>
  <c r="P25" i="7"/>
  <c r="R12" i="7"/>
  <c r="S22" i="14"/>
  <c r="V20" i="7"/>
  <c r="R31" i="10"/>
  <c r="R38" i="10"/>
  <c r="T14" i="14"/>
  <c r="S31" i="10"/>
  <c r="X13" i="14"/>
  <c r="V187" i="14" s="1"/>
  <c r="AD10" i="11"/>
  <c r="X14" i="3"/>
  <c r="AB20" i="7"/>
  <c r="Z53" i="1" l="1"/>
  <c r="U34" i="9"/>
  <c r="S37" i="10"/>
  <c r="T35" i="9"/>
  <c r="U13" i="3" s="1"/>
  <c r="Z49" i="1"/>
  <c r="U28" i="9"/>
  <c r="AA47" i="1"/>
  <c r="V14" i="9"/>
  <c r="Z58" i="1"/>
  <c r="U32" i="9"/>
  <c r="Z51" i="1"/>
  <c r="U21" i="9"/>
  <c r="S36" i="10"/>
  <c r="AA57" i="1"/>
  <c r="V30" i="9"/>
  <c r="T13" i="10"/>
  <c r="T21" i="10"/>
  <c r="Y40" i="1"/>
  <c r="U13" i="11" s="1"/>
  <c r="T20" i="10"/>
  <c r="T11" i="11"/>
  <c r="T12" i="10"/>
  <c r="T22" i="10"/>
  <c r="T14" i="10"/>
  <c r="T12" i="11"/>
  <c r="S14" i="11"/>
  <c r="T16" i="3" s="1"/>
  <c r="V180" i="14"/>
  <c r="AG40" i="9"/>
  <c r="R18" i="7"/>
  <c r="S12" i="5"/>
  <c r="S12" i="7"/>
  <c r="T22" i="14"/>
  <c r="Q20" i="7"/>
  <c r="Q25" i="7"/>
  <c r="U14" i="14"/>
  <c r="Y13" i="14"/>
  <c r="W187" i="14" s="1"/>
  <c r="AE10" i="11"/>
  <c r="Y14" i="3"/>
  <c r="AC20" i="7"/>
  <c r="U35" i="9" l="1"/>
  <c r="V13" i="3" s="1"/>
  <c r="AA53" i="1"/>
  <c r="V34" i="9"/>
  <c r="AA51" i="1"/>
  <c r="V21" i="9"/>
  <c r="AA58" i="1"/>
  <c r="V32" i="9"/>
  <c r="AB47" i="1"/>
  <c r="W14" i="9"/>
  <c r="AA49" i="1"/>
  <c r="V28" i="9"/>
  <c r="AB57" i="1"/>
  <c r="W30" i="9"/>
  <c r="U13" i="10"/>
  <c r="U21" i="10"/>
  <c r="T36" i="10"/>
  <c r="T37" i="10"/>
  <c r="T14" i="11"/>
  <c r="U16" i="3" s="1"/>
  <c r="Z40" i="1"/>
  <c r="V13" i="11" s="1"/>
  <c r="U20" i="10"/>
  <c r="U11" i="11"/>
  <c r="U12" i="10"/>
  <c r="U22" i="10"/>
  <c r="U14" i="10"/>
  <c r="U12" i="11"/>
  <c r="W180" i="14"/>
  <c r="S18" i="7"/>
  <c r="T12" i="5"/>
  <c r="T31" i="10"/>
  <c r="T12" i="7"/>
  <c r="U22" i="14"/>
  <c r="R20" i="7"/>
  <c r="R25" i="7"/>
  <c r="S38" i="10"/>
  <c r="X20" i="7"/>
  <c r="W11" i="14"/>
  <c r="V16" i="5"/>
  <c r="W15" i="3" s="1"/>
  <c r="Z13" i="14"/>
  <c r="X187" i="14" s="1"/>
  <c r="Z14" i="3"/>
  <c r="AF10" i="11"/>
  <c r="AD20" i="7"/>
  <c r="AB53" i="1" l="1"/>
  <c r="W34" i="9"/>
  <c r="V35" i="9"/>
  <c r="W13" i="3" s="1"/>
  <c r="U37" i="10"/>
  <c r="AB49" i="1"/>
  <c r="W28" i="9"/>
  <c r="AB58" i="1"/>
  <c r="W32" i="9"/>
  <c r="AC47" i="1"/>
  <c r="X14" i="9"/>
  <c r="AB51" i="1"/>
  <c r="W21" i="9"/>
  <c r="AC57" i="1"/>
  <c r="X30" i="9"/>
  <c r="V21" i="10"/>
  <c r="V13" i="10"/>
  <c r="U36" i="10"/>
  <c r="U14" i="11"/>
  <c r="V16" i="3" s="1"/>
  <c r="AA40" i="1"/>
  <c r="W13" i="11" s="1"/>
  <c r="V20" i="10"/>
  <c r="V11" i="11"/>
  <c r="V12" i="10"/>
  <c r="V22" i="10"/>
  <c r="V14" i="10"/>
  <c r="V11" i="10"/>
  <c r="V12" i="11"/>
  <c r="V19" i="10"/>
  <c r="X180" i="14"/>
  <c r="V11" i="7"/>
  <c r="T18" i="7"/>
  <c r="U12" i="5"/>
  <c r="U31" i="10"/>
  <c r="S20" i="7"/>
  <c r="S25" i="7"/>
  <c r="T38" i="10"/>
  <c r="W14" i="14"/>
  <c r="V31" i="10"/>
  <c r="U25" i="7"/>
  <c r="U24" i="7"/>
  <c r="U13" i="7"/>
  <c r="X11" i="14"/>
  <c r="AA13" i="14"/>
  <c r="Y187" i="14" s="1"/>
  <c r="AE20" i="7"/>
  <c r="AG10" i="11"/>
  <c r="AA14" i="3"/>
  <c r="W35" i="9" l="1"/>
  <c r="X13" i="3" s="1"/>
  <c r="AC53" i="1"/>
  <c r="X34" i="9"/>
  <c r="AC51" i="1"/>
  <c r="X21" i="9"/>
  <c r="AC58" i="1"/>
  <c r="X32" i="9"/>
  <c r="AD47" i="1"/>
  <c r="Y14" i="9"/>
  <c r="AC49" i="1"/>
  <c r="X28" i="9"/>
  <c r="AD57" i="1"/>
  <c r="Y30" i="9"/>
  <c r="W21" i="10"/>
  <c r="W13" i="10"/>
  <c r="W19" i="10"/>
  <c r="W11" i="10"/>
  <c r="V35" i="10"/>
  <c r="V23" i="10"/>
  <c r="V36" i="10"/>
  <c r="V37" i="10"/>
  <c r="V15" i="10"/>
  <c r="V14" i="11"/>
  <c r="W16" i="3" s="1"/>
  <c r="AB40" i="1"/>
  <c r="W20" i="10"/>
  <c r="W11" i="11"/>
  <c r="W12" i="10"/>
  <c r="W14" i="10"/>
  <c r="W22" i="10"/>
  <c r="W12" i="11"/>
  <c r="Y180" i="14"/>
  <c r="W11" i="7"/>
  <c r="V12" i="7"/>
  <c r="V13" i="7" s="1"/>
  <c r="W12" i="5"/>
  <c r="W16" i="5" s="1"/>
  <c r="X15" i="3" s="1"/>
  <c r="T20" i="7"/>
  <c r="T25" i="7"/>
  <c r="U38" i="10"/>
  <c r="U27" i="7"/>
  <c r="W13" i="8" s="1"/>
  <c r="V24" i="7"/>
  <c r="V38" i="10"/>
  <c r="Y11" i="14"/>
  <c r="X14" i="14"/>
  <c r="W31" i="10"/>
  <c r="AB13" i="14"/>
  <c r="Z187" i="14" s="1"/>
  <c r="B18" i="7"/>
  <c r="AF20" i="7"/>
  <c r="AB14" i="3"/>
  <c r="X11" i="10" l="1"/>
  <c r="X13" i="11"/>
  <c r="W35" i="10"/>
  <c r="AD53" i="1"/>
  <c r="Y34" i="9"/>
  <c r="X35" i="9"/>
  <c r="Y13" i="3" s="1"/>
  <c r="V25" i="8"/>
  <c r="V35" i="8"/>
  <c r="AD49" i="1"/>
  <c r="Y28" i="9"/>
  <c r="AD58" i="1"/>
  <c r="Y32" i="9"/>
  <c r="AE47" i="1"/>
  <c r="Z14" i="9"/>
  <c r="W36" i="10"/>
  <c r="W37" i="10"/>
  <c r="AD51" i="1"/>
  <c r="Y21" i="9"/>
  <c r="AE57" i="1"/>
  <c r="Z30" i="9"/>
  <c r="X21" i="10"/>
  <c r="X13" i="10"/>
  <c r="X19" i="10"/>
  <c r="W15" i="10"/>
  <c r="V39" i="10"/>
  <c r="W17" i="3" s="1"/>
  <c r="W18" i="3" s="1"/>
  <c r="W23" i="10"/>
  <c r="W14" i="11"/>
  <c r="X16" i="3" s="1"/>
  <c r="AC40" i="1"/>
  <c r="Y13" i="11" s="1"/>
  <c r="X20" i="10"/>
  <c r="X11" i="11"/>
  <c r="X12" i="10"/>
  <c r="X22" i="10"/>
  <c r="X14" i="10"/>
  <c r="X12" i="11"/>
  <c r="Z180" i="14"/>
  <c r="V25" i="7"/>
  <c r="V27" i="7" s="1"/>
  <c r="X13" i="8" s="1"/>
  <c r="B20" i="7"/>
  <c r="W12" i="7"/>
  <c r="W13" i="7" s="1"/>
  <c r="X12" i="5"/>
  <c r="X16" i="5" s="1"/>
  <c r="Y15" i="3" s="1"/>
  <c r="X11" i="7"/>
  <c r="W38" i="10"/>
  <c r="W24" i="7"/>
  <c r="Y14" i="14"/>
  <c r="X31" i="10"/>
  <c r="Z11" i="14"/>
  <c r="AC13" i="14"/>
  <c r="AA187" i="14" s="1"/>
  <c r="AC14" i="3"/>
  <c r="X35" i="10" l="1"/>
  <c r="X37" i="10"/>
  <c r="AE53" i="1"/>
  <c r="Z34" i="9"/>
  <c r="W39" i="10"/>
  <c r="X17" i="3" s="1"/>
  <c r="X18" i="3" s="1"/>
  <c r="Y35" i="9"/>
  <c r="Z13" i="3" s="1"/>
  <c r="W35" i="8"/>
  <c r="W25" i="8"/>
  <c r="AE51" i="1"/>
  <c r="Z21" i="9"/>
  <c r="AF47" i="1"/>
  <c r="AA14" i="9"/>
  <c r="AE58" i="1"/>
  <c r="Z32" i="9"/>
  <c r="AE49" i="1"/>
  <c r="Z28" i="9"/>
  <c r="X36" i="10"/>
  <c r="AF57" i="1"/>
  <c r="AA30" i="9"/>
  <c r="Y21" i="10"/>
  <c r="Y13" i="10"/>
  <c r="X23" i="10"/>
  <c r="Y11" i="10"/>
  <c r="Y19" i="10"/>
  <c r="X15" i="10"/>
  <c r="X14" i="11"/>
  <c r="Y16" i="3" s="1"/>
  <c r="AD40" i="1"/>
  <c r="Z13" i="11" s="1"/>
  <c r="Y11" i="11"/>
  <c r="Y20" i="10"/>
  <c r="Y12" i="10"/>
  <c r="Y22" i="10"/>
  <c r="Y14" i="10"/>
  <c r="Y12" i="11"/>
  <c r="W25" i="7"/>
  <c r="W27" i="7" s="1"/>
  <c r="Y13" i="8" s="1"/>
  <c r="AA180" i="14"/>
  <c r="Y11" i="7"/>
  <c r="X12" i="7"/>
  <c r="X13" i="7" s="1"/>
  <c r="Y12" i="5"/>
  <c r="Y16" i="5" s="1"/>
  <c r="Z15" i="3" s="1"/>
  <c r="Z14" i="14"/>
  <c r="Y31" i="10"/>
  <c r="X24" i="7"/>
  <c r="AA11" i="14"/>
  <c r="X38" i="10"/>
  <c r="AD13" i="14"/>
  <c r="AB187" i="14" s="1"/>
  <c r="AD14" i="3"/>
  <c r="Y36" i="10" l="1"/>
  <c r="AF53" i="1"/>
  <c r="AA34" i="9"/>
  <c r="Z35" i="9"/>
  <c r="AA13" i="3" s="1"/>
  <c r="X25" i="8"/>
  <c r="X35" i="8"/>
  <c r="AF49" i="1"/>
  <c r="AA28" i="9"/>
  <c r="AG47" i="1"/>
  <c r="AB14" i="9"/>
  <c r="AF58" i="1"/>
  <c r="AA32" i="9"/>
  <c r="AF51" i="1"/>
  <c r="AA21" i="9"/>
  <c r="X39" i="10"/>
  <c r="Y17" i="3" s="1"/>
  <c r="Y18" i="3" s="1"/>
  <c r="Y35" i="10"/>
  <c r="AG57" i="1"/>
  <c r="AB30" i="9"/>
  <c r="Z21" i="10"/>
  <c r="Z13" i="10"/>
  <c r="Y37" i="10"/>
  <c r="Y23" i="10"/>
  <c r="Y14" i="11"/>
  <c r="Z16" i="3" s="1"/>
  <c r="AE40" i="1"/>
  <c r="Z11" i="11"/>
  <c r="Z20" i="10"/>
  <c r="Z12" i="10"/>
  <c r="Z22" i="10"/>
  <c r="Z14" i="10"/>
  <c r="Z12" i="11"/>
  <c r="Y15" i="10"/>
  <c r="Z11" i="10"/>
  <c r="Z19" i="10"/>
  <c r="AB180" i="14"/>
  <c r="X25" i="7"/>
  <c r="X27" i="7" s="1"/>
  <c r="Z13" i="8" s="1"/>
  <c r="Z11" i="7"/>
  <c r="Y12" i="7"/>
  <c r="Y13" i="7" s="1"/>
  <c r="Z12" i="5"/>
  <c r="Z16" i="5" s="1"/>
  <c r="AA15" i="3" s="1"/>
  <c r="Y38" i="10"/>
  <c r="Y24" i="7"/>
  <c r="AB11" i="14"/>
  <c r="AA14" i="14"/>
  <c r="Z31" i="10"/>
  <c r="AE13" i="14"/>
  <c r="AC187" i="14" s="1"/>
  <c r="AE14" i="3"/>
  <c r="AA11" i="10" l="1"/>
  <c r="AA13" i="11"/>
  <c r="AA35" i="9"/>
  <c r="AB13" i="3" s="1"/>
  <c r="AG53" i="1"/>
  <c r="AB34" i="9"/>
  <c r="Y35" i="8"/>
  <c r="Y25" i="8"/>
  <c r="AH47" i="1"/>
  <c r="AC14" i="9"/>
  <c r="AG58" i="1"/>
  <c r="AB32" i="9"/>
  <c r="AG51" i="1"/>
  <c r="AB21" i="9"/>
  <c r="AG49" i="1"/>
  <c r="AB28" i="9"/>
  <c r="Z36" i="10"/>
  <c r="AH57" i="1"/>
  <c r="AC30" i="9"/>
  <c r="AA21" i="10"/>
  <c r="AA13" i="10"/>
  <c r="AA19" i="10"/>
  <c r="Z35" i="10"/>
  <c r="Z15" i="10"/>
  <c r="Y39" i="10"/>
  <c r="Z17" i="3" s="1"/>
  <c r="Z18" i="3" s="1"/>
  <c r="Z37" i="10"/>
  <c r="Z23" i="10"/>
  <c r="Z14" i="11"/>
  <c r="AA16" i="3" s="1"/>
  <c r="AF40" i="1"/>
  <c r="AB13" i="11" s="1"/>
  <c r="AA11" i="11"/>
  <c r="AA20" i="10"/>
  <c r="AA12" i="10"/>
  <c r="AA22" i="10"/>
  <c r="AA14" i="10"/>
  <c r="AA12" i="11"/>
  <c r="AC180" i="14"/>
  <c r="Y25" i="7"/>
  <c r="Y27" i="7" s="1"/>
  <c r="AA13" i="8" s="1"/>
  <c r="AA11" i="7"/>
  <c r="Z12" i="7"/>
  <c r="Z13" i="7" s="1"/>
  <c r="AA12" i="5"/>
  <c r="AA16" i="5" s="1"/>
  <c r="AB15" i="3" s="1"/>
  <c r="Z38" i="10"/>
  <c r="AB14" i="14"/>
  <c r="AA31" i="10"/>
  <c r="Z24" i="7"/>
  <c r="AC11" i="14"/>
  <c r="AF13" i="14"/>
  <c r="AD187" i="14" s="1"/>
  <c r="AF14" i="3"/>
  <c r="AA35" i="10" l="1"/>
  <c r="AA37" i="10"/>
  <c r="AH53" i="1"/>
  <c r="AC34" i="9"/>
  <c r="AB35" i="9"/>
  <c r="AC13" i="3" s="1"/>
  <c r="Z25" i="8"/>
  <c r="Z35" i="8"/>
  <c r="AH49" i="1"/>
  <c r="AC28" i="9"/>
  <c r="AH58" i="1"/>
  <c r="AC32" i="9"/>
  <c r="AH51" i="1"/>
  <c r="AC21" i="9"/>
  <c r="AI47" i="1"/>
  <c r="AD14" i="9"/>
  <c r="AI57" i="1"/>
  <c r="AD30" i="9"/>
  <c r="AB13" i="10"/>
  <c r="AB21" i="10"/>
  <c r="AB11" i="10"/>
  <c r="Z39" i="10"/>
  <c r="AA17" i="3" s="1"/>
  <c r="AA18" i="3" s="1"/>
  <c r="AA20" i="3" s="1"/>
  <c r="AA36" i="10"/>
  <c r="AA23" i="10"/>
  <c r="AA14" i="11"/>
  <c r="AB16" i="3" s="1"/>
  <c r="AG40" i="1"/>
  <c r="AB11" i="11"/>
  <c r="AB20" i="10"/>
  <c r="AB12" i="10"/>
  <c r="AB14" i="10"/>
  <c r="AB22" i="10"/>
  <c r="AB12" i="11"/>
  <c r="AA15" i="10"/>
  <c r="AB19" i="10"/>
  <c r="AD180" i="14"/>
  <c r="Z25" i="7"/>
  <c r="Z27" i="7" s="1"/>
  <c r="AB13" i="8" s="1"/>
  <c r="AB11" i="7"/>
  <c r="AA12" i="7"/>
  <c r="AA25" i="7" s="1"/>
  <c r="AB12" i="5"/>
  <c r="AB16" i="5" s="1"/>
  <c r="AC15" i="3" s="1"/>
  <c r="AA38" i="10"/>
  <c r="AA24" i="7"/>
  <c r="AD11" i="14"/>
  <c r="AC14" i="14"/>
  <c r="AB31" i="10"/>
  <c r="AG13" i="14"/>
  <c r="AE187" i="14" s="1"/>
  <c r="AG14" i="3"/>
  <c r="AC19" i="10" l="1"/>
  <c r="AC13" i="11"/>
  <c r="AB35" i="10"/>
  <c r="AC35" i="9"/>
  <c r="AD13" i="3" s="1"/>
  <c r="AI53" i="1"/>
  <c r="AD34" i="9"/>
  <c r="AA35" i="8"/>
  <c r="AA25" i="8"/>
  <c r="AJ47" i="1"/>
  <c r="AE14" i="9"/>
  <c r="AI58" i="1"/>
  <c r="AD32" i="9"/>
  <c r="AC11" i="10"/>
  <c r="AI51" i="1"/>
  <c r="AD21" i="9"/>
  <c r="AI49" i="1"/>
  <c r="AD28" i="9"/>
  <c r="AB37" i="10"/>
  <c r="AJ57" i="1"/>
  <c r="AE30" i="9"/>
  <c r="AB23" i="10"/>
  <c r="AC21" i="10"/>
  <c r="AC13" i="10"/>
  <c r="AA39" i="10"/>
  <c r="AB17" i="3" s="1"/>
  <c r="AB18" i="3" s="1"/>
  <c r="AB36" i="10"/>
  <c r="AB15" i="10"/>
  <c r="AB14" i="11"/>
  <c r="AC16" i="3" s="1"/>
  <c r="AH40" i="1"/>
  <c r="AD13" i="11" s="1"/>
  <c r="AC11" i="11"/>
  <c r="AC20" i="10"/>
  <c r="AC12" i="10"/>
  <c r="AC22" i="10"/>
  <c r="AC14" i="10"/>
  <c r="AC12" i="11"/>
  <c r="AA13" i="7"/>
  <c r="AE180" i="14"/>
  <c r="AB12" i="7"/>
  <c r="AB25" i="7" s="1"/>
  <c r="AC12" i="5"/>
  <c r="AC16" i="5" s="1"/>
  <c r="AD15" i="3" s="1"/>
  <c r="AC11" i="7"/>
  <c r="AA27" i="7"/>
  <c r="AC13" i="8" s="1"/>
  <c r="AD14" i="14"/>
  <c r="AC31" i="10"/>
  <c r="AE11" i="14"/>
  <c r="AB24" i="7"/>
  <c r="AB38" i="10"/>
  <c r="AH14" i="3"/>
  <c r="AC35" i="10" l="1"/>
  <c r="AJ53" i="1"/>
  <c r="AE34" i="9"/>
  <c r="AD35" i="9"/>
  <c r="AE13" i="3" s="1"/>
  <c r="AB25" i="8"/>
  <c r="AB35" i="8"/>
  <c r="AJ49" i="1"/>
  <c r="AE28" i="9"/>
  <c r="AJ51" i="1"/>
  <c r="AE21" i="9"/>
  <c r="AJ58" i="1"/>
  <c r="AE32" i="9"/>
  <c r="AK47" i="1"/>
  <c r="AF14" i="9"/>
  <c r="AC37" i="10"/>
  <c r="AB39" i="10"/>
  <c r="AC17" i="3" s="1"/>
  <c r="AC18" i="3" s="1"/>
  <c r="AK57" i="1"/>
  <c r="AF30" i="9"/>
  <c r="AD21" i="10"/>
  <c r="AD13" i="10"/>
  <c r="AD11" i="10"/>
  <c r="AC36" i="10"/>
  <c r="AC23" i="10"/>
  <c r="AC14" i="11"/>
  <c r="AD16" i="3" s="1"/>
  <c r="AI40" i="1"/>
  <c r="AD20" i="10"/>
  <c r="AD11" i="11"/>
  <c r="AD12" i="10"/>
  <c r="AD14" i="10"/>
  <c r="AD22" i="10"/>
  <c r="AD12" i="11"/>
  <c r="AC15" i="10"/>
  <c r="AD19" i="10"/>
  <c r="AB13" i="7"/>
  <c r="AC12" i="7"/>
  <c r="AC13" i="7" s="1"/>
  <c r="AD12" i="5"/>
  <c r="AD16" i="5" s="1"/>
  <c r="AE15" i="3" s="1"/>
  <c r="AD11" i="7"/>
  <c r="AC38" i="10"/>
  <c r="AC24" i="7"/>
  <c r="AF11" i="14"/>
  <c r="AB27" i="7"/>
  <c r="AD13" i="8" s="1"/>
  <c r="AE14" i="14"/>
  <c r="AD31" i="10"/>
  <c r="AE11" i="10" l="1"/>
  <c r="AE13" i="11"/>
  <c r="AK53" i="1"/>
  <c r="AF34" i="9"/>
  <c r="AE35" i="9"/>
  <c r="AF13" i="3" s="1"/>
  <c r="AC25" i="8"/>
  <c r="AC35" i="8"/>
  <c r="AL47" i="1"/>
  <c r="AG14" i="9"/>
  <c r="AK51" i="1"/>
  <c r="AF21" i="9"/>
  <c r="AK58" i="1"/>
  <c r="AF32" i="9"/>
  <c r="AK49" i="1"/>
  <c r="AF28" i="9"/>
  <c r="AD35" i="10"/>
  <c r="AD36" i="10"/>
  <c r="AL57" i="1"/>
  <c r="AG30" i="9"/>
  <c r="AE19" i="10"/>
  <c r="AE13" i="10"/>
  <c r="AE21" i="10"/>
  <c r="AC39" i="10"/>
  <c r="AD17" i="3" s="1"/>
  <c r="AD18" i="3" s="1"/>
  <c r="AD23" i="10"/>
  <c r="AD37" i="10"/>
  <c r="AD15" i="10"/>
  <c r="AJ40" i="1"/>
  <c r="AF13" i="11" s="1"/>
  <c r="AE11" i="11"/>
  <c r="AE20" i="10"/>
  <c r="AE12" i="10"/>
  <c r="AE22" i="10"/>
  <c r="AE14" i="10"/>
  <c r="AE12" i="11"/>
  <c r="AD14" i="11"/>
  <c r="AE16" i="3" s="1"/>
  <c r="AC25" i="7"/>
  <c r="AC27" i="7" s="1"/>
  <c r="AE13" i="8" s="1"/>
  <c r="AD12" i="7"/>
  <c r="AD13" i="7" s="1"/>
  <c r="AE12" i="5"/>
  <c r="AE16" i="5" s="1"/>
  <c r="AF15" i="3" s="1"/>
  <c r="AE11" i="7"/>
  <c r="AF14" i="14"/>
  <c r="AE31" i="10"/>
  <c r="AG11" i="14"/>
  <c r="AD24" i="7"/>
  <c r="AD38" i="10"/>
  <c r="AE35" i="10" l="1"/>
  <c r="AL53" i="1"/>
  <c r="AG34" i="9"/>
  <c r="AF35" i="9"/>
  <c r="AG13" i="3" s="1"/>
  <c r="AD25" i="8"/>
  <c r="AD35" i="8"/>
  <c r="AL58" i="1"/>
  <c r="AG32" i="9"/>
  <c r="AL51" i="1"/>
  <c r="AG21" i="9"/>
  <c r="B14" i="9"/>
  <c r="C14" i="9"/>
  <c r="AL49" i="1"/>
  <c r="AG28" i="9"/>
  <c r="B30" i="9"/>
  <c r="C30" i="9"/>
  <c r="AE37" i="10"/>
  <c r="AF13" i="10"/>
  <c r="AF21" i="10"/>
  <c r="AF11" i="10"/>
  <c r="AD39" i="10"/>
  <c r="AE17" i="3" s="1"/>
  <c r="AE18" i="3" s="1"/>
  <c r="AE15" i="10"/>
  <c r="AE36" i="10"/>
  <c r="AE23" i="10"/>
  <c r="AE14" i="11"/>
  <c r="AF16" i="3" s="1"/>
  <c r="AK40" i="1"/>
  <c r="AG13" i="11" s="1"/>
  <c r="AF20" i="10"/>
  <c r="AF11" i="11"/>
  <c r="AF12" i="10"/>
  <c r="AF22" i="10"/>
  <c r="AF14" i="10"/>
  <c r="AF12" i="11"/>
  <c r="AF19" i="10"/>
  <c r="AE12" i="7"/>
  <c r="AE13" i="7" s="1"/>
  <c r="AF12" i="5"/>
  <c r="AF16" i="5" s="1"/>
  <c r="AG15" i="3" s="1"/>
  <c r="AF11" i="7"/>
  <c r="AD25" i="7"/>
  <c r="AD27" i="7" s="1"/>
  <c r="AF13" i="8" s="1"/>
  <c r="AE24" i="7"/>
  <c r="AE38" i="10"/>
  <c r="AG14" i="14"/>
  <c r="AF31" i="10"/>
  <c r="AF35" i="10" l="1"/>
  <c r="B34" i="9"/>
  <c r="C34" i="9"/>
  <c r="AG35" i="9"/>
  <c r="AH13" i="3" s="1"/>
  <c r="AE25" i="8"/>
  <c r="AE35" i="8"/>
  <c r="AF37" i="10"/>
  <c r="C32" i="9"/>
  <c r="B32" i="9"/>
  <c r="B28" i="9"/>
  <c r="C28" i="9"/>
  <c r="AF36" i="10"/>
  <c r="AG13" i="10"/>
  <c r="C13" i="11"/>
  <c r="AG21" i="10"/>
  <c r="AG11" i="10"/>
  <c r="AE39" i="10"/>
  <c r="AF17" i="3" s="1"/>
  <c r="AF18" i="3" s="1"/>
  <c r="AF23" i="10"/>
  <c r="AF15" i="10"/>
  <c r="AL40" i="1"/>
  <c r="AG20" i="10"/>
  <c r="AG11" i="11"/>
  <c r="AG12" i="10"/>
  <c r="AG22" i="10"/>
  <c r="AG14" i="10"/>
  <c r="AG12" i="11"/>
  <c r="AF14" i="11"/>
  <c r="AG16" i="3" s="1"/>
  <c r="AG19" i="10"/>
  <c r="AE25" i="7"/>
  <c r="AF12" i="7"/>
  <c r="AF13" i="7" s="1"/>
  <c r="AG12" i="5"/>
  <c r="AF38" i="10"/>
  <c r="AE27" i="7"/>
  <c r="AG13" i="8" s="1"/>
  <c r="AG31" i="10"/>
  <c r="AF24" i="7"/>
  <c r="AG37" i="10" l="1"/>
  <c r="AF25" i="8"/>
  <c r="AF35" i="8"/>
  <c r="AF39" i="10"/>
  <c r="AG17" i="3" s="1"/>
  <c r="AG18" i="3" s="1"/>
  <c r="AG35" i="10"/>
  <c r="AG23" i="10"/>
  <c r="AG36" i="10"/>
  <c r="AG15" i="10"/>
  <c r="AG16" i="5"/>
  <c r="AH15" i="3" s="1"/>
  <c r="C11" i="11"/>
  <c r="AG14" i="11"/>
  <c r="AH16" i="3" s="1"/>
  <c r="C12" i="11"/>
  <c r="AF25" i="7"/>
  <c r="B25" i="7" s="1"/>
  <c r="B12" i="7"/>
  <c r="AG38" i="10"/>
  <c r="AG39" i="10" l="1"/>
  <c r="AH17" i="3" s="1"/>
  <c r="AH18" i="3" s="1"/>
  <c r="AF27" i="7"/>
  <c r="AH13" i="8" l="1"/>
  <c r="B12" i="11"/>
  <c r="AG25" i="8" l="1"/>
  <c r="AG35" i="8"/>
  <c r="AH15" i="8"/>
  <c r="B13" i="11"/>
  <c r="B11" i="11"/>
  <c r="C12" i="10"/>
  <c r="C15" i="5"/>
  <c r="C21" i="10" l="1"/>
  <c r="C13" i="10"/>
  <c r="C29" i="10"/>
  <c r="C14" i="11"/>
  <c r="C20" i="10"/>
  <c r="C28" i="10"/>
  <c r="C14" i="5"/>
  <c r="B29" i="10"/>
  <c r="B15" i="5"/>
  <c r="B21" i="10"/>
  <c r="B13" i="10"/>
  <c r="B14" i="5"/>
  <c r="B20" i="10"/>
  <c r="B28" i="10"/>
  <c r="B12" i="10"/>
  <c r="C36" i="10" l="1"/>
  <c r="C37" i="10"/>
  <c r="C16" i="3"/>
  <c r="B16" i="3"/>
  <c r="B14" i="11"/>
  <c r="B37" i="10"/>
  <c r="B21" i="9"/>
  <c r="B36" i="10"/>
  <c r="C21" i="9" l="1"/>
  <c r="C35" i="9" l="1"/>
  <c r="B35" i="9"/>
  <c r="B12" i="5" l="1"/>
  <c r="C12" i="5"/>
  <c r="C14" i="10"/>
  <c r="C13" i="3"/>
  <c r="B13" i="3"/>
  <c r="B30" i="10" l="1"/>
  <c r="C31" i="10"/>
  <c r="B31" i="10"/>
  <c r="C22" i="10"/>
  <c r="B22" i="10"/>
  <c r="B14" i="10"/>
  <c r="C30" i="10"/>
  <c r="C38" i="10" l="1"/>
  <c r="B38" i="10"/>
  <c r="V92" i="14" l="1"/>
  <c r="V165" i="14" s="1"/>
  <c r="W92" i="14" l="1"/>
  <c r="X92" i="14" l="1"/>
  <c r="W165" i="14"/>
  <c r="Y92" i="14"/>
  <c r="X165" i="14"/>
  <c r="F68" i="13"/>
  <c r="F69" i="13" s="1"/>
  <c r="H13" i="5" s="1"/>
  <c r="H16" i="5" l="1"/>
  <c r="I15" i="3" s="1"/>
  <c r="Z92" i="14"/>
  <c r="Y165" i="14"/>
  <c r="G68" i="13"/>
  <c r="G69" i="13" s="1"/>
  <c r="I13" i="5" s="1"/>
  <c r="I16" i="5" s="1"/>
  <c r="J15" i="3" s="1"/>
  <c r="H39" i="9"/>
  <c r="H40" i="9" s="1"/>
  <c r="AA92" i="14" l="1"/>
  <c r="Z165" i="14"/>
  <c r="I14" i="3"/>
  <c r="H68" i="13"/>
  <c r="H69" i="13" s="1"/>
  <c r="J13" i="5" s="1"/>
  <c r="J16" i="5" s="1"/>
  <c r="K15" i="3" s="1"/>
  <c r="I39" i="9"/>
  <c r="I40" i="9" s="1"/>
  <c r="J14" i="3" s="1"/>
  <c r="J18" i="3" s="1"/>
  <c r="AB92" i="14" l="1"/>
  <c r="AA165" i="14"/>
  <c r="I68" i="13"/>
  <c r="I69" i="13" s="1"/>
  <c r="K13" i="5" s="1"/>
  <c r="K16" i="5" s="1"/>
  <c r="L15" i="3" s="1"/>
  <c r="J39" i="9"/>
  <c r="J40" i="9" s="1"/>
  <c r="K14" i="3" s="1"/>
  <c r="K18" i="3" s="1"/>
  <c r="I18" i="3"/>
  <c r="AC92" i="14" l="1"/>
  <c r="AB165" i="14"/>
  <c r="J68" i="13"/>
  <c r="J69" i="13" s="1"/>
  <c r="L13" i="5" s="1"/>
  <c r="L16" i="5" s="1"/>
  <c r="M15" i="3" s="1"/>
  <c r="K39" i="9"/>
  <c r="K40" i="9" s="1"/>
  <c r="L14" i="3" s="1"/>
  <c r="AD92" i="14" l="1"/>
  <c r="AC165" i="14"/>
  <c r="L18" i="3"/>
  <c r="K68" i="13"/>
  <c r="K69" i="13" s="1"/>
  <c r="M13" i="5" s="1"/>
  <c r="L39" i="9"/>
  <c r="L40" i="9" s="1"/>
  <c r="M14" i="3" s="1"/>
  <c r="M18" i="3" s="1"/>
  <c r="AE92" i="14" l="1"/>
  <c r="AD165" i="14"/>
  <c r="L68" i="13"/>
  <c r="L69" i="13" s="1"/>
  <c r="N13" i="5" s="1"/>
  <c r="M39" i="9"/>
  <c r="M40" i="9" s="1"/>
  <c r="AF92" i="14" l="1"/>
  <c r="AE165" i="14"/>
  <c r="N14" i="3"/>
  <c r="M68" i="13"/>
  <c r="M69" i="13" s="1"/>
  <c r="O13" i="5" s="1"/>
  <c r="N39" i="9"/>
  <c r="N40" i="9" s="1"/>
  <c r="O14" i="3" s="1"/>
  <c r="AG92" i="14" l="1"/>
  <c r="C92" i="14" s="1"/>
  <c r="AF165" i="14"/>
  <c r="N68" i="13"/>
  <c r="N69" i="13" s="1"/>
  <c r="P13" i="5" s="1"/>
  <c r="O39" i="9"/>
  <c r="O40" i="9" s="1"/>
  <c r="P14" i="3" s="1"/>
  <c r="AG165" i="14" l="1"/>
  <c r="C165" i="14" s="1"/>
  <c r="O68" i="13"/>
  <c r="O69" i="13" s="1"/>
  <c r="Q13" i="5" s="1"/>
  <c r="P39" i="9"/>
  <c r="P40" i="9" s="1"/>
  <c r="Q14" i="3" s="1"/>
  <c r="P68" i="13" l="1"/>
  <c r="P69" i="13" s="1"/>
  <c r="R13" i="5" s="1"/>
  <c r="Q39" i="9"/>
  <c r="Q40" i="9" s="1"/>
  <c r="R14" i="3" s="1"/>
  <c r="Q68" i="13" l="1"/>
  <c r="Q69" i="13" s="1"/>
  <c r="S13" i="5" s="1"/>
  <c r="R39" i="9"/>
  <c r="R40" i="9" s="1"/>
  <c r="S14" i="3" s="1"/>
  <c r="R68" i="13" l="1"/>
  <c r="R69" i="13" s="1"/>
  <c r="T13" i="5" s="1"/>
  <c r="S39" i="9"/>
  <c r="S40" i="9" s="1"/>
  <c r="T14" i="3" s="1"/>
  <c r="S68" i="13" l="1"/>
  <c r="S69" i="13" s="1"/>
  <c r="U13" i="5" s="1"/>
  <c r="T39" i="9"/>
  <c r="T40" i="9" s="1"/>
  <c r="U14" i="3" s="1"/>
  <c r="B13" i="5" l="1"/>
  <c r="C13" i="5"/>
  <c r="U39" i="9"/>
  <c r="U40" i="9" s="1"/>
  <c r="V14" i="3" s="1"/>
  <c r="B40" i="9" l="1"/>
  <c r="C40" i="9"/>
  <c r="C14" i="3"/>
  <c r="B14" i="3"/>
  <c r="H21" i="6" l="1"/>
  <c r="H29" i="6" s="1"/>
  <c r="H37" i="6" s="1"/>
  <c r="H27" i="6"/>
  <c r="H35" i="6" s="1"/>
  <c r="H39" i="6" l="1"/>
  <c r="J11" i="3" s="1"/>
  <c r="H23" i="6"/>
  <c r="H31" i="6" s="1"/>
  <c r="J12" i="8" s="1"/>
  <c r="I38" i="8" l="1"/>
  <c r="I23" i="8"/>
  <c r="F21" i="6"/>
  <c r="F29" i="6" s="1"/>
  <c r="F37" i="6" s="1"/>
  <c r="G21" i="6"/>
  <c r="G29" i="6" s="1"/>
  <c r="G37" i="6" s="1"/>
  <c r="G27" i="6"/>
  <c r="L21" i="6"/>
  <c r="L29" i="6" s="1"/>
  <c r="L37" i="6" s="1"/>
  <c r="F27" i="6"/>
  <c r="I21" i="6"/>
  <c r="I29" i="6" s="1"/>
  <c r="I37" i="6" s="1"/>
  <c r="E21" i="6"/>
  <c r="E29" i="6" s="1"/>
  <c r="K21" i="6"/>
  <c r="K27" i="6"/>
  <c r="K35" i="6" s="1"/>
  <c r="E19" i="6"/>
  <c r="E27" i="6" s="1"/>
  <c r="E35" i="6" s="1"/>
  <c r="F35" i="6" l="1"/>
  <c r="F39" i="6" s="1"/>
  <c r="H11" i="3" s="1"/>
  <c r="G35" i="6"/>
  <c r="G39" i="6" s="1"/>
  <c r="I11" i="3" s="1"/>
  <c r="J27" i="6"/>
  <c r="J35" i="6" s="1"/>
  <c r="K29" i="6"/>
  <c r="K37" i="6" s="1"/>
  <c r="K39" i="6" s="1"/>
  <c r="M11" i="3" s="1"/>
  <c r="K23" i="6"/>
  <c r="K31" i="6" s="1"/>
  <c r="M12" i="8" s="1"/>
  <c r="E37" i="6"/>
  <c r="F23" i="6"/>
  <c r="F31" i="6" s="1"/>
  <c r="H12" i="8" s="1"/>
  <c r="E23" i="6"/>
  <c r="J21" i="6"/>
  <c r="J29" i="6" s="1"/>
  <c r="J37" i="6" s="1"/>
  <c r="G23" i="6"/>
  <c r="G31" i="6" s="1"/>
  <c r="I12" i="8" s="1"/>
  <c r="H38" i="8" l="1"/>
  <c r="H23" i="8"/>
  <c r="G23" i="8"/>
  <c r="G38" i="8"/>
  <c r="L23" i="8"/>
  <c r="L38" i="8"/>
  <c r="B21" i="6"/>
  <c r="B29" i="6"/>
  <c r="B37" i="6"/>
  <c r="L27" i="6"/>
  <c r="L23" i="6"/>
  <c r="L31" i="6" s="1"/>
  <c r="N12" i="8" s="1"/>
  <c r="J23" i="6"/>
  <c r="J31" i="6" s="1"/>
  <c r="L12" i="8" s="1"/>
  <c r="I23" i="6"/>
  <c r="I31" i="6" s="1"/>
  <c r="K12" i="8" s="1"/>
  <c r="I27" i="6"/>
  <c r="I35" i="6" s="1"/>
  <c r="J39" i="6"/>
  <c r="L11" i="3" s="1"/>
  <c r="E31" i="6"/>
  <c r="B19" i="6"/>
  <c r="E39" i="6"/>
  <c r="M38" i="8" l="1"/>
  <c r="M23" i="8"/>
  <c r="G12" i="8"/>
  <c r="C11" i="15"/>
  <c r="J23" i="8"/>
  <c r="J38" i="8"/>
  <c r="K38" i="8"/>
  <c r="K23" i="8"/>
  <c r="L35" i="6"/>
  <c r="L39" i="6" s="1"/>
  <c r="N11" i="3" s="1"/>
  <c r="G11" i="3"/>
  <c r="B23" i="6"/>
  <c r="B31" i="6"/>
  <c r="B11" i="15" s="1"/>
  <c r="B27" i="6"/>
  <c r="F23" i="8" l="1"/>
  <c r="F38" i="8"/>
  <c r="B12" i="8"/>
  <c r="C12" i="8"/>
  <c r="I39" i="6"/>
  <c r="B35" i="6"/>
  <c r="B23" i="8" l="1"/>
  <c r="B38" i="8"/>
  <c r="K11" i="3"/>
  <c r="B39" i="6"/>
  <c r="C11" i="3" l="1"/>
  <c r="B11" i="3"/>
  <c r="M12" i="14" l="1"/>
  <c r="R12" i="14" l="1"/>
  <c r="U12" i="14"/>
  <c r="O12" i="14"/>
  <c r="S12" i="14"/>
  <c r="T12" i="14"/>
  <c r="Q12" i="14"/>
  <c r="P12" i="14"/>
  <c r="N12" i="14"/>
  <c r="M11" i="14"/>
  <c r="M19" i="10" l="1"/>
  <c r="M23" i="10" s="1"/>
  <c r="M16" i="5"/>
  <c r="N15" i="3" s="1"/>
  <c r="M11" i="10"/>
  <c r="L11" i="7"/>
  <c r="L13" i="7" l="1"/>
  <c r="L24" i="7"/>
  <c r="M15" i="10"/>
  <c r="M35" i="10"/>
  <c r="M39" i="10" l="1"/>
  <c r="N17" i="3" s="1"/>
  <c r="L27" i="7"/>
  <c r="N13" i="8" l="1"/>
  <c r="N18" i="3"/>
  <c r="M25" i="8" l="1"/>
  <c r="M35" i="8"/>
  <c r="O11" i="14"/>
  <c r="N11" i="7" s="1"/>
  <c r="N24" i="7" s="1"/>
  <c r="N27" i="7" s="1"/>
  <c r="P13" i="8" s="1"/>
  <c r="R11" i="14"/>
  <c r="S11" i="14"/>
  <c r="U11" i="14"/>
  <c r="T11" i="14"/>
  <c r="S11" i="7" s="1"/>
  <c r="S13" i="7" s="1"/>
  <c r="N11" i="14"/>
  <c r="M11" i="7"/>
  <c r="M13" i="7" s="1"/>
  <c r="Q11" i="14"/>
  <c r="P11" i="14"/>
  <c r="O35" i="8" l="1"/>
  <c r="O25" i="8"/>
  <c r="T11" i="7"/>
  <c r="T24" i="7" s="1"/>
  <c r="T27" i="7" s="1"/>
  <c r="V13" i="8" s="1"/>
  <c r="U19" i="10"/>
  <c r="U23" i="10" s="1"/>
  <c r="U11" i="10"/>
  <c r="U15" i="10" s="1"/>
  <c r="Q11" i="7"/>
  <c r="Q24" i="7" s="1"/>
  <c r="Q27" i="7" s="1"/>
  <c r="S13" i="8" s="1"/>
  <c r="S19" i="10"/>
  <c r="S23" i="10" s="1"/>
  <c r="S16" i="5"/>
  <c r="T15" i="3" s="1"/>
  <c r="S11" i="10"/>
  <c r="S15" i="10" s="1"/>
  <c r="O11" i="7"/>
  <c r="O13" i="7" s="1"/>
  <c r="Q19" i="10"/>
  <c r="Q23" i="10" s="1"/>
  <c r="Q11" i="10"/>
  <c r="Q15" i="10" s="1"/>
  <c r="Q16" i="5"/>
  <c r="R15" i="3" s="1"/>
  <c r="P11" i="7"/>
  <c r="U16" i="5"/>
  <c r="V15" i="3" s="1"/>
  <c r="N13" i="7"/>
  <c r="S24" i="7"/>
  <c r="S27" i="7" s="1"/>
  <c r="U13" i="8" s="1"/>
  <c r="M24" i="7"/>
  <c r="R11" i="7"/>
  <c r="U25" i="8" l="1"/>
  <c r="U35" i="8"/>
  <c r="T25" i="8"/>
  <c r="T35" i="8"/>
  <c r="R25" i="8"/>
  <c r="R35" i="8"/>
  <c r="T13" i="7"/>
  <c r="Q13" i="7"/>
  <c r="O24" i="7"/>
  <c r="O27" i="7" s="1"/>
  <c r="Q13" i="8" s="1"/>
  <c r="B11" i="7"/>
  <c r="N19" i="10"/>
  <c r="N16" i="5"/>
  <c r="O15" i="3" s="1"/>
  <c r="N11" i="10"/>
  <c r="N15" i="10" s="1"/>
  <c r="R19" i="10"/>
  <c r="R23" i="10" s="1"/>
  <c r="R16" i="5"/>
  <c r="S15" i="3" s="1"/>
  <c r="R11" i="10"/>
  <c r="R15" i="10" s="1"/>
  <c r="P19" i="10"/>
  <c r="P23" i="10" s="1"/>
  <c r="P11" i="10"/>
  <c r="P16" i="5"/>
  <c r="Q15" i="3" s="1"/>
  <c r="O19" i="10"/>
  <c r="O23" i="10" s="1"/>
  <c r="O16" i="5"/>
  <c r="P15" i="3" s="1"/>
  <c r="O11" i="10"/>
  <c r="O15" i="10" s="1"/>
  <c r="T19" i="10"/>
  <c r="T23" i="10" s="1"/>
  <c r="T16" i="5"/>
  <c r="U15" i="3" s="1"/>
  <c r="T11" i="10"/>
  <c r="Q35" i="10"/>
  <c r="Q39" i="10" s="1"/>
  <c r="S35" i="10"/>
  <c r="S39" i="10" s="1"/>
  <c r="P24" i="7"/>
  <c r="P27" i="7" s="1"/>
  <c r="R13" i="8" s="1"/>
  <c r="P13" i="7"/>
  <c r="R24" i="7"/>
  <c r="R27" i="7" s="1"/>
  <c r="T13" i="8" s="1"/>
  <c r="R13" i="7"/>
  <c r="M27" i="7"/>
  <c r="U35" i="10"/>
  <c r="U39" i="10" s="1"/>
  <c r="T35" i="10" l="1"/>
  <c r="T39" i="10" s="1"/>
  <c r="U17" i="3" s="1"/>
  <c r="U18" i="3" s="1"/>
  <c r="S25" i="8"/>
  <c r="S35" i="8"/>
  <c r="P25" i="8"/>
  <c r="P35" i="8"/>
  <c r="O13" i="8"/>
  <c r="C10" i="15"/>
  <c r="C12" i="15" s="1"/>
  <c r="Q25" i="8"/>
  <c r="Q35" i="8"/>
  <c r="P35" i="10"/>
  <c r="P39" i="10" s="1"/>
  <c r="Q17" i="3" s="1"/>
  <c r="Q18" i="3" s="1"/>
  <c r="N35" i="10"/>
  <c r="N39" i="10" s="1"/>
  <c r="O17" i="3" s="1"/>
  <c r="R35" i="10"/>
  <c r="R39" i="10" s="1"/>
  <c r="S17" i="3" s="1"/>
  <c r="S18" i="3" s="1"/>
  <c r="C11" i="5"/>
  <c r="T15" i="10"/>
  <c r="B11" i="5"/>
  <c r="O35" i="10"/>
  <c r="O39" i="10" s="1"/>
  <c r="P17" i="3" s="1"/>
  <c r="P18" i="3" s="1"/>
  <c r="B11" i="10"/>
  <c r="P15" i="10"/>
  <c r="B15" i="10" s="1"/>
  <c r="C11" i="10"/>
  <c r="C19" i="10"/>
  <c r="B19" i="10"/>
  <c r="N23" i="10"/>
  <c r="B13" i="7"/>
  <c r="R17" i="3"/>
  <c r="R18" i="3" s="1"/>
  <c r="V17" i="3"/>
  <c r="V18" i="3" s="1"/>
  <c r="T17" i="3"/>
  <c r="T18" i="3" s="1"/>
  <c r="C16" i="5"/>
  <c r="B16" i="5"/>
  <c r="B24" i="7"/>
  <c r="B27" i="7" s="1"/>
  <c r="B10" i="15" s="1"/>
  <c r="B12" i="15" s="1"/>
  <c r="C15" i="10" l="1"/>
  <c r="C35" i="10"/>
  <c r="N25" i="8"/>
  <c r="N35" i="8"/>
  <c r="B13" i="8"/>
  <c r="C13" i="8"/>
  <c r="B35" i="10"/>
  <c r="B23" i="10"/>
  <c r="C23" i="10"/>
  <c r="B39" i="10"/>
  <c r="C39" i="10"/>
  <c r="B15" i="3"/>
  <c r="O18" i="3"/>
  <c r="C15" i="3"/>
  <c r="B25" i="8" l="1"/>
  <c r="B35" i="8"/>
  <c r="C17" i="3"/>
  <c r="B17" i="3"/>
  <c r="B18" i="3"/>
  <c r="C18" i="3"/>
  <c r="Y29" i="2"/>
  <c r="B29" i="2"/>
  <c r="B31" i="2" s="1"/>
  <c r="B7" i="15" s="1"/>
  <c r="AG41" i="2"/>
  <c r="AG43" i="2" s="1"/>
  <c r="AH10" i="3" s="1"/>
  <c r="AH12" i="3" s="1"/>
  <c r="AH20" i="3" s="1"/>
  <c r="R41" i="2"/>
  <c r="R43" i="2" s="1"/>
  <c r="S10" i="3" s="1"/>
  <c r="S12" i="3" s="1"/>
  <c r="S20" i="3" s="1"/>
  <c r="R29" i="2"/>
  <c r="R31" i="2" s="1"/>
  <c r="M41" i="2"/>
  <c r="M43" i="2" s="1"/>
  <c r="N10" i="3" s="1"/>
  <c r="N12" i="3" s="1"/>
  <c r="N20" i="3" s="1"/>
  <c r="M29" i="2"/>
  <c r="M34" i="2" s="1"/>
  <c r="B41" i="2"/>
  <c r="B43" i="2" s="1"/>
  <c r="G41" i="2"/>
  <c r="G43" i="2" s="1"/>
  <c r="H10" i="3" s="1"/>
  <c r="H12" i="3" s="1"/>
  <c r="H20" i="3" s="1"/>
  <c r="G29" i="2"/>
  <c r="G34" i="2" s="1"/>
  <c r="AB29" i="2"/>
  <c r="Z41" i="2"/>
  <c r="Z43" i="2" s="1"/>
  <c r="Z29" i="2"/>
  <c r="Z34" i="2" s="1"/>
  <c r="I41" i="2"/>
  <c r="I43" i="2" s="1"/>
  <c r="J10" i="3" s="1"/>
  <c r="J12" i="3" s="1"/>
  <c r="J20" i="3" s="1"/>
  <c r="I29" i="2"/>
  <c r="I31" i="2" s="1"/>
  <c r="K29" i="2"/>
  <c r="K41" i="2"/>
  <c r="K43" i="2" s="1"/>
  <c r="L10" i="3" s="1"/>
  <c r="L12" i="3" s="1"/>
  <c r="L20" i="3" s="1"/>
  <c r="H29" i="2"/>
  <c r="H41" i="2"/>
  <c r="H43" i="2" s="1"/>
  <c r="I10" i="3" s="1"/>
  <c r="I12" i="3" s="1"/>
  <c r="I20" i="3" s="1"/>
  <c r="O41" i="2"/>
  <c r="O43" i="2" s="1"/>
  <c r="P10" i="3" s="1"/>
  <c r="P12" i="3" s="1"/>
  <c r="P20" i="3" s="1"/>
  <c r="P29" i="2"/>
  <c r="P31" i="2" s="1"/>
  <c r="P41" i="2"/>
  <c r="P43" i="2" s="1"/>
  <c r="Q10" i="3" s="1"/>
  <c r="Q12" i="3" s="1"/>
  <c r="Q20" i="3" s="1"/>
  <c r="AD29" i="2"/>
  <c r="U41" i="2"/>
  <c r="U43" i="2" s="1"/>
  <c r="V10" i="3" s="1"/>
  <c r="V12" i="3" s="1"/>
  <c r="V20" i="3" s="1"/>
  <c r="J41" i="2"/>
  <c r="J43" i="2" s="1"/>
  <c r="K10" i="3" s="1"/>
  <c r="K12" i="3" s="1"/>
  <c r="K20" i="3" s="1"/>
  <c r="J29" i="2"/>
  <c r="J31" i="2" s="1"/>
  <c r="X41" i="2"/>
  <c r="X43" i="2" s="1"/>
  <c r="Y10" i="3" s="1"/>
  <c r="Y12" i="3" s="1"/>
  <c r="Y20" i="3" s="1"/>
  <c r="T29" i="2"/>
  <c r="T41" i="2"/>
  <c r="T43" i="2" s="1"/>
  <c r="U10" i="3" s="1"/>
  <c r="U12" i="3" s="1"/>
  <c r="U20" i="3" s="1"/>
  <c r="AC29" i="2"/>
  <c r="AC41" i="2"/>
  <c r="AC43" i="2" s="1"/>
  <c r="AD10" i="3" s="1"/>
  <c r="AD12" i="3" s="1"/>
  <c r="AD20" i="3" s="1"/>
  <c r="AE29" i="2"/>
  <c r="AE41" i="2"/>
  <c r="AE43" i="2" s="1"/>
  <c r="AF10" i="3" s="1"/>
  <c r="AF12" i="3" s="1"/>
  <c r="AF20" i="3" s="1"/>
  <c r="AA29" i="2"/>
  <c r="AA41" i="2"/>
  <c r="AA43" i="2" s="1"/>
  <c r="AB10" i="3" s="1"/>
  <c r="AB12" i="3" s="1"/>
  <c r="AB20" i="3" s="1"/>
  <c r="N29" i="2"/>
  <c r="N41" i="2"/>
  <c r="N43" i="2" s="1"/>
  <c r="O10" i="3" s="1"/>
  <c r="O12" i="3" s="1"/>
  <c r="O20" i="3" s="1"/>
  <c r="Q29" i="2"/>
  <c r="Q41" i="2"/>
  <c r="Q43" i="2" s="1"/>
  <c r="R10" i="3" s="1"/>
  <c r="R12" i="3" s="1"/>
  <c r="R20" i="3" s="1"/>
  <c r="L29" i="2"/>
  <c r="L41" i="2"/>
  <c r="L43" i="2" s="1"/>
  <c r="M10" i="3" s="1"/>
  <c r="M12" i="3" s="1"/>
  <c r="M20" i="3" s="1"/>
  <c r="V41" i="2"/>
  <c r="V43" i="2" s="1"/>
  <c r="W10" i="3" s="1"/>
  <c r="W12" i="3" s="1"/>
  <c r="W20" i="3" s="1"/>
  <c r="W41" i="2"/>
  <c r="W43" i="2" s="1"/>
  <c r="X10" i="3" s="1"/>
  <c r="X12" i="3" s="1"/>
  <c r="X20" i="3" s="1"/>
  <c r="AF41" i="2"/>
  <c r="AF43" i="2" s="1"/>
  <c r="AG10" i="3" s="1"/>
  <c r="AG12" i="3" s="1"/>
  <c r="AG20" i="3" s="1"/>
  <c r="S29" i="2"/>
  <c r="S41" i="2"/>
  <c r="S43" i="2" s="1"/>
  <c r="T10" i="3" s="1"/>
  <c r="T12" i="3" s="1"/>
  <c r="T20" i="3" s="1"/>
  <c r="E29" i="2"/>
  <c r="E41" i="2"/>
  <c r="E43" i="2" s="1"/>
  <c r="F10" i="3" s="1"/>
  <c r="F12" i="3" s="1"/>
  <c r="F20" i="3" s="1"/>
  <c r="F29" i="2"/>
  <c r="F41" i="2"/>
  <c r="F43" i="2" s="1"/>
  <c r="G10" i="3" s="1"/>
  <c r="G12" i="3" s="1"/>
  <c r="G20" i="3" s="1"/>
  <c r="C29" i="2"/>
  <c r="D29" i="2"/>
  <c r="D41" i="2"/>
  <c r="D43" i="2" s="1"/>
  <c r="E10" i="3" s="1"/>
  <c r="E12" i="3" s="1"/>
  <c r="M23" i="15" l="1"/>
  <c r="M34" i="8" s="1"/>
  <c r="M36" i="8" s="1"/>
  <c r="N11" i="8"/>
  <c r="Z23" i="15"/>
  <c r="Z34" i="8" s="1"/>
  <c r="Z36" i="8" s="1"/>
  <c r="AA11" i="8"/>
  <c r="G23" i="15"/>
  <c r="G34" i="8" s="1"/>
  <c r="G36" i="8" s="1"/>
  <c r="H11" i="8"/>
  <c r="J34" i="2"/>
  <c r="Z31" i="2"/>
  <c r="E31" i="2"/>
  <c r="E34" i="2"/>
  <c r="H31" i="2"/>
  <c r="H34" i="2"/>
  <c r="N34" i="2"/>
  <c r="N31" i="2"/>
  <c r="S34" i="2"/>
  <c r="S31" i="2"/>
  <c r="Q31" i="2"/>
  <c r="Q34" i="2"/>
  <c r="R32" i="2"/>
  <c r="R33" i="2" s="1"/>
  <c r="E20" i="3"/>
  <c r="Y34" i="2"/>
  <c r="Y31" i="2"/>
  <c r="I32" i="2"/>
  <c r="I33" i="2" s="1"/>
  <c r="AA31" i="2"/>
  <c r="AA34" i="2"/>
  <c r="AD34" i="2"/>
  <c r="AD31" i="2"/>
  <c r="AC34" i="2"/>
  <c r="AC31" i="2"/>
  <c r="P32" i="2"/>
  <c r="P33" i="2" s="1"/>
  <c r="F31" i="2"/>
  <c r="F34" i="2"/>
  <c r="B32" i="2"/>
  <c r="B33" i="2" s="1"/>
  <c r="B34" i="2"/>
  <c r="B8" i="15" s="1"/>
  <c r="AB34" i="2"/>
  <c r="AB31" i="2"/>
  <c r="J32" i="2"/>
  <c r="J33" i="2" s="1"/>
  <c r="D34" i="2"/>
  <c r="D31" i="2"/>
  <c r="C34" i="2"/>
  <c r="C31" i="2"/>
  <c r="L31" i="2"/>
  <c r="L34" i="2"/>
  <c r="K31" i="2"/>
  <c r="K34" i="2"/>
  <c r="AE31" i="2"/>
  <c r="AE34" i="2"/>
  <c r="T34" i="2"/>
  <c r="T31" i="2"/>
  <c r="AF29" i="2"/>
  <c r="C41" i="2"/>
  <c r="C43" i="2" s="1"/>
  <c r="W29" i="2"/>
  <c r="M31" i="2"/>
  <c r="AD41" i="2"/>
  <c r="AD43" i="2" s="1"/>
  <c r="AE10" i="3" s="1"/>
  <c r="AE12" i="3" s="1"/>
  <c r="AE20" i="3" s="1"/>
  <c r="I34" i="2"/>
  <c r="G31" i="2"/>
  <c r="X29" i="2"/>
  <c r="O29" i="2"/>
  <c r="AB41" i="2"/>
  <c r="AB43" i="2" s="1"/>
  <c r="AC10" i="3" s="1"/>
  <c r="AC12" i="3" s="1"/>
  <c r="AC20" i="3" s="1"/>
  <c r="Y41" i="2"/>
  <c r="Y43" i="2" s="1"/>
  <c r="Z10" i="3" s="1"/>
  <c r="Z12" i="3" s="1"/>
  <c r="Z20" i="3" s="1"/>
  <c r="U29" i="2"/>
  <c r="R34" i="2"/>
  <c r="AG29" i="2"/>
  <c r="P34" i="2"/>
  <c r="V29" i="2"/>
  <c r="U11" i="8" l="1"/>
  <c r="T23" i="15"/>
  <c r="T34" i="8" s="1"/>
  <c r="T36" i="8" s="1"/>
  <c r="B17" i="15"/>
  <c r="B13" i="15"/>
  <c r="Y23" i="15"/>
  <c r="Y34" i="8" s="1"/>
  <c r="Y36" i="8" s="1"/>
  <c r="Z11" i="8"/>
  <c r="I11" i="8"/>
  <c r="H23" i="15"/>
  <c r="H34" i="8" s="1"/>
  <c r="H36" i="8" s="1"/>
  <c r="L11" i="8"/>
  <c r="K23" i="15"/>
  <c r="K34" i="8" s="1"/>
  <c r="K36" i="8" s="1"/>
  <c r="M11" i="8"/>
  <c r="L23" i="15"/>
  <c r="L34" i="8" s="1"/>
  <c r="L36" i="8" s="1"/>
  <c r="K11" i="8"/>
  <c r="J23" i="15"/>
  <c r="J34" i="8" s="1"/>
  <c r="J36" i="8" s="1"/>
  <c r="R11" i="8"/>
  <c r="Q23" i="15"/>
  <c r="Q34" i="8" s="1"/>
  <c r="Q36" i="8" s="1"/>
  <c r="G37" i="8"/>
  <c r="G40" i="8" s="1"/>
  <c r="G41" i="8" s="1"/>
  <c r="H15" i="8"/>
  <c r="AE23" i="15"/>
  <c r="AE34" i="8" s="1"/>
  <c r="AE36" i="8" s="1"/>
  <c r="AF11" i="8"/>
  <c r="E23" i="15"/>
  <c r="E34" i="8" s="1"/>
  <c r="E36" i="8" s="1"/>
  <c r="F11" i="8"/>
  <c r="F23" i="15"/>
  <c r="F34" i="8" s="1"/>
  <c r="F36" i="8" s="1"/>
  <c r="G11" i="8"/>
  <c r="J11" i="8"/>
  <c r="I23" i="15"/>
  <c r="I34" i="8" s="1"/>
  <c r="I36" i="8" s="1"/>
  <c r="D11" i="8"/>
  <c r="C23" i="15"/>
  <c r="AC23" i="15"/>
  <c r="AC34" i="8" s="1"/>
  <c r="AC36" i="8" s="1"/>
  <c r="AD11" i="8"/>
  <c r="Z37" i="8"/>
  <c r="Z40" i="8" s="1"/>
  <c r="Z41" i="8" s="1"/>
  <c r="AA15" i="8"/>
  <c r="S23" i="15"/>
  <c r="S34" i="8" s="1"/>
  <c r="S36" i="8" s="1"/>
  <c r="T11" i="8"/>
  <c r="P23" i="15"/>
  <c r="P34" i="8" s="1"/>
  <c r="P36" i="8" s="1"/>
  <c r="Q11" i="8"/>
  <c r="R23" i="15"/>
  <c r="R34" i="8" s="1"/>
  <c r="R36" i="8" s="1"/>
  <c r="S11" i="8"/>
  <c r="D23" i="15"/>
  <c r="D34" i="8" s="1"/>
  <c r="D36" i="8" s="1"/>
  <c r="E11" i="8"/>
  <c r="AD23" i="15"/>
  <c r="AD34" i="8" s="1"/>
  <c r="AD36" i="8" s="1"/>
  <c r="AE11" i="8"/>
  <c r="M37" i="8"/>
  <c r="M40" i="8" s="1"/>
  <c r="M41" i="8" s="1"/>
  <c r="N15" i="8"/>
  <c r="AB23" i="15"/>
  <c r="AB34" i="8" s="1"/>
  <c r="AB36" i="8" s="1"/>
  <c r="AC11" i="8"/>
  <c r="AA23" i="15"/>
  <c r="AA34" i="8" s="1"/>
  <c r="AA36" i="8" s="1"/>
  <c r="AB11" i="8"/>
  <c r="N23" i="15"/>
  <c r="N34" i="8" s="1"/>
  <c r="N36" i="8" s="1"/>
  <c r="O11" i="8"/>
  <c r="B10" i="3"/>
  <c r="C10" i="3"/>
  <c r="C21" i="3" s="1"/>
  <c r="C12" i="3"/>
  <c r="B25" i="3" s="1"/>
  <c r="Z32" i="2"/>
  <c r="Z33" i="2" s="1"/>
  <c r="D32" i="2"/>
  <c r="D33" i="2" s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AG21" i="3" s="1"/>
  <c r="AH21" i="3" s="1"/>
  <c r="B21" i="3" s="1"/>
  <c r="B23" i="3" s="1"/>
  <c r="B15" i="16" s="1"/>
  <c r="C20" i="3"/>
  <c r="B20" i="3"/>
  <c r="B24" i="3"/>
  <c r="T32" i="2"/>
  <c r="T33" i="2" s="1"/>
  <c r="AF34" i="2"/>
  <c r="AF31" i="2"/>
  <c r="AC32" i="2"/>
  <c r="AC33" i="2" s="1"/>
  <c r="E32" i="2"/>
  <c r="E33" i="2" s="1"/>
  <c r="AD32" i="2"/>
  <c r="AD33" i="2" s="1"/>
  <c r="AB32" i="2"/>
  <c r="AB33" i="2" s="1"/>
  <c r="U31" i="2"/>
  <c r="U34" i="2"/>
  <c r="AE32" i="2"/>
  <c r="AE33" i="2" s="1"/>
  <c r="Q32" i="2"/>
  <c r="Q33" i="2" s="1"/>
  <c r="X31" i="2"/>
  <c r="X34" i="2"/>
  <c r="K32" i="2"/>
  <c r="K33" i="2" s="1"/>
  <c r="N32" i="2"/>
  <c r="N33" i="2" s="1"/>
  <c r="O31" i="2"/>
  <c r="O34" i="2"/>
  <c r="AA32" i="2"/>
  <c r="AA33" i="2" s="1"/>
  <c r="S32" i="2"/>
  <c r="S33" i="2" s="1"/>
  <c r="G32" i="2"/>
  <c r="G33" i="2" s="1"/>
  <c r="V31" i="2"/>
  <c r="V34" i="2"/>
  <c r="L32" i="2"/>
  <c r="L33" i="2" s="1"/>
  <c r="Y32" i="2"/>
  <c r="Y33" i="2" s="1"/>
  <c r="AG34" i="2"/>
  <c r="AG31" i="2"/>
  <c r="M32" i="2"/>
  <c r="M33" i="2" s="1"/>
  <c r="C32" i="2"/>
  <c r="C33" i="2" s="1"/>
  <c r="F32" i="2"/>
  <c r="F33" i="2" s="1"/>
  <c r="W34" i="2"/>
  <c r="W31" i="2"/>
  <c r="B12" i="3"/>
  <c r="H32" i="2"/>
  <c r="H33" i="2" s="1"/>
  <c r="D14" i="16" l="1"/>
  <c r="D8" i="16"/>
  <c r="G9" i="16"/>
  <c r="D10" i="16"/>
  <c r="D11" i="16"/>
  <c r="G13" i="16"/>
  <c r="G11" i="16"/>
  <c r="G14" i="16"/>
  <c r="D12" i="16"/>
  <c r="G8" i="16"/>
  <c r="G10" i="16"/>
  <c r="D13" i="16"/>
  <c r="G12" i="16"/>
  <c r="D9" i="16"/>
  <c r="C7" i="15"/>
  <c r="L37" i="8"/>
  <c r="L40" i="8" s="1"/>
  <c r="L41" i="8" s="1"/>
  <c r="M15" i="8"/>
  <c r="X11" i="8"/>
  <c r="W23" i="15"/>
  <c r="W34" i="8" s="1"/>
  <c r="W36" i="8" s="1"/>
  <c r="E37" i="8"/>
  <c r="E40" i="8" s="1"/>
  <c r="E41" i="8" s="1"/>
  <c r="F15" i="8"/>
  <c r="S37" i="8"/>
  <c r="S40" i="8" s="1"/>
  <c r="S41" i="8" s="1"/>
  <c r="T15" i="8"/>
  <c r="K37" i="8"/>
  <c r="K40" i="8" s="1"/>
  <c r="K41" i="8" s="1"/>
  <c r="L15" i="8"/>
  <c r="D37" i="8"/>
  <c r="D40" i="8" s="1"/>
  <c r="D41" i="8" s="1"/>
  <c r="E15" i="8"/>
  <c r="AC37" i="8"/>
  <c r="AC40" i="8" s="1"/>
  <c r="AC41" i="8" s="1"/>
  <c r="AD15" i="8"/>
  <c r="AE37" i="8"/>
  <c r="AE40" i="8" s="1"/>
  <c r="AE41" i="8" s="1"/>
  <c r="AF15" i="8"/>
  <c r="H37" i="8"/>
  <c r="H40" i="8" s="1"/>
  <c r="H41" i="8" s="1"/>
  <c r="I15" i="8"/>
  <c r="V11" i="8"/>
  <c r="U23" i="15"/>
  <c r="U34" i="8" s="1"/>
  <c r="U36" i="8" s="1"/>
  <c r="AD37" i="8"/>
  <c r="AD40" i="8" s="1"/>
  <c r="AD41" i="8" s="1"/>
  <c r="AE15" i="8"/>
  <c r="AG11" i="8"/>
  <c r="AF23" i="15"/>
  <c r="AF34" i="8" s="1"/>
  <c r="AF36" i="8" s="1"/>
  <c r="N37" i="8"/>
  <c r="N40" i="8" s="1"/>
  <c r="N41" i="8" s="1"/>
  <c r="O15" i="8"/>
  <c r="R37" i="8"/>
  <c r="R40" i="8" s="1"/>
  <c r="R41" i="8" s="1"/>
  <c r="S15" i="8"/>
  <c r="C34" i="8"/>
  <c r="Y37" i="8"/>
  <c r="Y40" i="8" s="1"/>
  <c r="Y41" i="8" s="1"/>
  <c r="Z15" i="8"/>
  <c r="O23" i="15"/>
  <c r="O34" i="8" s="1"/>
  <c r="O36" i="8" s="1"/>
  <c r="P11" i="8"/>
  <c r="Y11" i="8"/>
  <c r="X23" i="15"/>
  <c r="X34" i="8" s="1"/>
  <c r="X36" i="8" s="1"/>
  <c r="C37" i="8"/>
  <c r="D15" i="8"/>
  <c r="AA37" i="8"/>
  <c r="AA40" i="8" s="1"/>
  <c r="AA41" i="8" s="1"/>
  <c r="AB15" i="8"/>
  <c r="P37" i="8"/>
  <c r="P40" i="8" s="1"/>
  <c r="P41" i="8" s="1"/>
  <c r="Q15" i="8"/>
  <c r="C8" i="15"/>
  <c r="C13" i="15" s="1"/>
  <c r="C14" i="15" s="1"/>
  <c r="AH11" i="8"/>
  <c r="AG37" i="8" s="1"/>
  <c r="AG40" i="8" s="1"/>
  <c r="AG23" i="15"/>
  <c r="AG34" i="8" s="1"/>
  <c r="AG36" i="8" s="1"/>
  <c r="Q37" i="8"/>
  <c r="Q40" i="8" s="1"/>
  <c r="Q41" i="8" s="1"/>
  <c r="R15" i="8"/>
  <c r="W11" i="8"/>
  <c r="V23" i="15"/>
  <c r="V34" i="8" s="1"/>
  <c r="V36" i="8" s="1"/>
  <c r="AB37" i="8"/>
  <c r="AB40" i="8" s="1"/>
  <c r="AB41" i="8" s="1"/>
  <c r="AC15" i="8"/>
  <c r="I37" i="8"/>
  <c r="I40" i="8" s="1"/>
  <c r="I41" i="8" s="1"/>
  <c r="J15" i="8"/>
  <c r="F37" i="8"/>
  <c r="F40" i="8" s="1"/>
  <c r="F41" i="8" s="1"/>
  <c r="G15" i="8"/>
  <c r="J37" i="8"/>
  <c r="J40" i="8" s="1"/>
  <c r="J41" i="8" s="1"/>
  <c r="K15" i="8"/>
  <c r="T37" i="8"/>
  <c r="T40" i="8" s="1"/>
  <c r="T41" i="8" s="1"/>
  <c r="U15" i="8"/>
  <c r="AG32" i="2"/>
  <c r="AG33" i="2" s="1"/>
  <c r="AF32" i="2"/>
  <c r="AF33" i="2" s="1"/>
  <c r="W32" i="2"/>
  <c r="W33" i="2" s="1"/>
  <c r="O32" i="2"/>
  <c r="O33" i="2" s="1"/>
  <c r="U32" i="2"/>
  <c r="U33" i="2" s="1"/>
  <c r="V32" i="2"/>
  <c r="V33" i="2" s="1"/>
  <c r="X32" i="2"/>
  <c r="X33" i="2" s="1"/>
  <c r="AG41" i="8" l="1"/>
  <c r="C24" i="15"/>
  <c r="U24" i="15"/>
  <c r="U25" i="15" s="1"/>
  <c r="U22" i="8" s="1"/>
  <c r="U27" i="8" s="1"/>
  <c r="I24" i="15"/>
  <c r="I25" i="15" s="1"/>
  <c r="I22" i="8" s="1"/>
  <c r="I27" i="8" s="1"/>
  <c r="R24" i="15"/>
  <c r="R25" i="15" s="1"/>
  <c r="R22" i="8" s="1"/>
  <c r="R27" i="8" s="1"/>
  <c r="Y24" i="15"/>
  <c r="Y25" i="15" s="1"/>
  <c r="Y22" i="8" s="1"/>
  <c r="Y27" i="8" s="1"/>
  <c r="AE24" i="15"/>
  <c r="AE25" i="15" s="1"/>
  <c r="AE22" i="8" s="1"/>
  <c r="AE27" i="8" s="1"/>
  <c r="W24" i="15"/>
  <c r="W25" i="15" s="1"/>
  <c r="W22" i="8" s="1"/>
  <c r="W27" i="8" s="1"/>
  <c r="P24" i="15"/>
  <c r="P25" i="15" s="1"/>
  <c r="P22" i="8" s="1"/>
  <c r="P27" i="8" s="1"/>
  <c r="AD24" i="15"/>
  <c r="AD25" i="15" s="1"/>
  <c r="AD22" i="8" s="1"/>
  <c r="AD27" i="8" s="1"/>
  <c r="Z24" i="15"/>
  <c r="Z25" i="15" s="1"/>
  <c r="Z22" i="8" s="1"/>
  <c r="Z27" i="8" s="1"/>
  <c r="N24" i="15"/>
  <c r="N25" i="15" s="1"/>
  <c r="N22" i="8" s="1"/>
  <c r="N27" i="8" s="1"/>
  <c r="F24" i="15"/>
  <c r="F25" i="15" s="1"/>
  <c r="F22" i="8" s="1"/>
  <c r="F27" i="8" s="1"/>
  <c r="AC24" i="15"/>
  <c r="AC25" i="15" s="1"/>
  <c r="AC22" i="8" s="1"/>
  <c r="AC27" i="8" s="1"/>
  <c r="H24" i="15"/>
  <c r="H25" i="15" s="1"/>
  <c r="H22" i="8" s="1"/>
  <c r="H27" i="8" s="1"/>
  <c r="X24" i="15"/>
  <c r="X25" i="15" s="1"/>
  <c r="X22" i="8" s="1"/>
  <c r="X27" i="8" s="1"/>
  <c r="K24" i="15"/>
  <c r="K25" i="15" s="1"/>
  <c r="K22" i="8" s="1"/>
  <c r="K27" i="8" s="1"/>
  <c r="AF24" i="15"/>
  <c r="AF25" i="15" s="1"/>
  <c r="AF22" i="8" s="1"/>
  <c r="AF27" i="8" s="1"/>
  <c r="T24" i="15"/>
  <c r="T25" i="15" s="1"/>
  <c r="T22" i="8" s="1"/>
  <c r="T27" i="8" s="1"/>
  <c r="Q24" i="15"/>
  <c r="Q25" i="15" s="1"/>
  <c r="Q22" i="8" s="1"/>
  <c r="Q27" i="8" s="1"/>
  <c r="L24" i="15"/>
  <c r="L25" i="15" s="1"/>
  <c r="L22" i="8" s="1"/>
  <c r="L27" i="8" s="1"/>
  <c r="AB24" i="15"/>
  <c r="AB25" i="15" s="1"/>
  <c r="AB22" i="8" s="1"/>
  <c r="AB27" i="8" s="1"/>
  <c r="E24" i="15"/>
  <c r="E25" i="15" s="1"/>
  <c r="E22" i="8" s="1"/>
  <c r="E27" i="8" s="1"/>
  <c r="M24" i="15"/>
  <c r="M25" i="15" s="1"/>
  <c r="M22" i="8" s="1"/>
  <c r="M27" i="8" s="1"/>
  <c r="S24" i="15"/>
  <c r="S25" i="15" s="1"/>
  <c r="S22" i="8" s="1"/>
  <c r="S27" i="8" s="1"/>
  <c r="G24" i="15"/>
  <c r="G25" i="15" s="1"/>
  <c r="G22" i="8" s="1"/>
  <c r="G27" i="8" s="1"/>
  <c r="D24" i="15"/>
  <c r="D25" i="15" s="1"/>
  <c r="D22" i="8" s="1"/>
  <c r="D27" i="8" s="1"/>
  <c r="V24" i="15"/>
  <c r="V25" i="15" s="1"/>
  <c r="V22" i="8" s="1"/>
  <c r="V27" i="8" s="1"/>
  <c r="J24" i="15"/>
  <c r="J25" i="15" s="1"/>
  <c r="J22" i="8" s="1"/>
  <c r="J27" i="8" s="1"/>
  <c r="AA24" i="15"/>
  <c r="AA25" i="15" s="1"/>
  <c r="AA22" i="8" s="1"/>
  <c r="AA27" i="8" s="1"/>
  <c r="O24" i="15"/>
  <c r="O25" i="15" s="1"/>
  <c r="O22" i="8" s="1"/>
  <c r="O27" i="8" s="1"/>
  <c r="AG24" i="15"/>
  <c r="AG25" i="15" s="1"/>
  <c r="AG22" i="8" s="1"/>
  <c r="AG27" i="8" s="1"/>
  <c r="O37" i="8"/>
  <c r="O40" i="8" s="1"/>
  <c r="O41" i="8" s="1"/>
  <c r="P15" i="8"/>
  <c r="X37" i="8"/>
  <c r="X40" i="8" s="1"/>
  <c r="X41" i="8" s="1"/>
  <c r="Y15" i="8"/>
  <c r="V37" i="8"/>
  <c r="V40" i="8" s="1"/>
  <c r="V41" i="8" s="1"/>
  <c r="W15" i="8"/>
  <c r="AF37" i="8"/>
  <c r="AF40" i="8" s="1"/>
  <c r="AF41" i="8" s="1"/>
  <c r="AG15" i="8"/>
  <c r="B18" i="15"/>
  <c r="B20" i="15" s="1"/>
  <c r="W37" i="8"/>
  <c r="W40" i="8" s="1"/>
  <c r="W41" i="8" s="1"/>
  <c r="X15" i="8"/>
  <c r="C11" i="8"/>
  <c r="B11" i="8"/>
  <c r="C36" i="8"/>
  <c r="B34" i="8"/>
  <c r="C40" i="8"/>
  <c r="U37" i="8"/>
  <c r="U40" i="8" s="1"/>
  <c r="U41" i="8" s="1"/>
  <c r="V15" i="8"/>
  <c r="B23" i="15"/>
  <c r="C15" i="8" l="1"/>
  <c r="E17" i="8" s="1"/>
  <c r="B15" i="8"/>
  <c r="E18" i="8"/>
  <c r="B37" i="8"/>
  <c r="B40" i="8"/>
  <c r="B24" i="15"/>
  <c r="C25" i="15"/>
  <c r="C41" i="8"/>
  <c r="B36" i="8"/>
  <c r="C42" i="8" l="1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AB42" i="8" s="1"/>
  <c r="AC42" i="8" s="1"/>
  <c r="AD42" i="8" s="1"/>
  <c r="AE42" i="8" s="1"/>
  <c r="AF42" i="8" s="1"/>
  <c r="AG42" i="8" s="1"/>
  <c r="B41" i="8"/>
  <c r="B25" i="15"/>
  <c r="C22" i="8"/>
  <c r="C27" i="8" s="1"/>
  <c r="B22" i="8" l="1"/>
  <c r="D29" i="8" l="1"/>
  <c r="D30" i="8"/>
  <c r="B27" i="8"/>
</calcChain>
</file>

<file path=xl/sharedStrings.xml><?xml version="1.0" encoding="utf-8"?>
<sst xmlns="http://schemas.openxmlformats.org/spreadsheetml/2006/main" count="1196" uniqueCount="636">
  <si>
    <t>Hodnotené varianty</t>
  </si>
  <si>
    <t>Variant bez projektu</t>
  </si>
  <si>
    <t>Všeobecné parametre</t>
  </si>
  <si>
    <t xml:space="preserve">Diskontná sadzba (finančná) </t>
  </si>
  <si>
    <t>Diskontná sadzba (ekonomická)</t>
  </si>
  <si>
    <t>Cenová úroveň</t>
  </si>
  <si>
    <t>stále ceny</t>
  </si>
  <si>
    <t>Rok ukončenia</t>
  </si>
  <si>
    <t>Mena</t>
  </si>
  <si>
    <t>EUR</t>
  </si>
  <si>
    <t>Fiškálne konverzné faktory</t>
  </si>
  <si>
    <t>Materiál</t>
  </si>
  <si>
    <t>Zloženie nákladov</t>
  </si>
  <si>
    <t>Pohonné hmoty</t>
  </si>
  <si>
    <t>Ostatné</t>
  </si>
  <si>
    <t>Spolu</t>
  </si>
  <si>
    <t>Nákladná doprava</t>
  </si>
  <si>
    <t>Palivo (nafta)</t>
  </si>
  <si>
    <t>Osobné náklady</t>
  </si>
  <si>
    <t>Agreg. konverzný faktor</t>
  </si>
  <si>
    <t>Rok</t>
  </si>
  <si>
    <t>Celkom</t>
  </si>
  <si>
    <t>Investičné náklady (EUR) - finančné</t>
  </si>
  <si>
    <t>Investičné náklady</t>
  </si>
  <si>
    <t>Investičné náklady (EUR) - ekonomické</t>
  </si>
  <si>
    <t>Infraštrukturálny prvok</t>
  </si>
  <si>
    <t>Životnosť v rokoch</t>
  </si>
  <si>
    <t>Zostatková hodnota</t>
  </si>
  <si>
    <t>Pozemky</t>
  </si>
  <si>
    <t>nekonečná</t>
  </si>
  <si>
    <t xml:space="preserve">Zostatková hodnota </t>
  </si>
  <si>
    <t>Prevádzka a údržba železničnej infraštruktúry</t>
  </si>
  <si>
    <t>Položka</t>
  </si>
  <si>
    <t>Náklady na prevádzku, údržbu, opravy a správu železničnej infraštruktúry - variant bez projektu</t>
  </si>
  <si>
    <t>Riadenie dopravy</t>
  </si>
  <si>
    <t>Ostatné náklady</t>
  </si>
  <si>
    <t>Príjmy ŽSR</t>
  </si>
  <si>
    <t>Príjmy ŽSR za prístup k železničnej infraštruktúre - variant bez projektu</t>
  </si>
  <si>
    <t>Finančná analýza</t>
  </si>
  <si>
    <t>Príjmy</t>
  </si>
  <si>
    <t>Čisté finančné toky</t>
  </si>
  <si>
    <t>Kumulovaný diskontovaný cash-flow</t>
  </si>
  <si>
    <t>Ocenenie času</t>
  </si>
  <si>
    <t>dochádzanie (hod/rok)</t>
  </si>
  <si>
    <t>Ocenenie času - krátke vzdialenosti</t>
  </si>
  <si>
    <t>Prevádzkové náklady vozidiel</t>
  </si>
  <si>
    <t>Nákladný vlak</t>
  </si>
  <si>
    <t>Autobus</t>
  </si>
  <si>
    <t>Osobný automobil</t>
  </si>
  <si>
    <t>Osobný vlak</t>
  </si>
  <si>
    <t>Nehodovosť</t>
  </si>
  <si>
    <t>Hluk</t>
  </si>
  <si>
    <t>Osobná doprava</t>
  </si>
  <si>
    <t>Ekonomická analýza</t>
  </si>
  <si>
    <t>Náklady spolu</t>
  </si>
  <si>
    <t>Prínosy spolu</t>
  </si>
  <si>
    <t>Čisté ekonomické toky</t>
  </si>
  <si>
    <t>Ekonomická čistá súčasná hodnota investície (ENPV)</t>
  </si>
  <si>
    <t>Príjmy za prístup k ŽI - OD</t>
  </si>
  <si>
    <t>Príjmy za prístup k ŽI spolu</t>
  </si>
  <si>
    <t>Príjmy za prístup k ŽI - ND</t>
  </si>
  <si>
    <t>ŽI - železničná infraštruktúra</t>
  </si>
  <si>
    <t>OD - osobná doprava</t>
  </si>
  <si>
    <t>ND - Nákladná doprava</t>
  </si>
  <si>
    <t xml:space="preserve"> </t>
  </si>
  <si>
    <t>Náklady prevádzky a údržby ŽI</t>
  </si>
  <si>
    <t>Diskontné koeficienty</t>
  </si>
  <si>
    <t>rok 1</t>
  </si>
  <si>
    <t>Úspora času v preprave tovaru</t>
  </si>
  <si>
    <t>Úspora času (hod/rok)</t>
  </si>
  <si>
    <t>Ocenenie úspory (€/rok)</t>
  </si>
  <si>
    <t>Úspora času cestujúcich</t>
  </si>
  <si>
    <t>Projektové a prieskumné práce</t>
  </si>
  <si>
    <t>telekomunikačné zariadenia</t>
  </si>
  <si>
    <t>zabezpečovacie zariadenia</t>
  </si>
  <si>
    <t>železničný spodok</t>
  </si>
  <si>
    <t>železničný zvršok</t>
  </si>
  <si>
    <t>trakčné vedenie</t>
  </si>
  <si>
    <t>inžinierske siete</t>
  </si>
  <si>
    <t>Rezerva</t>
  </si>
  <si>
    <t>DPH</t>
  </si>
  <si>
    <t>Železničný spodok</t>
  </si>
  <si>
    <t>Železničný zvršok</t>
  </si>
  <si>
    <t>Zostatková hodnota - ekonomická</t>
  </si>
  <si>
    <t>Mosty a umelé stavby</t>
  </si>
  <si>
    <t xml:space="preserve">Trakčné vedenie </t>
  </si>
  <si>
    <t>Inžinierske siete</t>
  </si>
  <si>
    <t>mosty a umelé stavby</t>
  </si>
  <si>
    <t>Nediskontované</t>
  </si>
  <si>
    <t>Diskontované</t>
  </si>
  <si>
    <t>Prevádzkové náklady</t>
  </si>
  <si>
    <t>Čistý príjem</t>
  </si>
  <si>
    <t>Finančná medzera</t>
  </si>
  <si>
    <t>Oprávnené náklady</t>
  </si>
  <si>
    <t>Suma v rozhodnutí</t>
  </si>
  <si>
    <t>Pomer spolufinancovania</t>
  </si>
  <si>
    <t>Príspevok Spoločenstva (EÚ)</t>
  </si>
  <si>
    <t>Vlastný príspevok</t>
  </si>
  <si>
    <t>Druh vlaku</t>
  </si>
  <si>
    <t>spolu</t>
  </si>
  <si>
    <t>1 vlkm</t>
  </si>
  <si>
    <t>Náklady v €</t>
  </si>
  <si>
    <t>riadenie dopravy</t>
  </si>
  <si>
    <t>ostatné náklady</t>
  </si>
  <si>
    <t>Nákladný automobil nad 12 ton</t>
  </si>
  <si>
    <t>Priemerné obsadenie osobného auta (osoby)</t>
  </si>
  <si>
    <t>Nákladný automobil (ťažký nad 12 t)</t>
  </si>
  <si>
    <t>Vlak (osobná doprava)</t>
  </si>
  <si>
    <t>Vlak (nákladná doprava)</t>
  </si>
  <si>
    <t>Emisie a ostatné externality</t>
  </si>
  <si>
    <t>Os</t>
  </si>
  <si>
    <t>Mn</t>
  </si>
  <si>
    <t>Financovanie</t>
  </si>
  <si>
    <t>Výpočet finančnej medzery</t>
  </si>
  <si>
    <t>Oprávnené náklady - čistý príjem</t>
  </si>
  <si>
    <r>
      <t xml:space="preserve"> </t>
    </r>
    <r>
      <rPr>
        <b/>
        <i/>
        <sz val="11"/>
        <rFont val="Arial"/>
        <family val="2"/>
      </rPr>
      <t>Príspevok Spoločenstva (EÚ)</t>
    </r>
  </si>
  <si>
    <t>Štruktúra financovania</t>
  </si>
  <si>
    <t>Finančné vnútorné výnosové percento investície (FIRR_C)</t>
  </si>
  <si>
    <t>Finančná čistá súčasná hodnota investície (FNPV_C)</t>
  </si>
  <si>
    <t>Vlaky osobnej dopravy</t>
  </si>
  <si>
    <t>Rok začiatku (začiatok výstavby)</t>
  </si>
  <si>
    <t>Finančná analýza diskont 4%</t>
  </si>
  <si>
    <t>Ekonomická analýza diskont 5%</t>
  </si>
  <si>
    <t>Regionálna doprava</t>
  </si>
  <si>
    <t xml:space="preserve"> Zostatková hodnota na základe životnosti infraštruktrálnych prvkov </t>
  </si>
  <si>
    <t xml:space="preserve">Prírastkové príjmy ŽSR za prístup k železničnej infraštruktúre </t>
  </si>
  <si>
    <t xml:space="preserve">Ekonomická analýza </t>
  </si>
  <si>
    <t xml:space="preserve">Prírastkové hodnoty z  externalít </t>
  </si>
  <si>
    <t xml:space="preserve">Prírastkové hodnoty zo zmeny hluku </t>
  </si>
  <si>
    <t>Prírastkové náklady na nehodovosť</t>
  </si>
  <si>
    <t xml:space="preserve">Úspory času cestujúcich </t>
  </si>
  <si>
    <t xml:space="preserve">Úspora času v preprave tovaru </t>
  </si>
  <si>
    <t>diaľková doprava</t>
  </si>
  <si>
    <t>regionálna doprava</t>
  </si>
  <si>
    <t>Nex, Pn</t>
  </si>
  <si>
    <t>Priemerné obsadenie autobusu (osoby)</t>
  </si>
  <si>
    <t>bežná údržba a správa  ŽI</t>
  </si>
  <si>
    <t>Prehľad čerpania prostriedkov na opravy a výmenu zariadení - variant bez projektu</t>
  </si>
  <si>
    <t>Prírastkové náklady na prevádzku, údržbu, opravy a správu železničnej infraštruktúry</t>
  </si>
  <si>
    <t xml:space="preserve">Prírastkové náklady na prevádzku, údržbu, opravy a správu železničnej infraštruktúry (ekonomické) </t>
  </si>
  <si>
    <t>Bežná údržba a správa ŽI</t>
  </si>
  <si>
    <t>Opravy a výmena zariadení</t>
  </si>
  <si>
    <t>Náklady spolu (EUR) - finančné</t>
  </si>
  <si>
    <t>Náklady spolu (EUR) - ekonomické</t>
  </si>
  <si>
    <t xml:space="preserve">Počty vlakov </t>
  </si>
  <si>
    <t>Dĺžka úseku</t>
  </si>
  <si>
    <t>km</t>
  </si>
  <si>
    <t>Nákladná doprava (diaľková)</t>
  </si>
  <si>
    <t>Vlak osobnej dopravy (v elektrickej trakcii)</t>
  </si>
  <si>
    <t>Vlak  - osobná doprava</t>
  </si>
  <si>
    <t>Investičné náklady (oprávnené)</t>
  </si>
  <si>
    <t>CBA Príručka kap. 5.2</t>
  </si>
  <si>
    <t>Znečistenie život. prostr.</t>
  </si>
  <si>
    <t>Sklenníkové plyny</t>
  </si>
  <si>
    <t xml:space="preserve">Prírastkové hodnoty zo zmeny znečistenia životného prostredia </t>
  </si>
  <si>
    <t>Prírastkové hodnoty zo zmeny tvorby sklenníkových plynov</t>
  </si>
  <si>
    <t xml:space="preserve">CBA Príručka </t>
  </si>
  <si>
    <t>Príjmy ŽSR spolu</t>
  </si>
  <si>
    <t>Príjmy z predaja pozemkov</t>
  </si>
  <si>
    <t>Ocenenie času - dlhé vzdialenosti (€/rok)</t>
  </si>
  <si>
    <t>RR, REX</t>
  </si>
  <si>
    <t>Devínska N. Ves - Bratislava hl. st.</t>
  </si>
  <si>
    <t>Bratislava hl. st. - Bratislava-Rača</t>
  </si>
  <si>
    <t>Bratislava hl. st. - Bratislava-Vajnory</t>
  </si>
  <si>
    <t>Bratislava-N. Mesto - Podunajské Biskupice</t>
  </si>
  <si>
    <t>Bratislava hl. st. - Bratislava-N. Mesto</t>
  </si>
  <si>
    <t>Bratislava-Rača - Bratislava predmestie</t>
  </si>
  <si>
    <t>Bratislava-Vajnory - Bratislava predmestie</t>
  </si>
  <si>
    <t>Bratislava predmestie - Bratislava filiálka</t>
  </si>
  <si>
    <t>Bratislava predmestie - Bratislava-N.Mesto</t>
  </si>
  <si>
    <t>Bratislava-N. Mesto - Bratislava-Petržalka</t>
  </si>
  <si>
    <t>Bratislava-Petržalka - Rusovce</t>
  </si>
  <si>
    <t>Vlaky nákladnej dopravy r. 2022</t>
  </si>
  <si>
    <t>Bratislava-N. Mesto - Bratislava UNS</t>
  </si>
  <si>
    <t>Bratislava UNS - Bratislava-Petržalka</t>
  </si>
  <si>
    <t>Bratislava-Rača - Bratislava východ</t>
  </si>
  <si>
    <t>Bratislava východ - Bratislava hl. st.</t>
  </si>
  <si>
    <t>Bratislava východ - Bratislava predmestie</t>
  </si>
  <si>
    <t>Bratislava východ - Bratislava-Vajnory</t>
  </si>
  <si>
    <t>Vlaky nákladnej dopravy r. 2040</t>
  </si>
  <si>
    <t xml:space="preserve">r. 2022 </t>
  </si>
  <si>
    <t>Pracovný deň</t>
  </si>
  <si>
    <t>Voľný deň</t>
  </si>
  <si>
    <r>
      <t xml:space="preserve">Prevádzkové náklady ŽSR </t>
    </r>
    <r>
      <rPr>
        <sz val="11"/>
        <color indexed="8"/>
        <rFont val="Arial"/>
        <family val="2"/>
      </rPr>
      <t>(uzol Bratislava)</t>
    </r>
  </si>
  <si>
    <t>EC, IC, R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</si>
  <si>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</si>
  <si>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Jednotkové tržby podľa druhu vlakov (€/vlkm)</t>
  </si>
  <si>
    <t>Stavebné náklady</t>
  </si>
  <si>
    <t>Projektovanie a príprava</t>
  </si>
  <si>
    <t xml:space="preserve">CBA Príručka Tab. 19 </t>
  </si>
  <si>
    <t xml:space="preserve">Hodnotiace obdobie </t>
  </si>
  <si>
    <t xml:space="preserve">Výkup pozemkov </t>
  </si>
  <si>
    <t>Stavebné práce</t>
  </si>
  <si>
    <t>silnoprúdové rozvody a zariadenia</t>
  </si>
  <si>
    <t>tunely</t>
  </si>
  <si>
    <t>komunikácie a spevnené plochy</t>
  </si>
  <si>
    <t>pozemné stavby, nástupištia, prístrešky</t>
  </si>
  <si>
    <t>Dozor</t>
  </si>
  <si>
    <t>Propagácia, technická asistencia</t>
  </si>
  <si>
    <t>Celkové investičné náklady bez rezervy</t>
  </si>
  <si>
    <t>Celkové investičné náklady bez DPH</t>
  </si>
  <si>
    <t>Celkové investičné náklady s DPH</t>
  </si>
  <si>
    <t>Oprávnené celkové investičné náklady</t>
  </si>
  <si>
    <t>Celkové investičné náklady</t>
  </si>
  <si>
    <t>Zostatková hodnota - finančná</t>
  </si>
  <si>
    <t>Tunely</t>
  </si>
  <si>
    <t>Komunikácie a spevnené plochy</t>
  </si>
  <si>
    <t>Pozemné stavby, nástupištia</t>
  </si>
  <si>
    <t>Zabezpečovacie zariadenia</t>
  </si>
  <si>
    <t xml:space="preserve">Telekomunikačné zariadenia </t>
  </si>
  <si>
    <t>Silnoprúdové rozvody a zariadenia</t>
  </si>
  <si>
    <t xml:space="preserve">EC, IC, R </t>
  </si>
  <si>
    <t>Všetky traťové úseky na území uzla Bratislava sú z hľadiska kategorizácie tratí pre určenie náhrad za prístup k železničnej infraštruktúre zaradené do 1. kategórie s výnimkou úseku Bratislava-Nové Mesto - Podunajské Biskupice, ktorý je zaradený do 2. kategórie</t>
  </si>
  <si>
    <t>Zaradenie jednotlivých dopravných bodov v uzle Bratislava</t>
  </si>
  <si>
    <t>Železničná stanica, železničná zastávka</t>
  </si>
  <si>
    <t>Kategória pre vlaky OD</t>
  </si>
  <si>
    <t>Kategória pre vlaky ND</t>
  </si>
  <si>
    <t>Devínska Nová Ves</t>
  </si>
  <si>
    <t>Bratislava-Lamač</t>
  </si>
  <si>
    <t>Bratislava-Železná studienka z</t>
  </si>
  <si>
    <t>Bratislava hlavná stanica</t>
  </si>
  <si>
    <t>Bratislava-Rača</t>
  </si>
  <si>
    <t>Bratislava-Vajnory</t>
  </si>
  <si>
    <t>Bratislava predmestie</t>
  </si>
  <si>
    <t>Bratislava-Nové Mesto</t>
  </si>
  <si>
    <t>Podunajské Biskupice</t>
  </si>
  <si>
    <t>Bratislava ÚNS</t>
  </si>
  <si>
    <t>Bratislava-Petržalka</t>
  </si>
  <si>
    <t>Rusovce</t>
  </si>
  <si>
    <t>A</t>
  </si>
  <si>
    <t>D</t>
  </si>
  <si>
    <t>Bratislava-Vinohrady z</t>
  </si>
  <si>
    <t>B</t>
  </si>
  <si>
    <t>-</t>
  </si>
  <si>
    <t>C</t>
  </si>
  <si>
    <t>Bratislava východ</t>
  </si>
  <si>
    <t xml:space="preserve">B </t>
  </si>
  <si>
    <t>Prístupové balíky</t>
  </si>
  <si>
    <t>Kategória trate</t>
  </si>
  <si>
    <t>U1</t>
  </si>
  <si>
    <t>U2</t>
  </si>
  <si>
    <t>U3</t>
  </si>
  <si>
    <t>€/vlkm</t>
  </si>
  <si>
    <t>€/tisíc hrtkm</t>
  </si>
  <si>
    <t>Iné</t>
  </si>
  <si>
    <t>Výpočet jednotkových tržieb podľa kategórií vlakov</t>
  </si>
  <si>
    <t>vlkm</t>
  </si>
  <si>
    <t>hrtkm</t>
  </si>
  <si>
    <t>Počet zast</t>
  </si>
  <si>
    <t>L</t>
  </si>
  <si>
    <t>Q</t>
  </si>
  <si>
    <t>U1+U2</t>
  </si>
  <si>
    <t xml:space="preserve">R Bratislava - Žilina - Košice </t>
  </si>
  <si>
    <t>R Bratislava - Banská Bystrica</t>
  </si>
  <si>
    <t>Os Bratislava - Leopoldov</t>
  </si>
  <si>
    <t>Os Bratislava - Nové Zámky</t>
  </si>
  <si>
    <t>REX Bratislava - Trenčín</t>
  </si>
  <si>
    <t>REX Bratislava - Nové Zámky</t>
  </si>
  <si>
    <t>Nákladý vlak Kúty - Bratislava - Štúrovo</t>
  </si>
  <si>
    <t>diaľková</t>
  </si>
  <si>
    <t>medziregionálna</t>
  </si>
  <si>
    <t>Diaľková  doprava</t>
  </si>
  <si>
    <t>Medziregionál. doprava</t>
  </si>
  <si>
    <t xml:space="preserve">Osobná doprava - diaľková </t>
  </si>
  <si>
    <t>Osobná doprava - medziregionálna</t>
  </si>
  <si>
    <t>Osobná doprava - regionálna</t>
  </si>
  <si>
    <t>Finančné</t>
  </si>
  <si>
    <t>Ekonomické</t>
  </si>
  <si>
    <t>Cestná doprava</t>
  </si>
  <si>
    <t>Prognóza vývoja rastu HDP SR</t>
  </si>
  <si>
    <t>Riadenie železničnej dopravy</t>
  </si>
  <si>
    <t>Bežná a pravidelná údržba žel. infraštruktúry</t>
  </si>
  <si>
    <t>Vlak osobnej dopravy</t>
  </si>
  <si>
    <t>Prírastkové prevádzkové náklady vozidiel (ekonomické)</t>
  </si>
  <si>
    <t>kladné číslo predstavuje nárast nákladov</t>
  </si>
  <si>
    <t>záporné číslo predstavuje úsporu nákladov</t>
  </si>
  <si>
    <t>IAD (oskm)</t>
  </si>
  <si>
    <t>Nákladná doprava (čtkm)</t>
  </si>
  <si>
    <t xml:space="preserve">CBA Príručka Tab. 34 - 45 </t>
  </si>
  <si>
    <t>Stavebný dozor</t>
  </si>
  <si>
    <t>Koeficienty rastu hodnoty</t>
  </si>
  <si>
    <t>CBA Príručka Tab. 22 + Tab. 40</t>
  </si>
  <si>
    <t>Rast HDP - medziročne (%)</t>
  </si>
  <si>
    <t>Ročný rast hodnoty (elasticita 0,7)</t>
  </si>
  <si>
    <t>Ročný rast hodnoty (elasticita 0,5)</t>
  </si>
  <si>
    <t>Ročný rast hodnoty emisií sklenníkových plynov (%)</t>
  </si>
  <si>
    <t>Kumulatívny koeficient rastu hodnoty emisií skleníkových plynov</t>
  </si>
  <si>
    <t>Do r. 2022</t>
  </si>
  <si>
    <t>A01-ref</t>
  </si>
  <si>
    <t>B04-a</t>
  </si>
  <si>
    <t>C01-a</t>
  </si>
  <si>
    <t>E06-ref</t>
  </si>
  <si>
    <t>E09-ref</t>
  </si>
  <si>
    <t>F01-a</t>
  </si>
  <si>
    <t>G01-ref</t>
  </si>
  <si>
    <t>K01-ref</t>
  </si>
  <si>
    <t>L02-ref</t>
  </si>
  <si>
    <t>M01-ref</t>
  </si>
  <si>
    <t>M02-ref</t>
  </si>
  <si>
    <t>M03-ref</t>
  </si>
  <si>
    <t>N01-a</t>
  </si>
  <si>
    <t>Zabezpečovacie zariadenie</t>
  </si>
  <si>
    <t>Oznamovacie zariadenie</t>
  </si>
  <si>
    <t>Mosty, priepusty, múry</t>
  </si>
  <si>
    <t>Trakcia</t>
  </si>
  <si>
    <t>Inžinierske siete (potrubné vedenia, kabelovody)</t>
  </si>
  <si>
    <t>Pozemné stavby, nástupištia a prístrešky</t>
  </si>
  <si>
    <t>Objekty ochrany životného prostredia</t>
  </si>
  <si>
    <t>IAD (vzkm)</t>
  </si>
  <si>
    <t>MHD (oskm)</t>
  </si>
  <si>
    <t>Vlak (oskm)</t>
  </si>
  <si>
    <t>MHD (vzkm)</t>
  </si>
  <si>
    <t>Zmena prevádzkových nákladov vozidiel</t>
  </si>
  <si>
    <t>Vlak (vlkm)</t>
  </si>
  <si>
    <t>Nákladná doprava (vlkm)</t>
  </si>
  <si>
    <t>záporné číslo predstavuje zníženie nákladov na nehodovosť</t>
  </si>
  <si>
    <t>kladné číslo predstavuje rast nákladov na nehodovosť</t>
  </si>
  <si>
    <t>kladné číslo predstavuje prírastok externalít</t>
  </si>
  <si>
    <t>záporná položka predstavuje úsporu externelít</t>
  </si>
  <si>
    <t>* platí len pre dieselové vlaky</t>
  </si>
  <si>
    <t>do r. 2022</t>
  </si>
  <si>
    <t>Hluk a ostatné externality</t>
  </si>
  <si>
    <t>B01-MIN</t>
  </si>
  <si>
    <t>B02-MIN</t>
  </si>
  <si>
    <t>C02-MIN</t>
  </si>
  <si>
    <t>C03-ref</t>
  </si>
  <si>
    <t>D02-MIN</t>
  </si>
  <si>
    <t>E02-MIN</t>
  </si>
  <si>
    <t>E04-ref</t>
  </si>
  <si>
    <t>E05-ref</t>
  </si>
  <si>
    <t>E07-ref</t>
  </si>
  <si>
    <t>E08-ref</t>
  </si>
  <si>
    <t>I01-ref</t>
  </si>
  <si>
    <t>B01-ref</t>
  </si>
  <si>
    <t>B02-ref</t>
  </si>
  <si>
    <t>B03-ref</t>
  </si>
  <si>
    <t>B04-ref</t>
  </si>
  <si>
    <t>B05-ref</t>
  </si>
  <si>
    <t>C01-ref</t>
  </si>
  <si>
    <t>C02-ref</t>
  </si>
  <si>
    <t>D01-ref</t>
  </si>
  <si>
    <t>D02-ref</t>
  </si>
  <si>
    <t>E01-ref</t>
  </si>
  <si>
    <t>E02-ref</t>
  </si>
  <si>
    <t>E03-ref</t>
  </si>
  <si>
    <t>F01-ref</t>
  </si>
  <si>
    <t>H01-ref</t>
  </si>
  <si>
    <t>H02-ref</t>
  </si>
  <si>
    <t>J01-ref</t>
  </si>
  <si>
    <t>J02-ref</t>
  </si>
  <si>
    <t>N01-ref</t>
  </si>
  <si>
    <t>C03-MIN</t>
  </si>
  <si>
    <t>D01-MIN</t>
  </si>
  <si>
    <t>E03-MIN</t>
  </si>
  <si>
    <t>I01-MIN</t>
  </si>
  <si>
    <t>Jednotkové externé náklady v CÚ 2018 (€ cent/vzkm)</t>
  </si>
  <si>
    <t>Jednotkové  náklady (€/vzkm) na prevádzku mobilných prostriedkov v CÚ 2018</t>
  </si>
  <si>
    <t>46,65*</t>
  </si>
  <si>
    <t>141,21*</t>
  </si>
  <si>
    <t>prestupy v Bratislave</t>
  </si>
  <si>
    <t xml:space="preserve"> pracovné cesty - auto a vlak</t>
  </si>
  <si>
    <t>dlhé vzdialenosti - dochádzka - auto a vlak</t>
  </si>
  <si>
    <t>dlhé vzdialenosti - dochádzka - autobus a MHD</t>
  </si>
  <si>
    <t>dlhé vzdialenosti - ostatné cesty - auto a vlak</t>
  </si>
  <si>
    <t>dlhé vzdialenosti - ostatné cesty - autobus a MHD</t>
  </si>
  <si>
    <t>krátke vzdialenosti - dochádzka - auto a vlak</t>
  </si>
  <si>
    <t>krátke vzdialenosti - ostatné cesty - auto a vlak</t>
  </si>
  <si>
    <t>krátke vzdialenosti - dochádzka - autobus a MHD</t>
  </si>
  <si>
    <t>krátke vzdialenosti - ostatné cesty - autobus a MHD</t>
  </si>
  <si>
    <t>Prestupy v Bratislave</t>
  </si>
  <si>
    <t>Priecestia</t>
  </si>
  <si>
    <t>Pracovné cesty - auto a vlak</t>
  </si>
  <si>
    <t>Dochádzanie do práce - krátka vzdialenosť - auto a vlak</t>
  </si>
  <si>
    <t>Dochádzanie do práce - dlhá vzdialenosť - auto a vlak</t>
  </si>
  <si>
    <t>Iné - krátka vzdialenosť - auto a vlak</t>
  </si>
  <si>
    <t>Iné - dlhá vzdialenosť - auto a vlak</t>
  </si>
  <si>
    <t>pracovné cesty - autobus + MHD</t>
  </si>
  <si>
    <t>Pracovné cesty  - autobus + MHD</t>
  </si>
  <si>
    <t>Dochádzanie do práce - krátka vzdialenosť  - autobus + MHD</t>
  </si>
  <si>
    <t>Dochádzanie do práce - dlhá vzdialenosť  - autobus + MHD</t>
  </si>
  <si>
    <t>Iné - krátka vzdialenosť  - autobus + MHD</t>
  </si>
  <si>
    <t>Iné - dlhá vzdialenosť  - autobus + MHD</t>
  </si>
  <si>
    <t>Stav v r. 2025 po realizácii 1. etapy</t>
  </si>
  <si>
    <t>1. Etapa predstavuje realizáciu :</t>
  </si>
  <si>
    <t>Nové TIOP Bratislava-Bory, Bratislava-Železná studienka/Patrónka, Bratislava-Ružinov, Bratislava-Vrakuňa</t>
  </si>
  <si>
    <t>2. traťová koľaj Bratislava hl. st. - Bratislava-Nové Mesto vrátane koľajových úprav v ŽST Bratislava-Nové Mesto (+ nové zab. zar. v ŽST BNM)</t>
  </si>
  <si>
    <t>Modernizácia zastávky Bratislava-Vinohrady a vybudovanie prestupných väzieb na ŽST Bratislava predmestie</t>
  </si>
  <si>
    <t>Organizácia dopravy</t>
  </si>
  <si>
    <t>Bude zachovaná súčasná organizácia dopravy t.j. variant bez projektu (+ zastavenia Os na nových zastávkach)</t>
  </si>
  <si>
    <t>Regionálna vnútroštátna doprava</t>
  </si>
  <si>
    <t>Postup výstavby a organizácia dopravy</t>
  </si>
  <si>
    <t>Stav v r. 2030 po realizácii 2. etapy</t>
  </si>
  <si>
    <t>2. Etapa predstavuje realizáciu :</t>
  </si>
  <si>
    <t>Zriadenie dispečerského pracoviska</t>
  </si>
  <si>
    <t>3. Etapa predstavuje realizáciu :</t>
  </si>
  <si>
    <t>Dlhé vzdialenosti - vlak a auto (hod/rok)</t>
  </si>
  <si>
    <t>Dlhé vzdialenosti - autobus a MHD (hod/rok)</t>
  </si>
  <si>
    <t>Krátke vzdialenosti - vlak a auto (hod/rok)</t>
  </si>
  <si>
    <t>Krátke vzdialenosti - autobus a MHD (hod/rok)</t>
  </si>
  <si>
    <t>Prestupy v Bratislave (hod/rok)</t>
  </si>
  <si>
    <t>Ocenenie času - prestupy</t>
  </si>
  <si>
    <t>Priecestia v Bratislave (hod/rok)</t>
  </si>
  <si>
    <t>Ocenenie času - priecestia</t>
  </si>
  <si>
    <t>Pracovné cesty (hod/rok)</t>
  </si>
  <si>
    <t>vlak a auto (hod/rok)</t>
  </si>
  <si>
    <t>autobus a MHD (hod/rok)</t>
  </si>
  <si>
    <t>Ocenenie času - pracovné cesty</t>
  </si>
  <si>
    <t>iné (hod/rok)</t>
  </si>
  <si>
    <t>priecestia v Bratislave</t>
  </si>
  <si>
    <t>Jednotkové spoločenské náklady na úraz v CU 2018</t>
  </si>
  <si>
    <t>koeficient pre neohlásené nehody</t>
  </si>
  <si>
    <t>koeficient úraz/nehoda</t>
  </si>
  <si>
    <t>smrť</t>
  </si>
  <si>
    <t>ťažký úraz</t>
  </si>
  <si>
    <t>ľahký úraz</t>
  </si>
  <si>
    <t>bez zranenia</t>
  </si>
  <si>
    <t>Miera nehodovosti  t.j. počet nehôd/100 mil. vzkm</t>
  </si>
  <si>
    <t>uzol BA r. 2040</t>
  </si>
  <si>
    <t>typ cesty</t>
  </si>
  <si>
    <t>smrtel. nehoda</t>
  </si>
  <si>
    <t>podiel ušetrených vzkm</t>
  </si>
  <si>
    <t>D 4 pruh extra</t>
  </si>
  <si>
    <t>D 4 pruh intra</t>
  </si>
  <si>
    <t>4 pruh extravilán</t>
  </si>
  <si>
    <t>4 pruh intravilán</t>
  </si>
  <si>
    <t>2 pruh extravilán</t>
  </si>
  <si>
    <t>2 pruh intravilán</t>
  </si>
  <si>
    <t>náklady na 1 úraz</t>
  </si>
  <si>
    <t>náklady na 1000 vzkm</t>
  </si>
  <si>
    <t xml:space="preserve">Spoločenské náklady z nehodovosti </t>
  </si>
  <si>
    <t>s ťažkým zranením</t>
  </si>
  <si>
    <t>s ľahkým zranením</t>
  </si>
  <si>
    <t xml:space="preserve">priemer nehodovosti </t>
  </si>
  <si>
    <t>náklad na 100 mil vzkm</t>
  </si>
  <si>
    <t xml:space="preserve">Medziročný rast </t>
  </si>
  <si>
    <t>E04-MIN</t>
  </si>
  <si>
    <t>E05-MIN</t>
  </si>
  <si>
    <t>E06-MIN</t>
  </si>
  <si>
    <t>E07-MIN</t>
  </si>
  <si>
    <t>E08-MIN</t>
  </si>
  <si>
    <t>E09-MIN</t>
  </si>
  <si>
    <t>A01-MIN</t>
  </si>
  <si>
    <t>Modernizácia SZZ a TZZ - realizácia ERTMS  v uzle Bratislava (mimo úsek  BA-Nové Mesto - P. Biskupice a BA-Vajnory)</t>
  </si>
  <si>
    <t>výmeny a rekonštrukcie - stavebné náklady</t>
  </si>
  <si>
    <t>Ostatné oprávnené náklady</t>
  </si>
  <si>
    <t>Príjmy ŽSR za použitie železničnej infraštruktúry</t>
  </si>
  <si>
    <t>Priemerná váha tovaru vo vlaku (tony)</t>
  </si>
  <si>
    <t>CBA Príručka Tab. 25 + Dopravný model + ZS Cargo</t>
  </si>
  <si>
    <t>objekty ochrany životného prostredia</t>
  </si>
  <si>
    <t>Pomer prínosov a výdavkov</t>
  </si>
  <si>
    <t>Dopravné výkony počas hodnotiaceho obdobia (2022 - 2051) vlkm/rok</t>
  </si>
  <si>
    <t>r. 2051</t>
  </si>
  <si>
    <t>Koeficienty rastu dopravných výkonov  r. 2022 - 2051 - variant bez projektu</t>
  </si>
  <si>
    <t>2051/2022</t>
  </si>
  <si>
    <t>Koeficienty rastu prepravných výkonov (medziročne r. 2022 - 2051)</t>
  </si>
  <si>
    <t>Oprava úseku Devínska Nová Ves - DNV št. hr.</t>
  </si>
  <si>
    <t>Oprava úseku BA-Nové Mesto - BA-Petržalka a ŽST Rusovce</t>
  </si>
  <si>
    <t>Rekonštrukcia ŽST BA-Vajnory vrátane nového SZZ</t>
  </si>
  <si>
    <t>Opravy v obvode ŽST Bratislava východ</t>
  </si>
  <si>
    <t>Variant bez projektu - stavebné náklady po úsekoch a profesiách</t>
  </si>
  <si>
    <t xml:space="preserve">Os Kúty - Bratislava - Leopoldov </t>
  </si>
  <si>
    <t xml:space="preserve">Os N. Zámky - Bratislava hl. st. </t>
  </si>
  <si>
    <t xml:space="preserve">Os Senec/Galanta - Bratislava-Nové Mesto </t>
  </si>
  <si>
    <t xml:space="preserve">Os Pezinok/Trnava - Bratislava-Nové Mesto </t>
  </si>
  <si>
    <t xml:space="preserve">Os Dunajská Streda - Bratislava hl. st. </t>
  </si>
  <si>
    <t>úspory v IAD vplyvom zníženia zaťaženia ciest</t>
  </si>
  <si>
    <t>Ocenenie času - zníženie zaťaženia ciest</t>
  </si>
  <si>
    <t>Úspory v IAD vplyvom zníženia zaťaženia ciest</t>
  </si>
  <si>
    <t>od r. 2026  vlaky ND nechodia alternatívnymi trasami</t>
  </si>
  <si>
    <t>Úver</t>
  </si>
  <si>
    <t xml:space="preserve">Finančná návratnosť investície </t>
  </si>
  <si>
    <t>Investičné výdavky</t>
  </si>
  <si>
    <t>Prevádzkové výdavky</t>
  </si>
  <si>
    <t xml:space="preserve">Finančná návratnosť kapitálu </t>
  </si>
  <si>
    <t>Peňažné toky</t>
  </si>
  <si>
    <t>Vlastné financovanie</t>
  </si>
  <si>
    <t>Splátky úverov</t>
  </si>
  <si>
    <t>Čisté peňažné toky</t>
  </si>
  <si>
    <t>Finančná čistá súčasná hodnota kapitálu (FNPV_K)</t>
  </si>
  <si>
    <t>Finančné vnútorné výnosové percento kapitálu (FIRR_K)</t>
  </si>
  <si>
    <t xml:space="preserve">Finančná udržateľnosť </t>
  </si>
  <si>
    <t>Finančné zdroje</t>
  </si>
  <si>
    <t>Celkové príjmy</t>
  </si>
  <si>
    <t>Celkové výdavky</t>
  </si>
  <si>
    <t>Celkové peňažné toky</t>
  </si>
  <si>
    <t>Kumulovaný čistý peňažný tok</t>
  </si>
  <si>
    <t>Alternatíva 1</t>
  </si>
  <si>
    <t>Alternatíva 1 - stavebné náklady po úsekoch a profesiách</t>
  </si>
  <si>
    <t>B03-b</t>
  </si>
  <si>
    <t>B05-d</t>
  </si>
  <si>
    <t>E01-MIN</t>
  </si>
  <si>
    <t xml:space="preserve"> Prehľad čerpania investičných prostriedkov  - Alternatíva 1 </t>
  </si>
  <si>
    <t>J01</t>
  </si>
  <si>
    <t xml:space="preserve">Modernizácia ŽST Bratislava hl. st. + nadväzné úseky B 04 C 01 a D 01 </t>
  </si>
  <si>
    <t xml:space="preserve">Os Kúty/Malacky - Bratislava-Leopoldov </t>
  </si>
  <si>
    <t xml:space="preserve">Os N. Zámky/Galanta/Senec  - Bratislava hl. st. </t>
  </si>
  <si>
    <t>Os Pezinok/Trnava - Bratislava hl. st.</t>
  </si>
  <si>
    <t>Rekonštrukcia ŽST P. Biskupice vrátane nového SZZ</t>
  </si>
  <si>
    <t>Koeficienty rastu dopravných výkonov  Alternatíva 1 r. 2022 - 2051</t>
  </si>
  <si>
    <t>Kumulatívny koeficient rastu hodnoty (elasticita 0,7)</t>
  </si>
  <si>
    <t>Kumulatívny koeficient rastu hodnoty (elasticita 0,5)</t>
  </si>
  <si>
    <t>J01-d</t>
  </si>
  <si>
    <t>Sv BA hl. st - BA-Lamač</t>
  </si>
  <si>
    <t>Autobusová regionálna doprava (oskm)</t>
  </si>
  <si>
    <t>Autobusová regionálna doprava (vzkm)</t>
  </si>
  <si>
    <t xml:space="preserve">Bude zavedená nová organizácia dopravy v zmysle PK1  </t>
  </si>
  <si>
    <t>Náklady na prevádzku, údržbu, opravy a správu železničnej infraštruktúry - Alternatíva 1</t>
  </si>
  <si>
    <r>
      <t xml:space="preserve">Prevedená doprava </t>
    </r>
    <r>
      <rPr>
        <sz val="11"/>
        <rFont val="Arial"/>
        <family val="2"/>
      </rPr>
      <t>(r. 2022 - 2051) - údaje sú z dopravného modelu</t>
    </r>
  </si>
  <si>
    <r>
      <t xml:space="preserve">Úspora času cestujúcich Alternatíva 1 </t>
    </r>
    <r>
      <rPr>
        <sz val="11"/>
        <rFont val="Arial"/>
        <family val="2"/>
      </rPr>
      <t>(hod/rok) - údaje sú z dopravného modelu</t>
    </r>
  </si>
  <si>
    <t>uzol Bratislava - úspora času (thod/rok)</t>
  </si>
  <si>
    <t>uzol Bratislava - úspora času (vlhod/rok)</t>
  </si>
  <si>
    <t xml:space="preserve">Jednotkové hodnoty úspor jazdných časov (EUR/oshod, €/čt/hod, €/vlhod))  </t>
  </si>
  <si>
    <t>CBA Príručka Tab. 23 + Príručka Jaspers Tab. A1</t>
  </si>
  <si>
    <t>Nákladná doprava (hodnota tovaru)</t>
  </si>
  <si>
    <t>Nákladná doprava (úspora prevádzkových nákladov)</t>
  </si>
  <si>
    <t>Nákladný vlak v elektrickej trakcii (náklady na jazdu)</t>
  </si>
  <si>
    <t>Nákladný vlak v motorovej trakcii (náklady na jazdu)</t>
  </si>
  <si>
    <t>Nákladný vlak (časť závislá od vzdialenosti)</t>
  </si>
  <si>
    <t>Nákladný vlak (časť závislá od času)</t>
  </si>
  <si>
    <t>Os Malacky - Devínska Nová Ves</t>
  </si>
  <si>
    <t>Prehľad čerpania v rokoch</t>
  </si>
  <si>
    <t>Investičné náklady po úsekoch</t>
  </si>
  <si>
    <t>Čiastkový úsek</t>
  </si>
  <si>
    <t>A01</t>
  </si>
  <si>
    <t>B01</t>
  </si>
  <si>
    <t>B02</t>
  </si>
  <si>
    <t>B03</t>
  </si>
  <si>
    <t>B04</t>
  </si>
  <si>
    <t>B05</t>
  </si>
  <si>
    <t>C01</t>
  </si>
  <si>
    <t>C02</t>
  </si>
  <si>
    <t>C03</t>
  </si>
  <si>
    <t>D01</t>
  </si>
  <si>
    <t>D02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</si>
  <si>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</si>
  <si>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</si>
  <si>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</si>
  <si>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</si>
  <si>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</si>
  <si>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</si>
  <si>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</si>
  <si>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</si>
  <si>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</si>
  <si>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</si>
  <si>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G01</t>
  </si>
  <si>
    <t>H01</t>
  </si>
  <si>
    <t>H02</t>
  </si>
  <si>
    <t>I01</t>
  </si>
  <si>
    <t>J02</t>
  </si>
  <si>
    <t>K01</t>
  </si>
  <si>
    <t>L01</t>
  </si>
  <si>
    <t>M01</t>
  </si>
  <si>
    <t>M02</t>
  </si>
  <si>
    <t>M03</t>
  </si>
  <si>
    <t>N01</t>
  </si>
  <si>
    <t xml:space="preserve">Náklady v tis. EUR </t>
  </si>
  <si>
    <t>Variant čiastk. úseku</t>
  </si>
  <si>
    <t>Celkové</t>
  </si>
  <si>
    <t>Náklady v tis. EUR - celkové</t>
  </si>
  <si>
    <t>Základné</t>
  </si>
  <si>
    <t>Náklady v tis. EUR - základné</t>
  </si>
  <si>
    <t xml:space="preserve">Príjmy ŽSR za prístup k železničnej infraštruktúre - Alternatíva 1  </t>
  </si>
  <si>
    <t>Analýza citlivosti</t>
  </si>
  <si>
    <t>Analýza vstupných premenných a ich vplyv na ENPV</t>
  </si>
  <si>
    <t>Vstupná premenná</t>
  </si>
  <si>
    <t>zmena premennej</t>
  </si>
  <si>
    <t>ENPV</t>
  </si>
  <si>
    <t xml:space="preserve">% zmena ENPV </t>
  </si>
  <si>
    <t xml:space="preserve">zmena premennej </t>
  </si>
  <si>
    <t>Úspory nákladov na prevádzku a údržbu ŽI</t>
  </si>
  <si>
    <t>Úspora nákladov na prevádzku vozidiel</t>
  </si>
  <si>
    <t>Hodnota času v osobnej doprave</t>
  </si>
  <si>
    <t>Hodnota nákladov na nehody</t>
  </si>
  <si>
    <t>Rast HDP</t>
  </si>
  <si>
    <t>Miera rastu dopravy</t>
  </si>
  <si>
    <t xml:space="preserve">Základná hodnota ENPV  </t>
  </si>
  <si>
    <t>Body zlomu pre kritické premenné</t>
  </si>
  <si>
    <t>Kritická premenná</t>
  </si>
  <si>
    <t>% zmena pri ENPV = 0</t>
  </si>
  <si>
    <t>Analýza scenárov</t>
  </si>
  <si>
    <t>Zmeny hodnôt kritických premenných v %</t>
  </si>
  <si>
    <t>Optimistický scenár</t>
  </si>
  <si>
    <t>Pesimistický scenár</t>
  </si>
  <si>
    <t>Hodnoty ekonomických parametrov</t>
  </si>
  <si>
    <t>FNPV</t>
  </si>
  <si>
    <t>ERR</t>
  </si>
  <si>
    <t>Parametre</t>
  </si>
  <si>
    <t>Vstupné dáta</t>
  </si>
  <si>
    <t>Doprava</t>
  </si>
  <si>
    <t xml:space="preserve">ERTMS + oprava/modernizácia úsekov Devínska Nová Ves - Bratislava-Lamač </t>
  </si>
  <si>
    <t>Nová odbočka Ružinov (1. etapa)</t>
  </si>
  <si>
    <t>Zrušenie koľajiska filiálka</t>
  </si>
  <si>
    <t>Stav v r. 2040 po realizácii 3. etapy</t>
  </si>
  <si>
    <t>Po r. 2040</t>
  </si>
  <si>
    <t xml:space="preserve">Opravy v úsekoch BA-Petržalka - Rusovce, Rusovce - Rusovce št. hr. </t>
  </si>
  <si>
    <t>Oprava úseku Ba-Nové Mesto - P. Biskupice</t>
  </si>
  <si>
    <t>Ekonomická miera návratnosti (ERR)</t>
  </si>
  <si>
    <t xml:space="preserve">Jednotkové spoločenské náklady z nehôd v CÚ 2018 </t>
  </si>
  <si>
    <t>€/1 000 vzkm</t>
  </si>
  <si>
    <t>€/1 000 oskm</t>
  </si>
  <si>
    <t>€/1 000 čtkm</t>
  </si>
  <si>
    <t>CBA Príručka Tab. 26, 27 a 28 + Príručka Jaspers Tab. A5</t>
  </si>
  <si>
    <t>CBA Príručka Tab. 29 - 33 + výpočet (riadky 98 - 119)</t>
  </si>
  <si>
    <t>Opatrenie Dráhového úradu č. 2/2018</t>
  </si>
  <si>
    <t>U4</t>
  </si>
  <si>
    <t>Výška úhrad za prístup k ŽI v rozsahu minimálneho prístupového balíka (platnosť od 1.1.2019)</t>
  </si>
  <si>
    <t>Výška úhrad za prístup a služby v servisných zariadeniach (od 1.1.2019)</t>
  </si>
  <si>
    <t>Usz1</t>
  </si>
  <si>
    <r>
      <t>A</t>
    </r>
    <r>
      <rPr>
        <vertAlign val="subscript"/>
        <sz val="11"/>
        <color indexed="8"/>
        <rFont val="Arial"/>
        <family val="2"/>
      </rPr>
      <t>OD</t>
    </r>
  </si>
  <si>
    <r>
      <t>B</t>
    </r>
    <r>
      <rPr>
        <vertAlign val="subscript"/>
        <sz val="11"/>
        <color indexed="8"/>
        <rFont val="Arial"/>
        <family val="2"/>
      </rPr>
      <t>OD</t>
    </r>
  </si>
  <si>
    <r>
      <t>C</t>
    </r>
    <r>
      <rPr>
        <vertAlign val="subscript"/>
        <sz val="11"/>
        <color indexed="8"/>
        <rFont val="Arial"/>
        <family val="2"/>
      </rPr>
      <t>OD</t>
    </r>
  </si>
  <si>
    <t>Usz1 (vlaky osobnej dopravy)</t>
  </si>
  <si>
    <t>Úhrada za prístup k staniciam osobnej dopravy</t>
  </si>
  <si>
    <t>Bratislava-Vrakuňa z</t>
  </si>
  <si>
    <t>Úhrada za miesta predaja prepravných dokladov</t>
  </si>
  <si>
    <t xml:space="preserve">Usz2 </t>
  </si>
  <si>
    <t>€/m2/mesiac</t>
  </si>
  <si>
    <t>Apm</t>
  </si>
  <si>
    <t>Bpm</t>
  </si>
  <si>
    <t>Úhrada za prístup k zriaďovacím staniciam</t>
  </si>
  <si>
    <t>Kategória dopravného bodu</t>
  </si>
  <si>
    <t>Kategória dopravného bodu pre vlaky osobnej dopravy</t>
  </si>
  <si>
    <t>Kategória dopravného bodu pre nákladnú dopravu</t>
  </si>
  <si>
    <r>
      <t>A</t>
    </r>
    <r>
      <rPr>
        <sz val="8"/>
        <color indexed="8"/>
        <rFont val="Arial"/>
        <family val="2"/>
      </rPr>
      <t>ND</t>
    </r>
  </si>
  <si>
    <r>
      <t>B</t>
    </r>
    <r>
      <rPr>
        <sz val="8"/>
        <color indexed="8"/>
        <rFont val="Arial"/>
        <family val="2"/>
      </rPr>
      <t>ND</t>
    </r>
  </si>
  <si>
    <r>
      <t>C</t>
    </r>
    <r>
      <rPr>
        <sz val="8"/>
        <color indexed="8"/>
        <rFont val="Arial"/>
        <family val="2"/>
      </rPr>
      <t>ND</t>
    </r>
  </si>
  <si>
    <r>
      <t>D</t>
    </r>
    <r>
      <rPr>
        <sz val="8"/>
        <color indexed="8"/>
        <rFont val="Arial"/>
        <family val="2"/>
      </rPr>
      <t>ND</t>
    </r>
  </si>
  <si>
    <t>Usz3</t>
  </si>
  <si>
    <t>€/prístup vlaku</t>
  </si>
  <si>
    <t>Úhrada za použitie odstavných koľají</t>
  </si>
  <si>
    <t>Usz4</t>
  </si>
  <si>
    <t>€/24 hod/1 vozeň</t>
  </si>
  <si>
    <t>U3+U4</t>
  </si>
  <si>
    <t>Úhrada za prístup k staniciam</t>
  </si>
  <si>
    <t>Opatrenie Dráhového úradu 2/2018 + pomôcky k GVD</t>
  </si>
  <si>
    <t>Nákladný vlak  Bratislava - Žilina -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</si>
</sst>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#,##0.00\ &quot;€&quot;;[Red]\-#,##0.00\ &quot;€&quot;"/>
    <numFmt numFmtId="165" formatCode="_-* #,##0.00\ _€_-;\-* #,##0.00\ _€_-;_-* &quot;-&quot;??\ _€_-;_-@_-"/>
    <numFmt numFmtId="166" formatCode="0.0%"/>
    <numFmt numFmtId="167" formatCode="0.000"/>
    <numFmt numFmtId="168" formatCode="_-* #,##0\ _€_-;\-* #,##0\ _€_-;_-* &quot;-&quot;??\ _€_-;_-@_-"/>
    <numFmt numFmtId="169" formatCode="_-* #,##0.000\ _€_-;\-* #,##0.000\ _€_-;_-* &quot;-&quot;??\ _€_-;_-@_-"/>
    <numFmt numFmtId="170" formatCode="_-* #,##0.0000\ _€_-;\-* #,##0.0000\ _€_-;_-* &quot;-&quot;??\ _€_-;_-@_-"/>
    <numFmt numFmtId="171" formatCode="0.0000"/>
    <numFmt numFmtId="172" formatCode="0_ ;\-0\ "/>
    <numFmt numFmtId="173" formatCode="#,##0.00_ ;[Red]\-#,##0.00\ "/>
    <numFmt numFmtId="174" formatCode="#,##0.00_ ;\-#,##0.00\ "/>
    <numFmt numFmtId="175" formatCode="#,##0.000"/>
    <numFmt numFmtId="176" formatCode="#,##0.000\ &quot;€&quot;"/>
  </numFmts>
  <fonts count="39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1"/>
      <color indexed="8"/>
      <name val="Arial"/>
      <family val="2"/>
    </font>
    <font>
      <b/>
      <sz val="12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sz val="11"/>
      <color indexed="40"/>
      <name val="Arial"/>
      <family val="2"/>
    </font>
    <font>
      <sz val="8"/>
      <name val="Calibri"/>
      <family val="2"/>
      <charset val="238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sz val="11"/>
      <color theme="0" tint="-0.14999847407452621"/>
      <name val="Arial"/>
      <family val="2"/>
    </font>
    <font>
      <sz val="11"/>
      <color theme="0"/>
      <name val="Arial"/>
      <family val="2"/>
    </font>
    <font>
      <i/>
      <sz val="11"/>
      <color indexed="8"/>
      <name val="Arial"/>
      <family val="2"/>
      <charset val="238"/>
    </font>
    <font>
      <sz val="11"/>
      <color rgb="FFFF0000"/>
      <name val="Arial"/>
      <family val="2"/>
    </font>
    <font>
      <sz val="11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1"/>
      <name val="Arial"/>
      <family val="2"/>
      <charset val="238"/>
    </font>
    <font>
      <sz val="11"/>
      <color rgb="FF000000"/>
      <name val="Arial"/>
      <family val="2"/>
    </font>
    <font>
      <vertAlign val="subscript"/>
      <sz val="11"/>
      <color indexed="8"/>
      <name val="Arial"/>
      <family val="2"/>
    </font>
    <font>
      <sz val="11"/>
      <color indexed="8"/>
      <name val="Calibri"/>
      <family val="2"/>
    </font>
    <font>
      <sz val="8"/>
      <color theme="1"/>
      <name val="Calibri"/>
      <family val="2"/>
      <charset val="238"/>
      <scheme val="minor"/>
    </font>
    <font>
      <sz val="10"/>
      <name val="Arial CE"/>
      <family val="2"/>
      <charset val="238"/>
    </font>
    <font>
      <b/>
      <sz val="10"/>
      <name val="Arial CE"/>
      <charset val="238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 CE"/>
      <family val="2"/>
      <charset val="238"/>
    </font>
    <font>
      <b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11"/>
      <color theme="1"/>
      <name val="Calibri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9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2" fillId="0" borderId="0" xfId="0" applyFont="1" applyFill="1"/>
    <xf numFmtId="0" fontId="2" fillId="0" borderId="0" xfId="0" applyFont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 applyAlignment="1">
      <alignment horizontal="left"/>
    </xf>
    <xf numFmtId="167" fontId="2" fillId="0" borderId="1" xfId="0" applyNumberFormat="1" applyFont="1" applyFill="1" applyBorder="1"/>
    <xf numFmtId="0" fontId="6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1" xfId="1" applyFont="1" applyBorder="1"/>
    <xf numFmtId="0" fontId="6" fillId="0" borderId="0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center" wrapText="1"/>
    </xf>
    <xf numFmtId="168" fontId="2" fillId="0" borderId="0" xfId="1" applyNumberFormat="1" applyFont="1"/>
    <xf numFmtId="168" fontId="2" fillId="0" borderId="1" xfId="1" applyNumberFormat="1" applyFont="1" applyBorder="1"/>
    <xf numFmtId="0" fontId="2" fillId="0" borderId="0" xfId="0" applyFont="1" applyFill="1" applyBorder="1"/>
    <xf numFmtId="9" fontId="6" fillId="0" borderId="1" xfId="2" applyFont="1" applyFill="1" applyBorder="1" applyAlignment="1">
      <alignment horizontal="right"/>
    </xf>
    <xf numFmtId="165" fontId="2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2" fillId="0" borderId="1" xfId="1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168" fontId="2" fillId="0" borderId="0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68" fontId="2" fillId="0" borderId="1" xfId="1" applyNumberFormat="1" applyFont="1" applyFill="1" applyBorder="1"/>
    <xf numFmtId="168" fontId="6" fillId="0" borderId="1" xfId="1" applyNumberFormat="1" applyFont="1" applyFill="1" applyBorder="1"/>
    <xf numFmtId="0" fontId="4" fillId="0" borderId="0" xfId="0" applyFont="1" applyFill="1"/>
    <xf numFmtId="3" fontId="2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right"/>
    </xf>
    <xf numFmtId="168" fontId="2" fillId="0" borderId="0" xfId="1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/>
    <xf numFmtId="168" fontId="2" fillId="0" borderId="0" xfId="1" applyNumberFormat="1" applyFont="1" applyBorder="1"/>
    <xf numFmtId="168" fontId="2" fillId="0" borderId="0" xfId="0" applyNumberFormat="1" applyFont="1"/>
    <xf numFmtId="0" fontId="10" fillId="0" borderId="0" xfId="0" applyFont="1"/>
    <xf numFmtId="168" fontId="2" fillId="0" borderId="0" xfId="1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0" fillId="0" borderId="1" xfId="0" applyFont="1" applyBorder="1"/>
    <xf numFmtId="168" fontId="2" fillId="0" borderId="1" xfId="1" applyNumberFormat="1" applyFont="1" applyBorder="1" applyAlignment="1">
      <alignment horizontal="center" shrinkToFit="1"/>
    </xf>
    <xf numFmtId="0" fontId="11" fillId="2" borderId="1" xfId="0" applyFont="1" applyFill="1" applyBorder="1"/>
    <xf numFmtId="3" fontId="2" fillId="2" borderId="1" xfId="0" applyNumberFormat="1" applyFont="1" applyFill="1" applyBorder="1"/>
    <xf numFmtId="168" fontId="2" fillId="2" borderId="1" xfId="1" applyNumberFormat="1" applyFont="1" applyFill="1" applyBorder="1"/>
    <xf numFmtId="9" fontId="2" fillId="2" borderId="1" xfId="2" applyFont="1" applyFill="1" applyBorder="1"/>
    <xf numFmtId="0" fontId="12" fillId="2" borderId="0" xfId="0" applyFont="1" applyFill="1"/>
    <xf numFmtId="0" fontId="6" fillId="2" borderId="1" xfId="0" applyFont="1" applyFill="1" applyBorder="1" applyAlignment="1">
      <alignment horizontal="center"/>
    </xf>
    <xf numFmtId="168" fontId="2" fillId="0" borderId="0" xfId="1" applyNumberFormat="1" applyFont="1" applyFill="1" applyBorder="1"/>
    <xf numFmtId="10" fontId="2" fillId="2" borderId="1" xfId="1" applyNumberFormat="1" applyFont="1" applyFill="1" applyBorder="1" applyAlignment="1">
      <alignment horizontal="center"/>
    </xf>
    <xf numFmtId="0" fontId="2" fillId="0" borderId="2" xfId="0" applyFont="1" applyBorder="1"/>
    <xf numFmtId="10" fontId="2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65" fontId="6" fillId="0" borderId="1" xfId="1" applyFont="1" applyBorder="1" applyAlignment="1">
      <alignment horizontal="center"/>
    </xf>
    <xf numFmtId="165" fontId="2" fillId="0" borderId="0" xfId="1" applyFont="1" applyBorder="1" applyAlignment="1">
      <alignment horizontal="center"/>
    </xf>
    <xf numFmtId="165" fontId="2" fillId="0" borderId="0" xfId="0" applyNumberFormat="1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169" fontId="2" fillId="0" borderId="0" xfId="0" applyNumberFormat="1" applyFont="1"/>
    <xf numFmtId="169" fontId="2" fillId="0" borderId="0" xfId="1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9" fillId="0" borderId="0" xfId="0" applyFont="1" applyBorder="1"/>
    <xf numFmtId="2" fontId="2" fillId="0" borderId="0" xfId="0" applyNumberFormat="1" applyFont="1" applyFill="1" applyBorder="1"/>
    <xf numFmtId="168" fontId="2" fillId="0" borderId="1" xfId="1" applyNumberFormat="1" applyFont="1" applyBorder="1" applyAlignment="1">
      <alignment horizontal="left"/>
    </xf>
    <xf numFmtId="168" fontId="2" fillId="0" borderId="0" xfId="0" applyNumberFormat="1" applyFont="1" applyBorder="1" applyAlignment="1"/>
    <xf numFmtId="49" fontId="6" fillId="2" borderId="1" xfId="0" applyNumberFormat="1" applyFont="1" applyFill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/>
    </xf>
    <xf numFmtId="0" fontId="6" fillId="2" borderId="1" xfId="0" applyFont="1" applyFill="1" applyBorder="1"/>
    <xf numFmtId="165" fontId="2" fillId="0" borderId="0" xfId="0" applyNumberFormat="1" applyFont="1"/>
    <xf numFmtId="0" fontId="12" fillId="2" borderId="1" xfId="0" applyFont="1" applyFill="1" applyBorder="1"/>
    <xf numFmtId="164" fontId="2" fillId="0" borderId="0" xfId="0" applyNumberFormat="1" applyFont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left"/>
    </xf>
    <xf numFmtId="168" fontId="2" fillId="0" borderId="1" xfId="0" applyNumberFormat="1" applyFont="1" applyFill="1" applyBorder="1"/>
    <xf numFmtId="49" fontId="6" fillId="2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left"/>
    </xf>
    <xf numFmtId="10" fontId="2" fillId="0" borderId="0" xfId="1" applyNumberFormat="1" applyFont="1" applyBorder="1" applyAlignment="1">
      <alignment horizontal="center"/>
    </xf>
    <xf numFmtId="168" fontId="6" fillId="0" borderId="1" xfId="1" applyNumberFormat="1" applyFont="1" applyFill="1" applyBorder="1" applyAlignment="1">
      <alignment horizontal="right"/>
    </xf>
    <xf numFmtId="168" fontId="8" fillId="0" borderId="1" xfId="1" applyNumberFormat="1" applyFont="1" applyFill="1" applyBorder="1"/>
    <xf numFmtId="170" fontId="2" fillId="0" borderId="1" xfId="1" applyNumberFormat="1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71" fontId="2" fillId="0" borderId="1" xfId="1" applyNumberFormat="1" applyFont="1" applyBorder="1" applyAlignment="1">
      <alignment horizontal="center"/>
    </xf>
    <xf numFmtId="172" fontId="2" fillId="0" borderId="1" xfId="1" applyNumberFormat="1" applyFont="1" applyBorder="1" applyAlignment="1">
      <alignment horizontal="center"/>
    </xf>
    <xf numFmtId="0" fontId="8" fillId="0" borderId="0" xfId="0" applyFont="1"/>
    <xf numFmtId="0" fontId="10" fillId="0" borderId="0" xfId="0" applyFont="1" applyBorder="1"/>
    <xf numFmtId="0" fontId="6" fillId="0" borderId="4" xfId="0" applyFont="1" applyFill="1" applyBorder="1"/>
    <xf numFmtId="168" fontId="6" fillId="0" borderId="4" xfId="1" applyNumberFormat="1" applyFont="1" applyFill="1" applyBorder="1"/>
    <xf numFmtId="169" fontId="6" fillId="0" borderId="0" xfId="0" applyNumberFormat="1" applyFont="1" applyBorder="1" applyAlignment="1">
      <alignment horizontal="center"/>
    </xf>
    <xf numFmtId="0" fontId="7" fillId="0" borderId="0" xfId="0" applyFont="1"/>
    <xf numFmtId="165" fontId="2" fillId="0" borderId="1" xfId="1" applyNumberFormat="1" applyFont="1" applyBorder="1" applyAlignment="1">
      <alignment horizontal="center"/>
    </xf>
    <xf numFmtId="168" fontId="6" fillId="0" borderId="1" xfId="1" applyNumberFormat="1" applyFont="1" applyBorder="1"/>
    <xf numFmtId="168" fontId="6" fillId="0" borderId="0" xfId="1" applyNumberFormat="1" applyFont="1" applyBorder="1"/>
    <xf numFmtId="168" fontId="15" fillId="0" borderId="1" xfId="1" applyNumberFormat="1" applyFont="1" applyBorder="1"/>
    <xf numFmtId="0" fontId="15" fillId="0" borderId="1" xfId="0" applyFont="1" applyBorder="1"/>
    <xf numFmtId="167" fontId="6" fillId="0" borderId="1" xfId="0" applyNumberFormat="1" applyFont="1" applyBorder="1" applyAlignment="1">
      <alignment horizontal="center"/>
    </xf>
    <xf numFmtId="167" fontId="6" fillId="0" borderId="1" xfId="1" applyNumberFormat="1" applyFont="1" applyBorder="1" applyAlignment="1">
      <alignment horizontal="center"/>
    </xf>
    <xf numFmtId="9" fontId="7" fillId="2" borderId="0" xfId="2" applyFont="1" applyFill="1" applyBorder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168" fontId="17" fillId="0" borderId="0" xfId="0" applyNumberFormat="1" applyFont="1"/>
    <xf numFmtId="170" fontId="15" fillId="0" borderId="1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8" fillId="0" borderId="0" xfId="0" applyFont="1"/>
    <xf numFmtId="0" fontId="2" fillId="0" borderId="1" xfId="0" applyFont="1" applyBorder="1" applyAlignment="1">
      <alignment horizontal="center"/>
    </xf>
    <xf numFmtId="173" fontId="2" fillId="0" borderId="0" xfId="0" applyNumberFormat="1" applyFont="1" applyAlignment="1">
      <alignment horizontal="center"/>
    </xf>
    <xf numFmtId="174" fontId="2" fillId="0" borderId="0" xfId="1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8" fontId="16" fillId="0" borderId="0" xfId="0" applyNumberFormat="1" applyFont="1" applyFill="1" applyBorder="1" applyAlignment="1">
      <alignment horizontal="center"/>
    </xf>
    <xf numFmtId="168" fontId="16" fillId="0" borderId="0" xfId="0" applyNumberFormat="1" applyFont="1" applyFill="1" applyAlignment="1">
      <alignment horizontal="center"/>
    </xf>
    <xf numFmtId="0" fontId="19" fillId="0" borderId="1" xfId="0" applyFont="1" applyFill="1" applyBorder="1"/>
    <xf numFmtId="168" fontId="19" fillId="0" borderId="1" xfId="1" applyNumberFormat="1" applyFont="1" applyBorder="1" applyAlignment="1">
      <alignment horizontal="center"/>
    </xf>
    <xf numFmtId="0" fontId="19" fillId="0" borderId="0" xfId="0" applyFont="1"/>
    <xf numFmtId="0" fontId="19" fillId="0" borderId="1" xfId="0" applyFont="1" applyBorder="1"/>
    <xf numFmtId="3" fontId="2" fillId="0" borderId="0" xfId="0" applyNumberFormat="1" applyFont="1"/>
    <xf numFmtId="165" fontId="2" fillId="0" borderId="1" xfId="1" applyFont="1" applyFill="1" applyBorder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168" fontId="19" fillId="0" borderId="1" xfId="1" applyNumberFormat="1" applyFont="1" applyFill="1" applyBorder="1" applyAlignment="1">
      <alignment horizontal="center"/>
    </xf>
    <xf numFmtId="168" fontId="2" fillId="0" borderId="0" xfId="0" applyNumberFormat="1" applyFont="1" applyFill="1" applyAlignment="1">
      <alignment horizontal="center"/>
    </xf>
    <xf numFmtId="0" fontId="0" fillId="0" borderId="0" xfId="0" applyFill="1"/>
    <xf numFmtId="168" fontId="16" fillId="0" borderId="0" xfId="1" applyNumberFormat="1" applyFont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20" fillId="0" borderId="0" xfId="1" applyNumberFormat="1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49" fontId="6" fillId="2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15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171" fontId="15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10" fontId="5" fillId="0" borderId="1" xfId="2" applyNumberFormat="1" applyFont="1" applyBorder="1" applyAlignment="1">
      <alignment horizontal="center"/>
    </xf>
    <xf numFmtId="10" fontId="5" fillId="0" borderId="1" xfId="2" applyNumberFormat="1" applyFont="1" applyFill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1" xfId="2" applyNumberFormat="1" applyFont="1" applyFill="1" applyBorder="1" applyAlignment="1">
      <alignment horizontal="center"/>
    </xf>
    <xf numFmtId="0" fontId="20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8" fontId="6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71" fontId="22" fillId="0" borderId="1" xfId="0" applyNumberFormat="1" applyFont="1" applyBorder="1" applyAlignment="1">
      <alignment horizontal="center" vertical="center"/>
    </xf>
    <xf numFmtId="0" fontId="23" fillId="0" borderId="0" xfId="0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0" xfId="0" applyFont="1" applyFill="1"/>
    <xf numFmtId="0" fontId="24" fillId="3" borderId="1" xfId="0" applyFont="1" applyFill="1" applyBorder="1" applyAlignment="1">
      <alignment horizontal="center" vertical="center"/>
    </xf>
    <xf numFmtId="167" fontId="24" fillId="3" borderId="1" xfId="0" applyNumberFormat="1" applyFont="1" applyFill="1" applyBorder="1" applyAlignment="1">
      <alignment horizontal="center" vertical="center"/>
    </xf>
    <xf numFmtId="167" fontId="2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/>
    <xf numFmtId="165" fontId="15" fillId="0" borderId="1" xfId="1" applyNumberFormat="1" applyFont="1" applyBorder="1"/>
    <xf numFmtId="0" fontId="2" fillId="0" borderId="5" xfId="0" applyFont="1" applyBorder="1" applyAlignment="1"/>
    <xf numFmtId="0" fontId="15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49" fontId="6" fillId="2" borderId="1" xfId="0" applyNumberFormat="1" applyFont="1" applyFill="1" applyBorder="1" applyAlignment="1">
      <alignment horizontal="center" vertical="center" wrapText="1"/>
    </xf>
    <xf numFmtId="168" fontId="2" fillId="0" borderId="3" xfId="1" applyNumberFormat="1" applyFont="1" applyBorder="1" applyAlignment="1">
      <alignment horizontal="center"/>
    </xf>
    <xf numFmtId="168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/>
    <xf numFmtId="165" fontId="2" fillId="0" borderId="1" xfId="1" applyFont="1" applyBorder="1" applyAlignment="1">
      <alignment horizontal="center" vertical="center"/>
    </xf>
    <xf numFmtId="2" fontId="2" fillId="0" borderId="0" xfId="0" applyNumberFormat="1" applyFont="1"/>
    <xf numFmtId="165" fontId="6" fillId="0" borderId="1" xfId="1" applyFont="1" applyBorder="1"/>
    <xf numFmtId="9" fontId="2" fillId="0" borderId="0" xfId="2" applyFont="1" applyBorder="1"/>
    <xf numFmtId="0" fontId="2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168" fontId="20" fillId="0" borderId="0" xfId="1" applyNumberFormat="1" applyFont="1" applyBorder="1"/>
    <xf numFmtId="0" fontId="2" fillId="0" borderId="1" xfId="0" applyFont="1" applyBorder="1" applyAlignment="1">
      <alignment horizontal="center"/>
    </xf>
    <xf numFmtId="0" fontId="12" fillId="0" borderId="0" xfId="0" applyFont="1"/>
    <xf numFmtId="165" fontId="6" fillId="0" borderId="1" xfId="1" applyNumberFormat="1" applyFont="1" applyBorder="1" applyAlignment="1">
      <alignment horizontal="center"/>
    </xf>
    <xf numFmtId="165" fontId="20" fillId="0" borderId="0" xfId="1" applyFont="1"/>
    <xf numFmtId="165" fontId="20" fillId="0" borderId="0" xfId="0" applyNumberFormat="1" applyFont="1"/>
    <xf numFmtId="165" fontId="6" fillId="0" borderId="1" xfId="0" applyNumberFormat="1" applyFont="1" applyBorder="1"/>
    <xf numFmtId="165" fontId="2" fillId="0" borderId="0" xfId="1" applyFont="1"/>
    <xf numFmtId="10" fontId="5" fillId="0" borderId="0" xfId="2" applyNumberFormat="1" applyFont="1" applyBorder="1" applyAlignment="1">
      <alignment horizontal="center"/>
    </xf>
    <xf numFmtId="1" fontId="5" fillId="0" borderId="1" xfId="2" applyNumberFormat="1" applyFont="1" applyBorder="1" applyAlignment="1">
      <alignment horizontal="center"/>
    </xf>
    <xf numFmtId="165" fontId="5" fillId="0" borderId="1" xfId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8" fontId="2" fillId="0" borderId="0" xfId="0" applyNumberFormat="1" applyFont="1" applyFill="1"/>
    <xf numFmtId="168" fontId="2" fillId="0" borderId="0" xfId="0" applyNumberFormat="1" applyFont="1" applyFill="1" applyBorder="1"/>
    <xf numFmtId="168" fontId="15" fillId="0" borderId="0" xfId="1" applyNumberFormat="1" applyFont="1" applyBorder="1"/>
    <xf numFmtId="0" fontId="27" fillId="0" borderId="9" xfId="0" applyFont="1" applyBorder="1" applyAlignment="1" applyProtection="1">
      <alignment horizontal="center" vertical="center"/>
      <protection locked="0" hidden="1"/>
    </xf>
    <xf numFmtId="0" fontId="27" fillId="0" borderId="3" xfId="0" applyFont="1" applyBorder="1" applyAlignment="1" applyProtection="1">
      <alignment horizontal="center" vertical="center"/>
      <protection locked="0" hidden="1"/>
    </xf>
    <xf numFmtId="0" fontId="27" fillId="0" borderId="1" xfId="0" applyFont="1" applyBorder="1" applyAlignment="1" applyProtection="1">
      <alignment horizontal="center" vertical="center"/>
      <protection locked="0" hidden="1"/>
    </xf>
    <xf numFmtId="168" fontId="0" fillId="0" borderId="0" xfId="0" applyNumberFormat="1"/>
    <xf numFmtId="165" fontId="0" fillId="0" borderId="1" xfId="1" applyFont="1" applyBorder="1"/>
    <xf numFmtId="175" fontId="28" fillId="4" borderId="10" xfId="0" applyNumberFormat="1" applyFont="1" applyFill="1" applyBorder="1" applyAlignment="1">
      <alignment vertical="center"/>
    </xf>
    <xf numFmtId="175" fontId="28" fillId="4" borderId="1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170" fontId="2" fillId="0" borderId="0" xfId="1" applyNumberFormat="1" applyFont="1" applyBorder="1" applyAlignment="1">
      <alignment horizontal="center"/>
    </xf>
    <xf numFmtId="170" fontId="6" fillId="0" borderId="1" xfId="1" applyNumberFormat="1" applyFont="1" applyBorder="1" applyAlignment="1">
      <alignment horizontal="center"/>
    </xf>
    <xf numFmtId="0" fontId="27" fillId="6" borderId="3" xfId="0" applyFont="1" applyFill="1" applyBorder="1" applyAlignment="1" applyProtection="1">
      <alignment horizontal="center" vertical="center"/>
      <protection locked="0" hidden="1"/>
    </xf>
    <xf numFmtId="0" fontId="27" fillId="6" borderId="1" xfId="0" applyFont="1" applyFill="1" applyBorder="1" applyAlignment="1" applyProtection="1">
      <alignment horizontal="center" vertical="center"/>
      <protection locked="0" hidden="1"/>
    </xf>
    <xf numFmtId="0" fontId="27" fillId="6" borderId="9" xfId="0" applyFont="1" applyFill="1" applyBorder="1" applyAlignment="1" applyProtection="1">
      <alignment horizontal="center" vertical="center"/>
      <protection locked="0" hidden="1"/>
    </xf>
    <xf numFmtId="175" fontId="29" fillId="5" borderId="12" xfId="0" applyNumberFormat="1" applyFont="1" applyFill="1" applyBorder="1" applyAlignment="1">
      <alignment vertical="center"/>
    </xf>
    <xf numFmtId="168" fontId="2" fillId="0" borderId="0" xfId="1" applyNumberFormat="1" applyFont="1" applyFill="1"/>
    <xf numFmtId="0" fontId="2" fillId="0" borderId="1" xfId="0" applyFont="1" applyBorder="1" applyAlignment="1">
      <alignment horizontal="center"/>
    </xf>
    <xf numFmtId="168" fontId="20" fillId="0" borderId="0" xfId="0" applyNumberFormat="1" applyFont="1"/>
    <xf numFmtId="0" fontId="15" fillId="0" borderId="0" xfId="0" applyFont="1"/>
    <xf numFmtId="0" fontId="12" fillId="0" borderId="0" xfId="0" applyFont="1" applyBorder="1"/>
    <xf numFmtId="168" fontId="1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6" fillId="0" borderId="1" xfId="2" applyNumberFormat="1" applyFont="1" applyBorder="1" applyAlignment="1">
      <alignment horizontal="center"/>
    </xf>
    <xf numFmtId="168" fontId="30" fillId="0" borderId="0" xfId="1" applyNumberFormat="1" applyFont="1" applyFill="1"/>
    <xf numFmtId="168" fontId="31" fillId="0" borderId="0" xfId="1" applyNumberFormat="1" applyFont="1" applyFill="1"/>
    <xf numFmtId="0" fontId="31" fillId="0" borderId="0" xfId="0" applyFont="1" applyFill="1"/>
    <xf numFmtId="176" fontId="2" fillId="0" borderId="0" xfId="0" applyNumberFormat="1" applyFont="1" applyFill="1"/>
    <xf numFmtId="10" fontId="6" fillId="0" borderId="0" xfId="1" applyNumberFormat="1" applyFont="1" applyBorder="1" applyAlignment="1">
      <alignment horizontal="left"/>
    </xf>
    <xf numFmtId="0" fontId="2" fillId="0" borderId="2" xfId="0" applyFont="1" applyFill="1" applyBorder="1"/>
    <xf numFmtId="168" fontId="6" fillId="0" borderId="2" xfId="1" applyNumberFormat="1" applyFont="1" applyFill="1" applyBorder="1" applyAlignment="1">
      <alignment horizontal="right"/>
    </xf>
    <xf numFmtId="168" fontId="6" fillId="0" borderId="2" xfId="1" applyNumberFormat="1" applyFont="1" applyFill="1" applyBorder="1"/>
    <xf numFmtId="168" fontId="6" fillId="0" borderId="13" xfId="1" applyNumberFormat="1" applyFont="1" applyFill="1" applyBorder="1"/>
    <xf numFmtId="0" fontId="2" fillId="0" borderId="2" xfId="0" applyFont="1" applyFill="1" applyBorder="1" applyAlignment="1">
      <alignment horizontal="center"/>
    </xf>
    <xf numFmtId="168" fontId="2" fillId="0" borderId="2" xfId="1" applyNumberFormat="1" applyFont="1" applyFill="1" applyBorder="1"/>
    <xf numFmtId="0" fontId="32" fillId="4" borderId="1" xfId="0" applyFont="1" applyFill="1" applyBorder="1" applyAlignment="1"/>
    <xf numFmtId="0" fontId="26" fillId="0" borderId="0" xfId="0" applyFont="1"/>
    <xf numFmtId="0" fontId="15" fillId="0" borderId="1" xfId="0" applyFont="1" applyBorder="1" applyAlignment="1">
      <alignment wrapText="1"/>
    </xf>
    <xf numFmtId="168" fontId="15" fillId="0" borderId="0" xfId="1" applyNumberFormat="1" applyFont="1"/>
    <xf numFmtId="168" fontId="15" fillId="0" borderId="1" xfId="0" applyNumberFormat="1" applyFont="1" applyBorder="1"/>
    <xf numFmtId="165" fontId="15" fillId="0" borderId="1" xfId="0" applyNumberFormat="1" applyFont="1" applyBorder="1"/>
    <xf numFmtId="168" fontId="15" fillId="0" borderId="1" xfId="1" applyNumberFormat="1" applyFont="1" applyBorder="1" applyAlignment="1">
      <alignment shrinkToFit="1"/>
    </xf>
    <xf numFmtId="168" fontId="15" fillId="0" borderId="1" xfId="0" applyNumberFormat="1" applyFont="1" applyBorder="1" applyAlignment="1">
      <alignment shrinkToFit="1"/>
    </xf>
    <xf numFmtId="0" fontId="34" fillId="0" borderId="0" xfId="0" applyFont="1"/>
    <xf numFmtId="169" fontId="20" fillId="0" borderId="0" xfId="1" applyNumberFormat="1" applyFont="1" applyFill="1" applyAlignment="1">
      <alignment horizontal="center"/>
    </xf>
    <xf numFmtId="165" fontId="20" fillId="0" borderId="0" xfId="1" applyFont="1" applyFill="1" applyBorder="1" applyAlignment="1">
      <alignment horizontal="center"/>
    </xf>
    <xf numFmtId="165" fontId="2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6" fillId="0" borderId="0" xfId="0" applyFont="1" applyFill="1" applyBorder="1"/>
    <xf numFmtId="168" fontId="0" fillId="0" borderId="0" xfId="2" applyNumberFormat="1" applyFont="1" applyBorder="1"/>
    <xf numFmtId="0" fontId="15" fillId="0" borderId="0" xfId="0" applyFont="1" applyBorder="1"/>
    <xf numFmtId="0" fontId="15" fillId="0" borderId="7" xfId="0" applyFont="1" applyBorder="1"/>
    <xf numFmtId="0" fontId="35" fillId="0" borderId="9" xfId="0" applyFont="1" applyBorder="1" applyAlignment="1" applyProtection="1">
      <alignment horizontal="center" vertical="center"/>
      <protection locked="0" hidden="1"/>
    </xf>
    <xf numFmtId="0" fontId="35" fillId="0" borderId="3" xfId="0" applyFont="1" applyBorder="1" applyAlignment="1" applyProtection="1">
      <alignment horizontal="center" vertical="center"/>
      <protection locked="0" hidden="1"/>
    </xf>
    <xf numFmtId="0" fontId="35" fillId="0" borderId="1" xfId="0" applyFont="1" applyBorder="1" applyAlignment="1" applyProtection="1">
      <alignment horizontal="center" vertical="center"/>
      <protection locked="0" hidden="1"/>
    </xf>
    <xf numFmtId="0" fontId="15" fillId="0" borderId="0" xfId="0" applyFont="1" applyFill="1" applyBorder="1"/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5" fillId="6" borderId="1" xfId="0" applyFont="1" applyFill="1" applyBorder="1" applyAlignment="1" applyProtection="1">
      <alignment horizontal="center" vertical="center"/>
      <protection locked="0" hidden="1"/>
    </xf>
    <xf numFmtId="169" fontId="2" fillId="0" borderId="0" xfId="0" applyNumberFormat="1" applyFont="1" applyFill="1"/>
    <xf numFmtId="169" fontId="2" fillId="0" borderId="0" xfId="1" applyNumberFormat="1" applyFont="1" applyFill="1"/>
    <xf numFmtId="168" fontId="2" fillId="3" borderId="0" xfId="0" applyNumberFormat="1" applyFont="1" applyFill="1"/>
    <xf numFmtId="165" fontId="2" fillId="0" borderId="0" xfId="0" applyNumberFormat="1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8" fontId="6" fillId="0" borderId="1" xfId="0" applyNumberFormat="1" applyFont="1" applyBorder="1"/>
    <xf numFmtId="0" fontId="8" fillId="0" borderId="1" xfId="0" applyFont="1" applyBorder="1"/>
    <xf numFmtId="0" fontId="0" fillId="0" borderId="0" xfId="0" applyAlignment="1">
      <alignment horizontal="center"/>
    </xf>
    <xf numFmtId="168" fontId="15" fillId="0" borderId="1" xfId="1" applyNumberFormat="1" applyFont="1" applyFill="1" applyBorder="1"/>
    <xf numFmtId="168" fontId="15" fillId="0" borderId="1" xfId="1" applyNumberFormat="1" applyFont="1" applyBorder="1" applyAlignment="1">
      <alignment horizontal="center"/>
    </xf>
    <xf numFmtId="168" fontId="15" fillId="0" borderId="0" xfId="0" applyNumberFormat="1" applyFont="1" applyAlignment="1">
      <alignment horizontal="center"/>
    </xf>
    <xf numFmtId="10" fontId="15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8" fontId="15" fillId="0" borderId="0" xfId="1" applyNumberFormat="1" applyFont="1" applyBorder="1" applyAlignment="1">
      <alignment horizontal="center"/>
    </xf>
    <xf numFmtId="3" fontId="0" fillId="0" borderId="0" xfId="0" applyNumberFormat="1"/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5" fontId="29" fillId="5" borderId="16" xfId="0" applyNumberFormat="1" applyFont="1" applyFill="1" applyBorder="1" applyAlignment="1">
      <alignment vertical="center"/>
    </xf>
    <xf numFmtId="165" fontId="33" fillId="5" borderId="15" xfId="1" applyFont="1" applyFill="1" applyBorder="1"/>
    <xf numFmtId="165" fontId="33" fillId="5" borderId="16" xfId="1" applyFont="1" applyFill="1" applyBorder="1"/>
    <xf numFmtId="0" fontId="2" fillId="0" borderId="14" xfId="0" applyFont="1" applyBorder="1" applyAlignment="1">
      <alignment horizontal="left"/>
    </xf>
    <xf numFmtId="10" fontId="6" fillId="0" borderId="1" xfId="2" applyNumberFormat="1" applyFont="1" applyFill="1" applyBorder="1"/>
    <xf numFmtId="0" fontId="2" fillId="0" borderId="1" xfId="0" applyFont="1" applyBorder="1" applyAlignment="1">
      <alignment horizontal="left"/>
    </xf>
    <xf numFmtId="0" fontId="15" fillId="0" borderId="2" xfId="0" applyFont="1" applyFill="1" applyBorder="1"/>
    <xf numFmtId="0" fontId="27" fillId="0" borderId="3" xfId="0" applyFont="1" applyFill="1" applyBorder="1"/>
    <xf numFmtId="0" fontId="36" fillId="0" borderId="0" xfId="0" applyFont="1"/>
    <xf numFmtId="0" fontId="27" fillId="0" borderId="0" xfId="0" applyFont="1"/>
    <xf numFmtId="0" fontId="36" fillId="0" borderId="2" xfId="0" applyFont="1" applyBorder="1"/>
    <xf numFmtId="0" fontId="27" fillId="0" borderId="3" xfId="0" applyFont="1" applyBorder="1"/>
    <xf numFmtId="0" fontId="27" fillId="0" borderId="1" xfId="0" applyFont="1" applyBorder="1"/>
    <xf numFmtId="0" fontId="36" fillId="5" borderId="9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5" borderId="3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7" fillId="0" borderId="0" xfId="0" applyFont="1" applyBorder="1"/>
    <xf numFmtId="0" fontId="27" fillId="0" borderId="7" xfId="0" applyFont="1" applyBorder="1"/>
    <xf numFmtId="176" fontId="36" fillId="0" borderId="3" xfId="0" applyNumberFormat="1" applyFont="1" applyBorder="1"/>
    <xf numFmtId="176" fontId="27" fillId="0" borderId="9" xfId="0" applyNumberFormat="1" applyFont="1" applyBorder="1"/>
    <xf numFmtId="176" fontId="27" fillId="0" borderId="3" xfId="0" applyNumberFormat="1" applyFont="1" applyBorder="1"/>
    <xf numFmtId="176" fontId="27" fillId="0" borderId="1" xfId="0" applyNumberFormat="1" applyFont="1" applyBorder="1"/>
    <xf numFmtId="168" fontId="6" fillId="0" borderId="0" xfId="1" applyNumberFormat="1" applyFont="1" applyFill="1" applyBorder="1" applyAlignment="1">
      <alignment horizontal="right"/>
    </xf>
    <xf numFmtId="0" fontId="15" fillId="7" borderId="2" xfId="0" applyFont="1" applyFill="1" applyBorder="1"/>
    <xf numFmtId="165" fontId="27" fillId="7" borderId="3" xfId="1" applyFont="1" applyFill="1" applyBorder="1"/>
    <xf numFmtId="175" fontId="29" fillId="3" borderId="0" xfId="0" applyNumberFormat="1" applyFont="1" applyFill="1" applyBorder="1" applyAlignment="1">
      <alignment vertical="center"/>
    </xf>
    <xf numFmtId="165" fontId="33" fillId="3" borderId="0" xfId="1" applyFont="1" applyFill="1" applyBorder="1"/>
    <xf numFmtId="165" fontId="0" fillId="0" borderId="2" xfId="1" applyFont="1" applyBorder="1"/>
    <xf numFmtId="165" fontId="33" fillId="8" borderId="15" xfId="1" applyFont="1" applyFill="1" applyBorder="1"/>
    <xf numFmtId="0" fontId="33" fillId="0" borderId="0" xfId="0" applyFont="1"/>
    <xf numFmtId="9" fontId="15" fillId="0" borderId="1" xfId="0" applyNumberFormat="1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0" fontId="15" fillId="0" borderId="1" xfId="0" applyFont="1" applyFill="1" applyBorder="1"/>
    <xf numFmtId="0" fontId="37" fillId="0" borderId="0" xfId="0" applyFont="1"/>
    <xf numFmtId="166" fontId="15" fillId="0" borderId="1" xfId="2" applyNumberFormat="1" applyFont="1" applyBorder="1" applyAlignment="1">
      <alignment horizontal="center"/>
    </xf>
    <xf numFmtId="0" fontId="34" fillId="0" borderId="0" xfId="0" applyFont="1" applyFill="1" applyBorder="1"/>
    <xf numFmtId="9" fontId="15" fillId="0" borderId="1" xfId="2" applyFont="1" applyBorder="1" applyAlignment="1">
      <alignment horizontal="center"/>
    </xf>
    <xf numFmtId="165" fontId="2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165" fontId="6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171" fontId="22" fillId="0" borderId="0" xfId="0" applyNumberFormat="1" applyFont="1" applyBorder="1" applyAlignment="1">
      <alignment horizontal="center" vertical="center"/>
    </xf>
    <xf numFmtId="10" fontId="2" fillId="0" borderId="0" xfId="2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6" fillId="0" borderId="1" xfId="0" applyFont="1" applyFill="1" applyBorder="1" applyAlignment="1"/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5" fillId="0" borderId="1" xfId="0" applyFont="1" applyBorder="1" applyAlignment="1">
      <alignment horizontal="center" wrapText="1"/>
    </xf>
    <xf numFmtId="0" fontId="6" fillId="0" borderId="5" xfId="0" applyFont="1" applyFill="1" applyBorder="1" applyAlignment="1">
      <alignment horizontal="left"/>
    </xf>
    <xf numFmtId="168" fontId="15" fillId="0" borderId="2" xfId="1" applyNumberFormat="1" applyFont="1" applyBorder="1" applyAlignment="1">
      <alignment horizontal="center"/>
    </xf>
    <xf numFmtId="168" fontId="15" fillId="0" borderId="3" xfId="1" applyNumberFormat="1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3">
    <cellStyle name="Čiarka" xfId="1" builtinId="3"/>
    <cellStyle name="Normálna" xfId="0" builtinId="0"/>
    <cellStyle name="Percentá" xfId="2" builtinId="5"/>
  </cellStyles>
  <dxfs count="417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% zmena ENPV pri zmene vstupnej premennej o 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citlivosti'!$D$8:$D$14</c:f>
              <c:numCache>
                <c:formatCode>0.00%</c:formatCode>
                <c:ptCount val="7"/>
                <c:pt idx="0">
                  <c:v>-6.5980478276667962E-2</c:v>
                </c:pt>
                <c:pt idx="1">
                  <c:v>2.6116695670278082E-2</c:v>
                </c:pt>
                <c:pt idx="2">
                  <c:v>7.3716533877077632E-3</c:v>
                </c:pt>
                <c:pt idx="3">
                  <c:v>2.8820745093449961E-2</c:v>
                </c:pt>
                <c:pt idx="4">
                  <c:v>1.6748698592322527E-3</c:v>
                </c:pt>
                <c:pt idx="5">
                  <c:v>9.0845227839844098E-3</c:v>
                </c:pt>
                <c:pt idx="6">
                  <c:v>5.264596492953336E-4</c:v>
                </c:pt>
              </c:numCache>
            </c:numRef>
          </c:val>
        </c:ser>
        <c:ser>
          <c:idx val="0"/>
          <c:order val="1"/>
          <c:tx>
            <c:v>% zmena ENPV pri zmene vstupnej premennej o - 1%</c:v>
          </c:tx>
          <c:invertIfNegative val="0"/>
          <c:cat>
            <c:strRef>
              <c:f>'Analýza citlivosti'!$A$8:$A$14</c:f>
              <c:strCache>
                <c:ptCount val="7"/>
                <c:pt idx="0">
                  <c:v>Investičné náklady</c:v>
                </c:pt>
                <c:pt idx="1">
                  <c:v>Úspory nákladov na prevádzku a údržbu ŽI</c:v>
                </c:pt>
                <c:pt idx="2">
                  <c:v>Úspora nákladov na prevádzku vozidiel</c:v>
                </c:pt>
                <c:pt idx="3">
                  <c:v>Hodnota času v osobnej doprave</c:v>
                </c:pt>
                <c:pt idx="4">
                  <c:v>Hodnota nákladov na nehody</c:v>
                </c:pt>
                <c:pt idx="5">
                  <c:v>Rast HDP</c:v>
                </c:pt>
                <c:pt idx="6">
                  <c:v>Miera rastu dopravy</c:v>
                </c:pt>
              </c:strCache>
            </c:strRef>
          </c:cat>
          <c:val>
            <c:numRef>
              <c:f>'Analýza citlivosti'!$G$8:$G$14</c:f>
              <c:numCache>
                <c:formatCode>0.00%</c:formatCode>
                <c:ptCount val="7"/>
                <c:pt idx="0">
                  <c:v>6.5980480988188123E-2</c:v>
                </c:pt>
                <c:pt idx="1">
                  <c:v>-2.6116707849389909E-2</c:v>
                </c:pt>
                <c:pt idx="2">
                  <c:v>-7.3716506761876133E-3</c:v>
                </c:pt>
                <c:pt idx="3">
                  <c:v>-2.8820742381929811E-2</c:v>
                </c:pt>
                <c:pt idx="4">
                  <c:v>-1.6748671477121032E-3</c:v>
                </c:pt>
                <c:pt idx="5">
                  <c:v>-9.0845200724642607E-3</c:v>
                </c:pt>
                <c:pt idx="6">
                  <c:v>-5.2645693777518413E-4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55136"/>
        <c:axId val="167356672"/>
      </c:barChart>
      <c:catAx>
        <c:axId val="167355136"/>
        <c:scaling>
          <c:orientation val="minMax"/>
        </c:scaling>
        <c:delete val="0"/>
        <c:axPos val="l"/>
        <c:majorTickMark val="out"/>
        <c:minorTickMark val="none"/>
        <c:tickLblPos val="nextTo"/>
        <c:crossAx val="167356672"/>
        <c:crosses val="autoZero"/>
        <c:auto val="1"/>
        <c:lblAlgn val="ctr"/>
        <c:lblOffset val="100"/>
        <c:noMultiLvlLbl val="0"/>
      </c:catAx>
      <c:valAx>
        <c:axId val="16735667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67355136"/>
        <c:crosses val="autoZero"/>
        <c:crossBetween val="between"/>
      </c:valAx>
    </c:plotArea>
    <c:legend>
      <c:legendPos val="b"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1859476</xdr:colOff>
      <xdr:row>17</xdr:row>
      <xdr:rowOff>71437</xdr:rowOff>
    </xdr:from>
    <xdr:to>
      <xdr:col>4</xdr:col>
      <xdr:colOff>1192726</xdr:colOff>
      <xdr:row>39</xdr:row>
      <xdr:rowOff>11906</xdr:rowOff>
    </xdr:to>
    <xdr:graphicFrame macro="">
      <xdr:nvGraphicFramePr>
        <xdr:cNvPr id="2" name="Graf 1" title="Vplyv vstupných premenných na ENPV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okument&#225;cie/Ostatn&#233;/uzol%20Bratislava%20FS/Ekonomika/Prepo&#269;ty%20%20po%20&#250;sekoch/Prepo&#269;et%20Sumarne%20udaje%20P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Dokument&#225;cie/Ostatn&#233;/uzol%20Bratislava%20FS/Ekonomika/CBA/Model%20CBA%20-%20Alternat&#237;v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ty Náklady"/>
      <sheetName val="Zber_dat"/>
      <sheetName val="Kombinovateľnosť ciastk usekov"/>
      <sheetName val="PK náklady celkom"/>
    </sheetNames>
    <sheetDataSet>
      <sheetData sheetId="0"/>
      <sheetData sheetId="1">
        <row r="5">
          <cell r="E5" t="str">
            <v>A01-ref</v>
          </cell>
        </row>
        <row r="6">
          <cell r="E6" t="str">
            <v>A01-a</v>
          </cell>
        </row>
        <row r="7">
          <cell r="E7" t="str">
            <v>A01-b</v>
          </cell>
        </row>
        <row r="8">
          <cell r="E8" t="str">
            <v>A01-c</v>
          </cell>
        </row>
        <row r="9">
          <cell r="E9" t="str">
            <v>A01-d</v>
          </cell>
        </row>
        <row r="10">
          <cell r="E10" t="str">
            <v>A01-e</v>
          </cell>
        </row>
        <row r="11">
          <cell r="E11" t="str">
            <v>A01-MIN</v>
          </cell>
        </row>
        <row r="12">
          <cell r="E12" t="str">
            <v>B01-ref</v>
          </cell>
        </row>
        <row r="13">
          <cell r="E13" t="str">
            <v>B01-a</v>
          </cell>
        </row>
        <row r="14">
          <cell r="E14" t="str">
            <v>B01-b</v>
          </cell>
        </row>
        <row r="15">
          <cell r="E15" t="str">
            <v>B01-c</v>
          </cell>
        </row>
        <row r="16">
          <cell r="E16" t="str">
            <v>B01-d</v>
          </cell>
        </row>
        <row r="17">
          <cell r="E17" t="str">
            <v>B01-e</v>
          </cell>
        </row>
        <row r="18">
          <cell r="E18" t="str">
            <v>B01-MIN</v>
          </cell>
        </row>
        <row r="19">
          <cell r="E19" t="str">
            <v>B02-ref</v>
          </cell>
        </row>
        <row r="20">
          <cell r="E20" t="str">
            <v>B02-a</v>
          </cell>
        </row>
        <row r="21">
          <cell r="E21" t="str">
            <v>B02-b</v>
          </cell>
        </row>
        <row r="22">
          <cell r="E22" t="str">
            <v>B02-c</v>
          </cell>
        </row>
        <row r="23">
          <cell r="E23" t="str">
            <v>B02-d</v>
          </cell>
        </row>
        <row r="24">
          <cell r="E24" t="str">
            <v>B02-e</v>
          </cell>
        </row>
        <row r="25">
          <cell r="E25" t="str">
            <v>B02-MIN</v>
          </cell>
        </row>
        <row r="26">
          <cell r="E26" t="str">
            <v>B03-ref</v>
          </cell>
        </row>
        <row r="27">
          <cell r="E27" t="str">
            <v>B03-a</v>
          </cell>
        </row>
        <row r="28">
          <cell r="E28" t="str">
            <v>B03-b</v>
          </cell>
        </row>
        <row r="29">
          <cell r="E29" t="str">
            <v>B03-c</v>
          </cell>
        </row>
        <row r="30">
          <cell r="E30" t="str">
            <v>B03-d</v>
          </cell>
        </row>
        <row r="31">
          <cell r="E31" t="str">
            <v>B03-e</v>
          </cell>
        </row>
        <row r="32">
          <cell r="E32" t="str">
            <v>B03-MIN</v>
          </cell>
        </row>
        <row r="33">
          <cell r="E33" t="str">
            <v>B04-ref</v>
          </cell>
        </row>
        <row r="34">
          <cell r="E34" t="str">
            <v>B04-a</v>
          </cell>
        </row>
        <row r="35">
          <cell r="E35" t="str">
            <v>B04-b</v>
          </cell>
        </row>
        <row r="36">
          <cell r="E36" t="str">
            <v>B04-c</v>
          </cell>
        </row>
        <row r="37">
          <cell r="E37" t="str">
            <v>B04-d</v>
          </cell>
        </row>
        <row r="38">
          <cell r="E38" t="str">
            <v>B04-e</v>
          </cell>
        </row>
        <row r="39">
          <cell r="E39" t="str">
            <v>B04-e</v>
          </cell>
        </row>
        <row r="40">
          <cell r="E40" t="str">
            <v>B04-MIN</v>
          </cell>
        </row>
        <row r="41">
          <cell r="E41" t="str">
            <v>B05-ref</v>
          </cell>
        </row>
        <row r="42">
          <cell r="E42" t="str">
            <v>B05-a</v>
          </cell>
        </row>
        <row r="43">
          <cell r="E43" t="str">
            <v>B05-b</v>
          </cell>
        </row>
        <row r="44">
          <cell r="E44" t="str">
            <v>B05-c</v>
          </cell>
        </row>
        <row r="45">
          <cell r="E45" t="str">
            <v>B05-d</v>
          </cell>
        </row>
        <row r="46">
          <cell r="E46" t="str">
            <v>B05-e</v>
          </cell>
        </row>
        <row r="47">
          <cell r="E47" t="str">
            <v>B05-MIN</v>
          </cell>
        </row>
        <row r="48">
          <cell r="E48" t="str">
            <v>C01-ref</v>
          </cell>
        </row>
        <row r="49">
          <cell r="E49" t="str">
            <v>C01-a</v>
          </cell>
        </row>
        <row r="50">
          <cell r="E50" t="str">
            <v>C01-b</v>
          </cell>
        </row>
        <row r="51">
          <cell r="E51" t="str">
            <v>C01-c</v>
          </cell>
        </row>
        <row r="52">
          <cell r="E52" t="str">
            <v>C01-d</v>
          </cell>
        </row>
        <row r="53">
          <cell r="E53" t="str">
            <v>C01-e</v>
          </cell>
        </row>
        <row r="54">
          <cell r="E54" t="str">
            <v>C01-MIN</v>
          </cell>
        </row>
        <row r="55">
          <cell r="E55" t="str">
            <v>C02-ref</v>
          </cell>
        </row>
        <row r="56">
          <cell r="E56" t="str">
            <v>C02-a</v>
          </cell>
        </row>
        <row r="57">
          <cell r="E57" t="str">
            <v>C02-b</v>
          </cell>
        </row>
        <row r="58">
          <cell r="E58" t="str">
            <v>C02-c</v>
          </cell>
        </row>
        <row r="59">
          <cell r="E59" t="str">
            <v>C02-d</v>
          </cell>
        </row>
        <row r="60">
          <cell r="E60" t="str">
            <v>C02-e</v>
          </cell>
        </row>
        <row r="61">
          <cell r="E61" t="str">
            <v>C02-MIN</v>
          </cell>
        </row>
        <row r="62">
          <cell r="E62" t="str">
            <v>C03-ref</v>
          </cell>
        </row>
        <row r="63">
          <cell r="E63" t="str">
            <v>C03-a</v>
          </cell>
        </row>
        <row r="64">
          <cell r="E64" t="str">
            <v>C03-b</v>
          </cell>
        </row>
        <row r="65">
          <cell r="E65" t="str">
            <v>C03-c</v>
          </cell>
        </row>
        <row r="66">
          <cell r="E66" t="str">
            <v>C03-d</v>
          </cell>
        </row>
        <row r="67">
          <cell r="E67" t="str">
            <v>C03-e</v>
          </cell>
        </row>
        <row r="68">
          <cell r="E68" t="str">
            <v>C03-MIN</v>
          </cell>
        </row>
        <row r="69">
          <cell r="E69" t="str">
            <v>D01-ref</v>
          </cell>
        </row>
        <row r="70">
          <cell r="E70" t="str">
            <v>D01-a</v>
          </cell>
        </row>
        <row r="71">
          <cell r="E71" t="str">
            <v>D01-b</v>
          </cell>
        </row>
        <row r="72">
          <cell r="E72" t="str">
            <v>D01-c</v>
          </cell>
        </row>
        <row r="73">
          <cell r="E73" t="str">
            <v>D01-d</v>
          </cell>
        </row>
        <row r="74">
          <cell r="E74" t="str">
            <v>D01-e</v>
          </cell>
        </row>
        <row r="75">
          <cell r="E75" t="str">
            <v>D01-MIN</v>
          </cell>
        </row>
        <row r="76">
          <cell r="E76" t="str">
            <v>D02-ref</v>
          </cell>
        </row>
        <row r="77">
          <cell r="E77" t="str">
            <v>D02-a</v>
          </cell>
        </row>
        <row r="78">
          <cell r="E78" t="str">
            <v>D02-b</v>
          </cell>
        </row>
        <row r="79">
          <cell r="E79" t="str">
            <v>D02-c</v>
          </cell>
        </row>
        <row r="80">
          <cell r="E80" t="str">
            <v>D02-d</v>
          </cell>
        </row>
        <row r="81">
          <cell r="E81" t="str">
            <v>D02-e</v>
          </cell>
        </row>
        <row r="82">
          <cell r="E82" t="str">
            <v>D02-MIN</v>
          </cell>
        </row>
        <row r="83">
          <cell r="E83" t="str">
            <v>E01-ref</v>
          </cell>
        </row>
        <row r="84">
          <cell r="E84" t="str">
            <v>E01-a</v>
          </cell>
        </row>
        <row r="85">
          <cell r="E85" t="str">
            <v>E01-b</v>
          </cell>
        </row>
        <row r="86">
          <cell r="E86" t="str">
            <v>E01-c</v>
          </cell>
        </row>
        <row r="87">
          <cell r="E87" t="str">
            <v>E01-d</v>
          </cell>
        </row>
        <row r="88">
          <cell r="E88" t="str">
            <v>E01-e</v>
          </cell>
        </row>
        <row r="89">
          <cell r="E89" t="str">
            <v>E01-MIN</v>
          </cell>
        </row>
        <row r="90">
          <cell r="E90" t="str">
            <v>E02-ref</v>
          </cell>
        </row>
        <row r="91">
          <cell r="E91" t="str">
            <v>E02-a</v>
          </cell>
        </row>
        <row r="92">
          <cell r="E92" t="str">
            <v>E02-b</v>
          </cell>
        </row>
        <row r="93">
          <cell r="E93" t="str">
            <v>E02-c</v>
          </cell>
        </row>
        <row r="94">
          <cell r="E94" t="str">
            <v>E02-d</v>
          </cell>
        </row>
        <row r="95">
          <cell r="E95" t="str">
            <v>E02-e</v>
          </cell>
        </row>
        <row r="96">
          <cell r="E96" t="str">
            <v>E02-MIN</v>
          </cell>
        </row>
        <row r="97">
          <cell r="E97" t="str">
            <v>E03-ref</v>
          </cell>
        </row>
        <row r="98">
          <cell r="E98" t="str">
            <v>E03-a</v>
          </cell>
        </row>
        <row r="99">
          <cell r="E99" t="str">
            <v>E03-b</v>
          </cell>
        </row>
        <row r="100">
          <cell r="E100" t="str">
            <v>E03-c</v>
          </cell>
        </row>
        <row r="101">
          <cell r="E101" t="str">
            <v>E03-d</v>
          </cell>
        </row>
        <row r="102">
          <cell r="E102" t="str">
            <v>E03-e</v>
          </cell>
        </row>
        <row r="103">
          <cell r="E103" t="str">
            <v>E03-MIN</v>
          </cell>
        </row>
        <row r="104">
          <cell r="E104" t="str">
            <v>E04-ref</v>
          </cell>
        </row>
        <row r="105">
          <cell r="E105" t="str">
            <v>E04-a</v>
          </cell>
        </row>
        <row r="106">
          <cell r="E106" t="str">
            <v>E04-b</v>
          </cell>
        </row>
        <row r="107">
          <cell r="E107" t="str">
            <v>E04-c</v>
          </cell>
        </row>
        <row r="108">
          <cell r="E108" t="str">
            <v>E04-d</v>
          </cell>
        </row>
        <row r="109">
          <cell r="E109" t="str">
            <v>E04-e</v>
          </cell>
        </row>
        <row r="110">
          <cell r="E110" t="str">
            <v>E04-MIN</v>
          </cell>
        </row>
        <row r="111">
          <cell r="E111" t="str">
            <v>E05-ref</v>
          </cell>
        </row>
        <row r="112">
          <cell r="E112" t="str">
            <v>E05-a</v>
          </cell>
        </row>
        <row r="113">
          <cell r="E113" t="str">
            <v>E05-b</v>
          </cell>
        </row>
        <row r="114">
          <cell r="E114" t="str">
            <v>E05-c</v>
          </cell>
        </row>
        <row r="115">
          <cell r="E115" t="str">
            <v>E05-d</v>
          </cell>
        </row>
        <row r="116">
          <cell r="E116" t="str">
            <v>E05-e</v>
          </cell>
        </row>
        <row r="117">
          <cell r="E117" t="str">
            <v>E05-MIN</v>
          </cell>
        </row>
        <row r="118">
          <cell r="E118" t="str">
            <v>E06-ref</v>
          </cell>
        </row>
        <row r="119">
          <cell r="E119" t="str">
            <v>E06-a</v>
          </cell>
        </row>
        <row r="120">
          <cell r="E120" t="str">
            <v>E06-b</v>
          </cell>
        </row>
        <row r="121">
          <cell r="E121" t="str">
            <v>E06-c</v>
          </cell>
        </row>
        <row r="122">
          <cell r="E122" t="str">
            <v>E06-d</v>
          </cell>
        </row>
        <row r="123">
          <cell r="E123" t="str">
            <v>E06-e</v>
          </cell>
        </row>
        <row r="124">
          <cell r="E124" t="str">
            <v>E06-MIN</v>
          </cell>
        </row>
        <row r="125">
          <cell r="E125" t="str">
            <v>E07-ref</v>
          </cell>
        </row>
        <row r="126">
          <cell r="E126" t="str">
            <v>E07-a</v>
          </cell>
        </row>
        <row r="127">
          <cell r="E127" t="str">
            <v>E07-b</v>
          </cell>
        </row>
        <row r="128">
          <cell r="E128" t="str">
            <v>E07-c</v>
          </cell>
        </row>
        <row r="129">
          <cell r="E129" t="str">
            <v>E07-d</v>
          </cell>
        </row>
        <row r="130">
          <cell r="E130" t="str">
            <v>E07-e</v>
          </cell>
        </row>
        <row r="131">
          <cell r="E131" t="str">
            <v>E07-MIN</v>
          </cell>
        </row>
        <row r="132">
          <cell r="E132" t="str">
            <v>E08-ref</v>
          </cell>
        </row>
        <row r="133">
          <cell r="E133" t="str">
            <v>E08-a</v>
          </cell>
        </row>
        <row r="134">
          <cell r="E134" t="str">
            <v>E08-b</v>
          </cell>
        </row>
        <row r="135">
          <cell r="E135" t="str">
            <v>E08-c</v>
          </cell>
        </row>
        <row r="136">
          <cell r="E136" t="str">
            <v>E08-d</v>
          </cell>
        </row>
        <row r="137">
          <cell r="E137" t="str">
            <v>E08-e</v>
          </cell>
        </row>
        <row r="138">
          <cell r="E138" t="str">
            <v>E08-MIN</v>
          </cell>
        </row>
        <row r="139">
          <cell r="E139" t="str">
            <v>E09-ref</v>
          </cell>
        </row>
        <row r="140">
          <cell r="E140" t="str">
            <v>E09-a</v>
          </cell>
        </row>
        <row r="141">
          <cell r="E141" t="str">
            <v>E09-b</v>
          </cell>
        </row>
        <row r="142">
          <cell r="E142" t="str">
            <v>E09-c</v>
          </cell>
        </row>
        <row r="143">
          <cell r="E143" t="str">
            <v>E09-d</v>
          </cell>
        </row>
        <row r="144">
          <cell r="E144" t="str">
            <v>E09-e</v>
          </cell>
        </row>
        <row r="145">
          <cell r="E145" t="str">
            <v>E09-MIN</v>
          </cell>
        </row>
        <row r="146">
          <cell r="E146" t="str">
            <v>F01-ref</v>
          </cell>
        </row>
        <row r="147">
          <cell r="E147" t="str">
            <v>F01-a</v>
          </cell>
        </row>
        <row r="148">
          <cell r="E148" t="str">
            <v>F01-b</v>
          </cell>
        </row>
        <row r="149">
          <cell r="E149" t="str">
            <v>F01-c</v>
          </cell>
        </row>
        <row r="150">
          <cell r="E150" t="str">
            <v>F01-d</v>
          </cell>
        </row>
        <row r="151">
          <cell r="E151" t="str">
            <v>F01-e</v>
          </cell>
        </row>
        <row r="152">
          <cell r="E152" t="str">
            <v>F01-MIN</v>
          </cell>
        </row>
        <row r="161">
          <cell r="E161" t="str">
            <v>H01-ref</v>
          </cell>
        </row>
        <row r="162">
          <cell r="E162" t="str">
            <v>H01-a</v>
          </cell>
        </row>
        <row r="163">
          <cell r="E163" t="str">
            <v>H01-b</v>
          </cell>
        </row>
        <row r="164">
          <cell r="E164" t="str">
            <v>H01-c</v>
          </cell>
        </row>
        <row r="165">
          <cell r="E165" t="str">
            <v>H01-d</v>
          </cell>
        </row>
        <row r="166">
          <cell r="E166" t="str">
            <v>H01-e</v>
          </cell>
        </row>
        <row r="167">
          <cell r="E167" t="str">
            <v>H01-MIN</v>
          </cell>
        </row>
        <row r="168">
          <cell r="E168" t="str">
            <v>H02-ref</v>
          </cell>
        </row>
        <row r="169">
          <cell r="E169" t="str">
            <v>H02-a</v>
          </cell>
        </row>
        <row r="170">
          <cell r="E170" t="str">
            <v>H02-b</v>
          </cell>
        </row>
        <row r="171">
          <cell r="E171" t="str">
            <v>H02-c</v>
          </cell>
        </row>
        <row r="172">
          <cell r="E172" t="str">
            <v>H02-d</v>
          </cell>
        </row>
        <row r="173">
          <cell r="E173" t="str">
            <v>H02-e</v>
          </cell>
        </row>
        <row r="174">
          <cell r="E174" t="str">
            <v>H02-MIN</v>
          </cell>
        </row>
        <row r="175">
          <cell r="E175" t="str">
            <v>I01-ref</v>
          </cell>
        </row>
        <row r="176">
          <cell r="E176" t="str">
            <v>I01-a</v>
          </cell>
        </row>
        <row r="177">
          <cell r="E177" t="str">
            <v>I01-b</v>
          </cell>
        </row>
        <row r="178">
          <cell r="E178" t="str">
            <v>I01-c</v>
          </cell>
        </row>
        <row r="179">
          <cell r="E179" t="str">
            <v>I01-d</v>
          </cell>
        </row>
        <row r="180">
          <cell r="E180" t="str">
            <v>I01-e</v>
          </cell>
        </row>
        <row r="181">
          <cell r="E181" t="str">
            <v>I01-MIN</v>
          </cell>
        </row>
        <row r="182">
          <cell r="E182" t="str">
            <v>J01-ref</v>
          </cell>
        </row>
        <row r="183">
          <cell r="E183" t="str">
            <v>J01-a</v>
          </cell>
        </row>
        <row r="184">
          <cell r="E184" t="str">
            <v>J01-b</v>
          </cell>
        </row>
        <row r="185">
          <cell r="E185" t="str">
            <v>J01-c</v>
          </cell>
        </row>
        <row r="186">
          <cell r="E186" t="str">
            <v>J01-d</v>
          </cell>
        </row>
        <row r="187">
          <cell r="E187" t="str">
            <v>J01-e</v>
          </cell>
        </row>
        <row r="188">
          <cell r="E188" t="str">
            <v>J01-MIN</v>
          </cell>
        </row>
        <row r="189">
          <cell r="E189" t="str">
            <v>J02-ref</v>
          </cell>
        </row>
        <row r="190">
          <cell r="E190" t="str">
            <v>J02-a</v>
          </cell>
        </row>
        <row r="191">
          <cell r="E191" t="str">
            <v>J02-b</v>
          </cell>
        </row>
        <row r="192">
          <cell r="E192" t="str">
            <v>J02-c</v>
          </cell>
        </row>
        <row r="193">
          <cell r="E193" t="str">
            <v>J02-d</v>
          </cell>
        </row>
        <row r="194">
          <cell r="E194" t="str">
            <v>J02-e</v>
          </cell>
        </row>
        <row r="195">
          <cell r="E195" t="str">
            <v>J02-MIN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prava"/>
      <sheetName val="Vstupné dáta"/>
      <sheetName val="Parametre"/>
      <sheetName val="Investičné náklady"/>
      <sheetName val="Zostatková hodnota"/>
      <sheetName val="Prevádzka a údržba ŽI"/>
      <sheetName val="Príjmy ŽSR"/>
      <sheetName val="Financovanie"/>
      <sheetName val="Finančná analýza"/>
      <sheetName val="Ocenenie času"/>
      <sheetName val="Prevádzkové náklady vozidiel"/>
      <sheetName val="Nehodovosť"/>
      <sheetName val="Externality"/>
      <sheetName val="Ekonomická analýza"/>
    </sheetNames>
    <sheetDataSet>
      <sheetData sheetId="0"/>
      <sheetData sheetId="1"/>
      <sheetData sheetId="2">
        <row r="7">
          <cell r="B7">
            <v>0.04</v>
          </cell>
        </row>
        <row r="10">
          <cell r="B10">
            <v>2022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O192"/>
  <sheetViews>
    <sheetView tabSelected="1" zoomScale="85" zoomScaleNormal="85" workbookViewId="0">
      <pane xSplit="1" topLeftCell="B1" activePane="topRight" state="frozen"/>
      <selection activeCell="A167" sqref="A167"/>
      <selection pane="topRight" activeCell="C3" sqref="C3"/>
    </sheetView>
  </sheetViews>
  <sheetFormatPr defaultRowHeight="14.25" x14ac:dyDescent="0.2"/>
  <cols>
    <col min="1" max="1" width="40.7109375" style="1" customWidth="1"/>
    <col min="2" max="44" width="15.7109375" style="1" customWidth="1"/>
    <col min="45" max="16384" width="9.140625" style="1"/>
  </cols>
  <sheetData>
    <row r="2" spans="1:33" ht="15.75" x14ac:dyDescent="0.25">
      <c r="A2" s="2" t="s">
        <v>588</v>
      </c>
    </row>
    <row r="3" spans="1:33" x14ac:dyDescent="0.2">
      <c r="A3" s="1" t="s">
        <v>0</v>
      </c>
    </row>
    <row r="4" spans="1:33" ht="15" x14ac:dyDescent="0.25">
      <c r="A4" s="3" t="s">
        <v>1</v>
      </c>
      <c r="P4" s="244"/>
    </row>
    <row r="5" spans="1:33" x14ac:dyDescent="0.2">
      <c r="A5" s="40" t="s">
        <v>486</v>
      </c>
    </row>
    <row r="8" spans="1:33" ht="15" x14ac:dyDescent="0.25">
      <c r="A8" s="46" t="s">
        <v>450</v>
      </c>
    </row>
    <row r="9" spans="1:33" x14ac:dyDescent="0.2">
      <c r="A9" s="80" t="s">
        <v>1</v>
      </c>
      <c r="B9" s="337"/>
      <c r="C9" s="338"/>
      <c r="D9" s="79">
        <f>Parametre!B12</f>
        <v>2022</v>
      </c>
      <c r="E9" s="79">
        <f>D9+1</f>
        <v>2023</v>
      </c>
      <c r="F9" s="79">
        <f t="shared" ref="F9:AG9" si="0">E9+1</f>
        <v>2024</v>
      </c>
      <c r="G9" s="79">
        <f t="shared" si="0"/>
        <v>2025</v>
      </c>
      <c r="H9" s="79">
        <f t="shared" si="0"/>
        <v>2026</v>
      </c>
      <c r="I9" s="79">
        <f t="shared" si="0"/>
        <v>2027</v>
      </c>
      <c r="J9" s="79">
        <f t="shared" si="0"/>
        <v>2028</v>
      </c>
      <c r="K9" s="79">
        <f t="shared" si="0"/>
        <v>2029</v>
      </c>
      <c r="L9" s="79">
        <f t="shared" si="0"/>
        <v>2030</v>
      </c>
      <c r="M9" s="79">
        <f t="shared" si="0"/>
        <v>2031</v>
      </c>
      <c r="N9" s="79">
        <f t="shared" si="0"/>
        <v>2032</v>
      </c>
      <c r="O9" s="79">
        <f t="shared" si="0"/>
        <v>2033</v>
      </c>
      <c r="P9" s="79">
        <f t="shared" si="0"/>
        <v>2034</v>
      </c>
      <c r="Q9" s="79">
        <f t="shared" si="0"/>
        <v>2035</v>
      </c>
      <c r="R9" s="79">
        <f t="shared" si="0"/>
        <v>2036</v>
      </c>
      <c r="S9" s="79">
        <f t="shared" si="0"/>
        <v>2037</v>
      </c>
      <c r="T9" s="79">
        <f t="shared" si="0"/>
        <v>2038</v>
      </c>
      <c r="U9" s="79">
        <f t="shared" si="0"/>
        <v>2039</v>
      </c>
      <c r="V9" s="79">
        <f t="shared" si="0"/>
        <v>2040</v>
      </c>
      <c r="W9" s="79">
        <f t="shared" si="0"/>
        <v>2041</v>
      </c>
      <c r="X9" s="79">
        <f t="shared" si="0"/>
        <v>2042</v>
      </c>
      <c r="Y9" s="79">
        <f t="shared" si="0"/>
        <v>2043</v>
      </c>
      <c r="Z9" s="79">
        <f t="shared" si="0"/>
        <v>2044</v>
      </c>
      <c r="AA9" s="79">
        <f t="shared" si="0"/>
        <v>2045</v>
      </c>
      <c r="AB9" s="79">
        <f t="shared" si="0"/>
        <v>2046</v>
      </c>
      <c r="AC9" s="79">
        <f t="shared" si="0"/>
        <v>2047</v>
      </c>
      <c r="AD9" s="79">
        <f t="shared" si="0"/>
        <v>2048</v>
      </c>
      <c r="AE9" s="79">
        <f t="shared" si="0"/>
        <v>2049</v>
      </c>
      <c r="AF9" s="79">
        <f t="shared" si="0"/>
        <v>2050</v>
      </c>
      <c r="AG9" s="79">
        <f t="shared" si="0"/>
        <v>2051</v>
      </c>
    </row>
    <row r="10" spans="1:33" ht="15" customHeight="1" x14ac:dyDescent="0.2">
      <c r="A10" s="343" t="s">
        <v>52</v>
      </c>
      <c r="B10" s="342" t="s">
        <v>259</v>
      </c>
      <c r="C10" s="340"/>
      <c r="D10" s="184">
        <f>(250*(B29*H29+B30*H30+B31*H31+B32*H32+B33*H33+B34*H34+B35*H35+B36*H36+B37*H37+B38*H38+B39*H39)+115*(E29*H29+E30*H30+E31*H31+E32*H32+E33*H33+E34*H34+E35*H35+E36*H36+E37*H37+E38*H38+E39*H39))</f>
        <v>380089.1</v>
      </c>
      <c r="E10" s="33">
        <f>D10*E92</f>
        <v>380089.1</v>
      </c>
      <c r="F10" s="33">
        <f>D10*F92</f>
        <v>389477.30076999997</v>
      </c>
      <c r="G10" s="33">
        <f>D10*G92</f>
        <v>398827.49262999994</v>
      </c>
      <c r="H10" s="33">
        <f>D10*H92</f>
        <v>398827.49262999994</v>
      </c>
      <c r="I10" s="33">
        <f>D10*I92</f>
        <v>398827.49262999994</v>
      </c>
      <c r="J10" s="33">
        <f>D10*J92</f>
        <v>398827.49262999994</v>
      </c>
      <c r="K10" s="33">
        <f>D10*K92</f>
        <v>398827.49262999994</v>
      </c>
      <c r="L10" s="33">
        <f>D10*L92</f>
        <v>398827.49262999994</v>
      </c>
      <c r="M10" s="33">
        <f>D10*M92</f>
        <v>398827.49262999994</v>
      </c>
      <c r="N10" s="33">
        <f>D10*N92</f>
        <v>398827.49262999994</v>
      </c>
      <c r="O10" s="33">
        <f>D10*O92</f>
        <v>398827.49262999994</v>
      </c>
      <c r="P10" s="33">
        <f>D10*P92</f>
        <v>398827.49262999994</v>
      </c>
      <c r="Q10" s="33">
        <f>D10*Q92</f>
        <v>398827.49262999994</v>
      </c>
      <c r="R10" s="33">
        <f>D10*R92</f>
        <v>398827.49262999994</v>
      </c>
      <c r="S10" s="33">
        <f>D10*S92</f>
        <v>398827.49262999994</v>
      </c>
      <c r="T10" s="33">
        <f>D10*T92</f>
        <v>398827.49262999994</v>
      </c>
      <c r="U10" s="33">
        <f>D10*U92</f>
        <v>398827.49262999994</v>
      </c>
      <c r="V10" s="184">
        <f>(250*(B44*H29+B45*H30+B46*H31+B47*H32+B48*H33+B49*H34+B50*H35+B51*H36+B52*H37+B53*H38+B54*H39)+115*(E44*H29+E45*H30+E46*H31+E47*H32+E48*H33+E49*H34+E50*H35+E51*H36+E52*H37+E53*H38+E54*H39))</f>
        <v>398820.9</v>
      </c>
      <c r="W10" s="185">
        <f>V10</f>
        <v>398820.9</v>
      </c>
      <c r="X10" s="185">
        <f t="shared" ref="X10:AG10" si="1">W10</f>
        <v>398820.9</v>
      </c>
      <c r="Y10" s="185">
        <f t="shared" si="1"/>
        <v>398820.9</v>
      </c>
      <c r="Z10" s="185">
        <f t="shared" si="1"/>
        <v>398820.9</v>
      </c>
      <c r="AA10" s="185">
        <f t="shared" si="1"/>
        <v>398820.9</v>
      </c>
      <c r="AB10" s="185">
        <f t="shared" si="1"/>
        <v>398820.9</v>
      </c>
      <c r="AC10" s="185">
        <f t="shared" si="1"/>
        <v>398820.9</v>
      </c>
      <c r="AD10" s="185">
        <f t="shared" si="1"/>
        <v>398820.9</v>
      </c>
      <c r="AE10" s="185">
        <f t="shared" si="1"/>
        <v>398820.9</v>
      </c>
      <c r="AF10" s="185">
        <f t="shared" si="1"/>
        <v>398820.9</v>
      </c>
      <c r="AG10" s="185">
        <f t="shared" si="1"/>
        <v>398820.9</v>
      </c>
    </row>
    <row r="11" spans="1:33" x14ac:dyDescent="0.2">
      <c r="A11" s="344"/>
      <c r="B11" s="345" t="s">
        <v>260</v>
      </c>
      <c r="C11" s="345"/>
      <c r="D11" s="33">
        <f>(250*(C29*H29+C30*H30+C31*H31+C32*H32+C33*H33+C34*H34+C35*H35+C36*H36+C37*H37+C38*H38+C39*H39)+115*(F29*H29+F30*H30+F31*H31+F32*H32+F33*H33+F34*H34+F35*H35+F36*H36+F37*H37+F38*H38+F39*H39))</f>
        <v>292967.5</v>
      </c>
      <c r="E11" s="33">
        <f>D11*E93</f>
        <v>300291.6875</v>
      </c>
      <c r="F11" s="33">
        <f>D11*F93</f>
        <v>307615.875</v>
      </c>
      <c r="G11" s="33">
        <f>D11*G93</f>
        <v>314911.8</v>
      </c>
      <c r="H11" s="33">
        <f>D11*H93</f>
        <v>314911.8</v>
      </c>
      <c r="I11" s="33">
        <f>D11*I93</f>
        <v>314911.8</v>
      </c>
      <c r="J11" s="33">
        <f>D11*J93</f>
        <v>314911.8</v>
      </c>
      <c r="K11" s="33">
        <f>D11*K93</f>
        <v>314911.8</v>
      </c>
      <c r="L11" s="33">
        <f>D11*L93</f>
        <v>314911.8</v>
      </c>
      <c r="M11" s="33">
        <f>D11*M93</f>
        <v>314911.8</v>
      </c>
      <c r="N11" s="33">
        <f>D11*N93</f>
        <v>314911.8</v>
      </c>
      <c r="O11" s="33">
        <f>D11*O93</f>
        <v>314911.8</v>
      </c>
      <c r="P11" s="33">
        <f>D11*P93</f>
        <v>314911.8</v>
      </c>
      <c r="Q11" s="33">
        <f>D11*Q93</f>
        <v>314911.8</v>
      </c>
      <c r="R11" s="33">
        <f>D11*R93</f>
        <v>314911.8</v>
      </c>
      <c r="S11" s="33">
        <f>D11*S93</f>
        <v>314911.8</v>
      </c>
      <c r="T11" s="33">
        <f>D11*T93</f>
        <v>314911.8</v>
      </c>
      <c r="U11" s="33">
        <f>D11*U93</f>
        <v>314911.8</v>
      </c>
      <c r="V11" s="33">
        <f>(250*(C44*H29+C45*H30+C46*H31+C47*H32+C48*H33+C49*H34+C50*H35+C51*H36+C52*H37+C53*H38+C54*H39)+115*(F44*H29+F45*H30+F46*H31+F47*H32+F48*H33+F49*H34+F50*H35+F51*H36+F52*H37+F53*H38+F54*H39))</f>
        <v>314911.8</v>
      </c>
      <c r="W11" s="33">
        <f t="shared" ref="W11:AG11" si="2">V11</f>
        <v>314911.8</v>
      </c>
      <c r="X11" s="33">
        <f t="shared" si="2"/>
        <v>314911.8</v>
      </c>
      <c r="Y11" s="33">
        <f t="shared" si="2"/>
        <v>314911.8</v>
      </c>
      <c r="Z11" s="33">
        <f t="shared" si="2"/>
        <v>314911.8</v>
      </c>
      <c r="AA11" s="33">
        <f t="shared" si="2"/>
        <v>314911.8</v>
      </c>
      <c r="AB11" s="33">
        <f t="shared" si="2"/>
        <v>314911.8</v>
      </c>
      <c r="AC11" s="33">
        <f t="shared" si="2"/>
        <v>314911.8</v>
      </c>
      <c r="AD11" s="33">
        <f t="shared" si="2"/>
        <v>314911.8</v>
      </c>
      <c r="AE11" s="33">
        <f t="shared" si="2"/>
        <v>314911.8</v>
      </c>
      <c r="AF11" s="33">
        <f t="shared" si="2"/>
        <v>314911.8</v>
      </c>
      <c r="AG11" s="33">
        <f t="shared" si="2"/>
        <v>314911.8</v>
      </c>
    </row>
    <row r="12" spans="1:33" x14ac:dyDescent="0.2">
      <c r="A12" s="182"/>
      <c r="B12" s="345" t="s">
        <v>133</v>
      </c>
      <c r="C12" s="345"/>
      <c r="D12" s="33">
        <f>(250*(D29*H29+D30*H30+D31*H31+D32*H32+D33*H33+D34*H34+D35*H35+D36*H36+D37*H37+D38*H38+D39*H39)+115*(G29*H29+G30*H30+G31*H31+G32*H32+G33*H33+G34*H34+G35*H35+G36*H36+G37*H37+G38*H38+G39*H39))</f>
        <v>699058.59999999986</v>
      </c>
      <c r="E12" s="33">
        <f>D12*E94</f>
        <v>699058.59999999986</v>
      </c>
      <c r="F12" s="33">
        <f>D12*F94</f>
        <v>699058.59999999986</v>
      </c>
      <c r="G12" s="33">
        <f>D12*G94</f>
        <v>699058.59999999986</v>
      </c>
      <c r="H12" s="33">
        <f>D12*H94</f>
        <v>699058.59999999986</v>
      </c>
      <c r="I12" s="33">
        <f>D12*I94</f>
        <v>699058.59999999986</v>
      </c>
      <c r="J12" s="33">
        <f>D12*J94</f>
        <v>699058.59999999986</v>
      </c>
      <c r="K12" s="33">
        <f>D12*K94</f>
        <v>699058.59999999986</v>
      </c>
      <c r="L12" s="33">
        <f>D12*L94</f>
        <v>776893.59999999986</v>
      </c>
      <c r="M12" s="33">
        <f>D12*M94</f>
        <v>776893.59999999986</v>
      </c>
      <c r="N12" s="33">
        <f>D12*N94</f>
        <v>776893.59999999986</v>
      </c>
      <c r="O12" s="33">
        <f>D12*O94</f>
        <v>776893.59999999986</v>
      </c>
      <c r="P12" s="33">
        <f>D12*P94</f>
        <v>776893.59999999986</v>
      </c>
      <c r="Q12" s="33">
        <f>D12*Q94</f>
        <v>776893.59999999986</v>
      </c>
      <c r="R12" s="33">
        <f>D12*R94</f>
        <v>776893.59999999986</v>
      </c>
      <c r="S12" s="33">
        <f>D12*S94</f>
        <v>776893.59999999986</v>
      </c>
      <c r="T12" s="33">
        <f>D12*T94</f>
        <v>776893.59999999986</v>
      </c>
      <c r="U12" s="33">
        <f>D12*U94</f>
        <v>776893.59999999986</v>
      </c>
      <c r="V12" s="33">
        <f>(250*(D44*H29+D45*H30+D46*H31+D47*H32+D48*H33+D49*H34+D50*H35+D51*H36+D52*H37+D53*H38+D54*H39)+115*(G44*H29+G45*H30+G46*H31+G47*H32+G48*H33+G49*H34+G50*H35+G51*H36+G52*H37+G53*H38+G54*H39))</f>
        <v>776893.6</v>
      </c>
      <c r="W12" s="33">
        <f t="shared" ref="W12:AG12" si="3">V12</f>
        <v>776893.6</v>
      </c>
      <c r="X12" s="33">
        <f t="shared" si="3"/>
        <v>776893.6</v>
      </c>
      <c r="Y12" s="33">
        <f t="shared" si="3"/>
        <v>776893.6</v>
      </c>
      <c r="Z12" s="33">
        <f t="shared" si="3"/>
        <v>776893.6</v>
      </c>
      <c r="AA12" s="33">
        <f t="shared" si="3"/>
        <v>776893.6</v>
      </c>
      <c r="AB12" s="33">
        <f t="shared" si="3"/>
        <v>776893.6</v>
      </c>
      <c r="AC12" s="33">
        <f t="shared" si="3"/>
        <v>776893.6</v>
      </c>
      <c r="AD12" s="33">
        <f t="shared" si="3"/>
        <v>776893.6</v>
      </c>
      <c r="AE12" s="33">
        <f t="shared" si="3"/>
        <v>776893.6</v>
      </c>
      <c r="AF12" s="33">
        <f t="shared" si="3"/>
        <v>776893.6</v>
      </c>
      <c r="AG12" s="33">
        <f t="shared" si="3"/>
        <v>776893.6</v>
      </c>
    </row>
    <row r="13" spans="1:33" x14ac:dyDescent="0.2">
      <c r="A13" s="346" t="s">
        <v>16</v>
      </c>
      <c r="B13" s="345" t="s">
        <v>132</v>
      </c>
      <c r="C13" s="345"/>
      <c r="D13" s="33">
        <f>365*(B57*D57+B58*D58+B59*D59+B60*D60+B61*D61+B62*D62+B63*D63+B64*D64+B65*D65+B66*D66+B67*D67+B68*D68+B69*D69+B70*D70+B71*D71)</f>
        <v>1075483.4500000002</v>
      </c>
      <c r="E13" s="32">
        <f>D13*E95</f>
        <v>1103661.1163900001</v>
      </c>
      <c r="F13" s="33">
        <f>D13*F95</f>
        <v>1131946.3311250003</v>
      </c>
      <c r="G13" s="33">
        <f>D13*G95</f>
        <v>1160123.9975150002</v>
      </c>
      <c r="H13" s="33">
        <f>D13*H95</f>
        <v>1188409.2122500001</v>
      </c>
      <c r="I13" s="33">
        <f>D13*I95</f>
        <v>1216694.4269850003</v>
      </c>
      <c r="J13" s="33">
        <f>D13*J95</f>
        <v>1244979.6417200002</v>
      </c>
      <c r="K13" s="33">
        <f>D13*K95</f>
        <v>1273264.8564550001</v>
      </c>
      <c r="L13" s="33">
        <f>D13*L95</f>
        <v>1301550.0711900003</v>
      </c>
      <c r="M13" s="33">
        <f>D13*M95</f>
        <v>1329835.2859250002</v>
      </c>
      <c r="N13" s="33">
        <f>D13*N95</f>
        <v>1358120.5006600001</v>
      </c>
      <c r="O13" s="33">
        <f>D13*O95</f>
        <v>1386405.7153950001</v>
      </c>
      <c r="P13" s="33">
        <f>D13*P95</f>
        <v>1414690.9301300002</v>
      </c>
      <c r="Q13" s="33">
        <f>D13*Q95</f>
        <v>1442976.1448650002</v>
      </c>
      <c r="R13" s="33">
        <f>D13*R95</f>
        <v>1471261.3596000003</v>
      </c>
      <c r="S13" s="33">
        <f>D13*S95</f>
        <v>1499546.5743350005</v>
      </c>
      <c r="T13" s="33">
        <f>D13*T95</f>
        <v>1527831.7890700004</v>
      </c>
      <c r="U13" s="33">
        <f>D13*U95</f>
        <v>1556117.0038050003</v>
      </c>
      <c r="V13" s="33">
        <f>365*(B74*D57+B75*D58+B76*D59+B77*D60+B78*D61+B79*D62+B80*D63+B81*D64+B82*D65+B83*D66+B84*D67+B85*D68+B86*D69+B87*D70+B88*D71)</f>
        <v>1584384.7</v>
      </c>
      <c r="W13" s="33">
        <f>D13*W95</f>
        <v>1600228.547</v>
      </c>
      <c r="X13" s="33">
        <f>D13*X95</f>
        <v>1616230.83247</v>
      </c>
      <c r="Y13" s="33">
        <f>D13*Y95</f>
        <v>1632393.1407947</v>
      </c>
      <c r="Z13" s="33">
        <f>D13*Z95</f>
        <v>1648717.0722026469</v>
      </c>
      <c r="AA13" s="33">
        <f>D13*AA95</f>
        <v>1665204.2429246735</v>
      </c>
      <c r="AB13" s="33">
        <f>D13*AB95</f>
        <v>1681856.2853539202</v>
      </c>
      <c r="AC13" s="33">
        <f>D13*AC95</f>
        <v>1698674.8482074593</v>
      </c>
      <c r="AD13" s="33">
        <f>D13*AD95</f>
        <v>1715661.5966895341</v>
      </c>
      <c r="AE13" s="33">
        <f>D13*AE95</f>
        <v>1732818.2126564295</v>
      </c>
      <c r="AF13" s="33">
        <f>D13*AF95</f>
        <v>1750146.3947829937</v>
      </c>
      <c r="AG13" s="33">
        <f>D13*AG95</f>
        <v>1767647.8587308237</v>
      </c>
    </row>
    <row r="14" spans="1:33" x14ac:dyDescent="0.2">
      <c r="A14" s="348"/>
      <c r="B14" s="345" t="s">
        <v>133</v>
      </c>
      <c r="C14" s="345"/>
      <c r="D14" s="33">
        <f>365*(C57*D57+C58*D58+C59*D59+C60*D60+C61*D61+C62*D62+C63*D63+C64*D64+C65*D65+C66*D66+C67*D67+C68*D68+C69*D69+C70*D70+C71*D71)</f>
        <v>28170.699999999997</v>
      </c>
      <c r="E14" s="33">
        <f>D14</f>
        <v>28170.699999999997</v>
      </c>
      <c r="F14" s="33">
        <f t="shared" ref="F14:AG14" si="4">E14</f>
        <v>28170.699999999997</v>
      </c>
      <c r="G14" s="33">
        <f t="shared" si="4"/>
        <v>28170.699999999997</v>
      </c>
      <c r="H14" s="33">
        <f t="shared" si="4"/>
        <v>28170.699999999997</v>
      </c>
      <c r="I14" s="33">
        <f t="shared" si="4"/>
        <v>28170.699999999997</v>
      </c>
      <c r="J14" s="33">
        <f t="shared" si="4"/>
        <v>28170.699999999997</v>
      </c>
      <c r="K14" s="33">
        <f t="shared" si="4"/>
        <v>28170.699999999997</v>
      </c>
      <c r="L14" s="33">
        <f t="shared" si="4"/>
        <v>28170.699999999997</v>
      </c>
      <c r="M14" s="33">
        <f t="shared" si="4"/>
        <v>28170.699999999997</v>
      </c>
      <c r="N14" s="33">
        <f t="shared" si="4"/>
        <v>28170.699999999997</v>
      </c>
      <c r="O14" s="33">
        <f t="shared" si="4"/>
        <v>28170.699999999997</v>
      </c>
      <c r="P14" s="33">
        <f t="shared" si="4"/>
        <v>28170.699999999997</v>
      </c>
      <c r="Q14" s="33">
        <f t="shared" si="4"/>
        <v>28170.699999999997</v>
      </c>
      <c r="R14" s="33">
        <f t="shared" si="4"/>
        <v>28170.699999999997</v>
      </c>
      <c r="S14" s="33">
        <f t="shared" si="4"/>
        <v>28170.699999999997</v>
      </c>
      <c r="T14" s="33">
        <f t="shared" si="4"/>
        <v>28170.699999999997</v>
      </c>
      <c r="U14" s="33">
        <f t="shared" si="4"/>
        <v>28170.699999999997</v>
      </c>
      <c r="V14" s="33">
        <f>365*(C74*D57+C75*D58+C76*D59+C77*D60+C78*D61+C79*D62+C80*D63+C81*D64+C82*D65+C83*D66+C84*D67+C85*D68+C86*D69+C87*D70+C88*D71)</f>
        <v>28170.699999999997</v>
      </c>
      <c r="W14" s="33">
        <f t="shared" si="4"/>
        <v>28170.699999999997</v>
      </c>
      <c r="X14" s="33">
        <f t="shared" si="4"/>
        <v>28170.699999999997</v>
      </c>
      <c r="Y14" s="33">
        <f t="shared" si="4"/>
        <v>28170.699999999997</v>
      </c>
      <c r="Z14" s="33">
        <f t="shared" si="4"/>
        <v>28170.699999999997</v>
      </c>
      <c r="AA14" s="33">
        <f t="shared" si="4"/>
        <v>28170.699999999997</v>
      </c>
      <c r="AB14" s="33">
        <f t="shared" si="4"/>
        <v>28170.699999999997</v>
      </c>
      <c r="AC14" s="33">
        <f t="shared" si="4"/>
        <v>28170.699999999997</v>
      </c>
      <c r="AD14" s="33">
        <f t="shared" si="4"/>
        <v>28170.699999999997</v>
      </c>
      <c r="AE14" s="33">
        <f t="shared" si="4"/>
        <v>28170.699999999997</v>
      </c>
      <c r="AF14" s="33">
        <f t="shared" si="4"/>
        <v>28170.699999999997</v>
      </c>
      <c r="AG14" s="33">
        <f t="shared" si="4"/>
        <v>28170.699999999997</v>
      </c>
    </row>
    <row r="16" spans="1:33" x14ac:dyDescent="0.2">
      <c r="A16" s="80" t="s">
        <v>486</v>
      </c>
      <c r="B16" s="337"/>
      <c r="C16" s="338"/>
      <c r="D16" s="79">
        <f>Parametre!B12</f>
        <v>2022</v>
      </c>
      <c r="E16" s="79">
        <f>D16+1</f>
        <v>2023</v>
      </c>
      <c r="F16" s="79">
        <f t="shared" ref="F16:AG16" si="5">E16+1</f>
        <v>2024</v>
      </c>
      <c r="G16" s="79">
        <f t="shared" si="5"/>
        <v>2025</v>
      </c>
      <c r="H16" s="79">
        <f t="shared" si="5"/>
        <v>2026</v>
      </c>
      <c r="I16" s="79">
        <f t="shared" si="5"/>
        <v>2027</v>
      </c>
      <c r="J16" s="79">
        <f t="shared" si="5"/>
        <v>2028</v>
      </c>
      <c r="K16" s="79">
        <f t="shared" si="5"/>
        <v>2029</v>
      </c>
      <c r="L16" s="206">
        <f t="shared" si="5"/>
        <v>2030</v>
      </c>
      <c r="M16" s="79">
        <f t="shared" si="5"/>
        <v>2031</v>
      </c>
      <c r="N16" s="79">
        <f t="shared" si="5"/>
        <v>2032</v>
      </c>
      <c r="O16" s="79">
        <f t="shared" si="5"/>
        <v>2033</v>
      </c>
      <c r="P16" s="79">
        <f t="shared" si="5"/>
        <v>2034</v>
      </c>
      <c r="Q16" s="79">
        <f t="shared" si="5"/>
        <v>2035</v>
      </c>
      <c r="R16" s="79">
        <f t="shared" si="5"/>
        <v>2036</v>
      </c>
      <c r="S16" s="79">
        <f t="shared" si="5"/>
        <v>2037</v>
      </c>
      <c r="T16" s="79">
        <f t="shared" si="5"/>
        <v>2038</v>
      </c>
      <c r="U16" s="79">
        <f t="shared" si="5"/>
        <v>2039</v>
      </c>
      <c r="V16" s="79">
        <f t="shared" si="5"/>
        <v>2040</v>
      </c>
      <c r="W16" s="79">
        <f t="shared" si="5"/>
        <v>2041</v>
      </c>
      <c r="X16" s="79">
        <f t="shared" si="5"/>
        <v>2042</v>
      </c>
      <c r="Y16" s="79">
        <f t="shared" si="5"/>
        <v>2043</v>
      </c>
      <c r="Z16" s="79">
        <f t="shared" si="5"/>
        <v>2044</v>
      </c>
      <c r="AA16" s="79">
        <f t="shared" si="5"/>
        <v>2045</v>
      </c>
      <c r="AB16" s="79">
        <f t="shared" si="5"/>
        <v>2046</v>
      </c>
      <c r="AC16" s="79">
        <f t="shared" si="5"/>
        <v>2047</v>
      </c>
      <c r="AD16" s="79">
        <f t="shared" si="5"/>
        <v>2048</v>
      </c>
      <c r="AE16" s="79">
        <f t="shared" si="5"/>
        <v>2049</v>
      </c>
      <c r="AF16" s="79">
        <f t="shared" si="5"/>
        <v>2050</v>
      </c>
      <c r="AG16" s="79">
        <f t="shared" si="5"/>
        <v>2051</v>
      </c>
    </row>
    <row r="17" spans="1:41" x14ac:dyDescent="0.2">
      <c r="A17" s="164"/>
      <c r="B17" s="342" t="s">
        <v>259</v>
      </c>
      <c r="C17" s="340"/>
      <c r="D17" s="205">
        <f>D10</f>
        <v>380089.1</v>
      </c>
      <c r="E17" s="205">
        <f t="shared" ref="E17:K18" si="6">E10</f>
        <v>380089.1</v>
      </c>
      <c r="F17" s="205">
        <f t="shared" si="6"/>
        <v>389477.30076999997</v>
      </c>
      <c r="G17" s="205">
        <f t="shared" si="6"/>
        <v>398827.49262999994</v>
      </c>
      <c r="H17" s="205">
        <f t="shared" si="6"/>
        <v>398827.49262999994</v>
      </c>
      <c r="I17" s="205">
        <f t="shared" si="6"/>
        <v>398827.49262999994</v>
      </c>
      <c r="J17" s="205">
        <f t="shared" si="6"/>
        <v>398827.49262999994</v>
      </c>
      <c r="K17" s="205">
        <f t="shared" si="6"/>
        <v>398827.49262999994</v>
      </c>
      <c r="L17" s="76">
        <f>D17*L165</f>
        <v>398827.49262999994</v>
      </c>
      <c r="M17" s="76">
        <f>D17*M165</f>
        <v>398827.49262999994</v>
      </c>
      <c r="N17" s="76">
        <f>D17*N165</f>
        <v>398827.49262999994</v>
      </c>
      <c r="O17" s="76">
        <f>D17*O165</f>
        <v>398827.49262999994</v>
      </c>
      <c r="P17" s="76">
        <f>D17*P165</f>
        <v>398827.49262999994</v>
      </c>
      <c r="Q17" s="76">
        <f>D17*Q165</f>
        <v>398827.49262999994</v>
      </c>
      <c r="R17" s="76">
        <f>D17*R165</f>
        <v>398827.49262999994</v>
      </c>
      <c r="S17" s="76">
        <f>D17*S165</f>
        <v>398827.49262999994</v>
      </c>
      <c r="T17" s="76">
        <f>D17*T165</f>
        <v>398827.49262999994</v>
      </c>
      <c r="U17" s="76">
        <f>D17*U165</f>
        <v>398827.49262999994</v>
      </c>
      <c r="V17" s="184">
        <f>(250*(B116*H101+B117*H102+B118*H103+B119*H104+B120*H105+B121*H106+B122*H107+B123*H108+B124*H109+B125*H110+B126*H111)+115*(E116*H101+E117*H102+E118*H103+E119*H104+E120*H105+E121*H106+E122*H107+E123*H108+E124*H109+E125*H110+E126*H111))</f>
        <v>398820.9</v>
      </c>
      <c r="W17" s="185">
        <f>V17</f>
        <v>398820.9</v>
      </c>
      <c r="X17" s="185">
        <f t="shared" ref="X17:AG17" si="7">W17</f>
        <v>398820.9</v>
      </c>
      <c r="Y17" s="185">
        <f t="shared" si="7"/>
        <v>398820.9</v>
      </c>
      <c r="Z17" s="185">
        <f t="shared" si="7"/>
        <v>398820.9</v>
      </c>
      <c r="AA17" s="185">
        <f t="shared" si="7"/>
        <v>398820.9</v>
      </c>
      <c r="AB17" s="185">
        <f t="shared" si="7"/>
        <v>398820.9</v>
      </c>
      <c r="AC17" s="185">
        <f t="shared" si="7"/>
        <v>398820.9</v>
      </c>
      <c r="AD17" s="185">
        <f t="shared" si="7"/>
        <v>398820.9</v>
      </c>
      <c r="AE17" s="185">
        <f t="shared" si="7"/>
        <v>398820.9</v>
      </c>
      <c r="AF17" s="185">
        <f t="shared" si="7"/>
        <v>398820.9</v>
      </c>
      <c r="AG17" s="185">
        <f t="shared" si="7"/>
        <v>398820.9</v>
      </c>
    </row>
    <row r="18" spans="1:41" x14ac:dyDescent="0.2">
      <c r="A18" s="346" t="s">
        <v>52</v>
      </c>
      <c r="B18" s="339" t="s">
        <v>260</v>
      </c>
      <c r="C18" s="340"/>
      <c r="D18" s="205">
        <f>D11</f>
        <v>292967.5</v>
      </c>
      <c r="E18" s="205">
        <f t="shared" si="6"/>
        <v>300291.6875</v>
      </c>
      <c r="F18" s="205">
        <f t="shared" si="6"/>
        <v>307615.875</v>
      </c>
      <c r="G18" s="205">
        <f t="shared" si="6"/>
        <v>314911.8</v>
      </c>
      <c r="H18" s="205">
        <f t="shared" si="6"/>
        <v>314911.8</v>
      </c>
      <c r="I18" s="205">
        <f t="shared" si="6"/>
        <v>314911.8</v>
      </c>
      <c r="J18" s="205">
        <f t="shared" si="6"/>
        <v>314911.8</v>
      </c>
      <c r="K18" s="205">
        <f t="shared" si="6"/>
        <v>314911.8</v>
      </c>
      <c r="L18" s="76">
        <f>D18*L166</f>
        <v>314911.8</v>
      </c>
      <c r="M18" s="76">
        <f>D18*M166</f>
        <v>314911.8</v>
      </c>
      <c r="N18" s="76">
        <f>D18*N166</f>
        <v>314911.8</v>
      </c>
      <c r="O18" s="76">
        <f>D18*O166</f>
        <v>314911.8</v>
      </c>
      <c r="P18" s="76">
        <f>D18*P166</f>
        <v>314911.8</v>
      </c>
      <c r="Q18" s="76">
        <f>D18*Q166</f>
        <v>314911.8</v>
      </c>
      <c r="R18" s="76">
        <f>D18*R166</f>
        <v>314911.8</v>
      </c>
      <c r="S18" s="76">
        <f>D18*S166</f>
        <v>314911.8</v>
      </c>
      <c r="T18" s="76">
        <f>D18*T166</f>
        <v>314911.8</v>
      </c>
      <c r="U18" s="76">
        <f>D18*U166</f>
        <v>314911.8</v>
      </c>
      <c r="V18" s="76">
        <f>(250*(C116*H101+C117*H102+C118*H103+C119*H104+C120*H105+C121*H106+C122*H107+C123*H108+C124*H109+C125*H110+C126*H111)+115*(F116*H101+F117*H102+F118*H103+F119*H104+F120*H105+F121*H106+F122*H107+F123*H108+F124*H109+F125*H110+F126*H111))</f>
        <v>314911.8</v>
      </c>
      <c r="W18" s="76">
        <f t="shared" ref="W18:AG20" si="8">V18</f>
        <v>314911.8</v>
      </c>
      <c r="X18" s="76">
        <f t="shared" si="8"/>
        <v>314911.8</v>
      </c>
      <c r="Y18" s="76">
        <f t="shared" si="8"/>
        <v>314911.8</v>
      </c>
      <c r="Z18" s="76">
        <f t="shared" si="8"/>
        <v>314911.8</v>
      </c>
      <c r="AA18" s="76">
        <f t="shared" si="8"/>
        <v>314911.8</v>
      </c>
      <c r="AB18" s="76">
        <f t="shared" si="8"/>
        <v>314911.8</v>
      </c>
      <c r="AC18" s="76">
        <f t="shared" si="8"/>
        <v>314911.8</v>
      </c>
      <c r="AD18" s="76">
        <f t="shared" si="8"/>
        <v>314911.8</v>
      </c>
      <c r="AE18" s="76">
        <f t="shared" si="8"/>
        <v>314911.8</v>
      </c>
      <c r="AF18" s="76">
        <f t="shared" si="8"/>
        <v>314911.8</v>
      </c>
      <c r="AG18" s="76">
        <f t="shared" si="8"/>
        <v>314911.8</v>
      </c>
    </row>
    <row r="19" spans="1:41" x14ac:dyDescent="0.2">
      <c r="A19" s="347"/>
      <c r="B19" s="339" t="s">
        <v>133</v>
      </c>
      <c r="C19" s="340"/>
      <c r="D19" s="205">
        <f>D12</f>
        <v>699058.59999999986</v>
      </c>
      <c r="E19" s="205">
        <f t="shared" ref="E19:K19" si="9">E12</f>
        <v>699058.59999999986</v>
      </c>
      <c r="F19" s="205">
        <f t="shared" si="9"/>
        <v>699058.59999999986</v>
      </c>
      <c r="G19" s="205">
        <f t="shared" si="9"/>
        <v>699058.59999999986</v>
      </c>
      <c r="H19" s="205">
        <f t="shared" si="9"/>
        <v>699058.59999999986</v>
      </c>
      <c r="I19" s="205">
        <f t="shared" si="9"/>
        <v>699058.59999999986</v>
      </c>
      <c r="J19" s="205">
        <f t="shared" si="9"/>
        <v>699058.59999999986</v>
      </c>
      <c r="K19" s="205">
        <f t="shared" si="9"/>
        <v>699058.59999999986</v>
      </c>
      <c r="L19" s="76">
        <f>(250*(D116*H101+D117*H102+D118*H103+D119*H104+D120*H105+D126*H111)+115*(G116*H101+G117*H102+G118*H103+G119*H104+G120*H105+G126*H111))</f>
        <v>871618.6</v>
      </c>
      <c r="M19" s="76">
        <f>L19</f>
        <v>871618.6</v>
      </c>
      <c r="N19" s="76">
        <f>M19</f>
        <v>871618.6</v>
      </c>
      <c r="O19" s="76">
        <f t="shared" ref="O19:P20" si="10">N19</f>
        <v>871618.6</v>
      </c>
      <c r="P19" s="76">
        <f t="shared" si="10"/>
        <v>871618.6</v>
      </c>
      <c r="Q19" s="76">
        <f>P19</f>
        <v>871618.6</v>
      </c>
      <c r="R19" s="76">
        <f>Q19</f>
        <v>871618.6</v>
      </c>
      <c r="S19" s="76">
        <f>R19</f>
        <v>871618.6</v>
      </c>
      <c r="T19" s="76">
        <f t="shared" ref="T19:U20" si="11">S19</f>
        <v>871618.6</v>
      </c>
      <c r="U19" s="76">
        <f t="shared" si="11"/>
        <v>871618.6</v>
      </c>
      <c r="V19" s="76">
        <f>(250*(D116*H101+D117*H102+D118*H103+D119*H104+D120*H105+D121*H106+D122*H107+D123*H108+D124*H109+D125*H110+D126*H111)+115*(G116*H101+G117*H102+G118*H103+G119*H104+G120*H105+G121*H106+G122*H107+G123*H108+G124*H109+G125*H110+G126*H111))</f>
        <v>871618.6</v>
      </c>
      <c r="W19" s="76">
        <f t="shared" ref="W19:Y20" si="12">V19</f>
        <v>871618.6</v>
      </c>
      <c r="X19" s="76">
        <f t="shared" si="12"/>
        <v>871618.6</v>
      </c>
      <c r="Y19" s="76">
        <f t="shared" si="12"/>
        <v>871618.6</v>
      </c>
      <c r="Z19" s="76">
        <f t="shared" si="8"/>
        <v>871618.6</v>
      </c>
      <c r="AA19" s="76">
        <f t="shared" si="8"/>
        <v>871618.6</v>
      </c>
      <c r="AB19" s="76">
        <f t="shared" si="8"/>
        <v>871618.6</v>
      </c>
      <c r="AC19" s="76">
        <f t="shared" si="8"/>
        <v>871618.6</v>
      </c>
      <c r="AD19" s="76">
        <f t="shared" si="8"/>
        <v>871618.6</v>
      </c>
      <c r="AE19" s="76">
        <f t="shared" si="8"/>
        <v>871618.6</v>
      </c>
      <c r="AF19" s="76">
        <f t="shared" si="8"/>
        <v>871618.6</v>
      </c>
      <c r="AG19" s="76">
        <f t="shared" si="8"/>
        <v>871618.6</v>
      </c>
    </row>
    <row r="20" spans="1:41" x14ac:dyDescent="0.2">
      <c r="A20" s="286"/>
      <c r="B20" s="290" t="s">
        <v>502</v>
      </c>
      <c r="C20" s="285"/>
      <c r="D20" s="205"/>
      <c r="E20" s="205"/>
      <c r="F20" s="205"/>
      <c r="G20" s="205"/>
      <c r="H20" s="205"/>
      <c r="I20" s="205"/>
      <c r="J20" s="205"/>
      <c r="K20" s="205"/>
      <c r="L20" s="76">
        <f>2*(250*80*5.2+115*62*5.2)</f>
        <v>282152</v>
      </c>
      <c r="M20" s="76">
        <f>L20</f>
        <v>282152</v>
      </c>
      <c r="N20" s="76">
        <f t="shared" ref="N20" si="13">M20</f>
        <v>282152</v>
      </c>
      <c r="O20" s="76">
        <f t="shared" si="10"/>
        <v>282152</v>
      </c>
      <c r="P20" s="76">
        <f t="shared" si="10"/>
        <v>282152</v>
      </c>
      <c r="Q20" s="76">
        <f t="shared" ref="Q20:S20" si="14">P20</f>
        <v>282152</v>
      </c>
      <c r="R20" s="76">
        <f t="shared" si="14"/>
        <v>282152</v>
      </c>
      <c r="S20" s="76">
        <f t="shared" si="14"/>
        <v>282152</v>
      </c>
      <c r="T20" s="76">
        <f t="shared" si="11"/>
        <v>282152</v>
      </c>
      <c r="U20" s="76">
        <f t="shared" si="11"/>
        <v>282152</v>
      </c>
      <c r="V20" s="76">
        <f t="shared" ref="V20" si="15">U20</f>
        <v>282152</v>
      </c>
      <c r="W20" s="76">
        <f t="shared" si="12"/>
        <v>282152</v>
      </c>
      <c r="X20" s="76">
        <f t="shared" si="12"/>
        <v>282152</v>
      </c>
      <c r="Y20" s="76">
        <f t="shared" si="12"/>
        <v>282152</v>
      </c>
      <c r="Z20" s="76">
        <f t="shared" si="8"/>
        <v>282152</v>
      </c>
      <c r="AA20" s="76">
        <f t="shared" si="8"/>
        <v>282152</v>
      </c>
      <c r="AB20" s="76">
        <f t="shared" si="8"/>
        <v>282152</v>
      </c>
      <c r="AC20" s="76">
        <f t="shared" si="8"/>
        <v>282152</v>
      </c>
      <c r="AD20" s="76">
        <f t="shared" si="8"/>
        <v>282152</v>
      </c>
      <c r="AE20" s="76">
        <f t="shared" si="8"/>
        <v>282152</v>
      </c>
      <c r="AF20" s="76">
        <f t="shared" si="8"/>
        <v>282152</v>
      </c>
      <c r="AG20" s="76">
        <f t="shared" si="8"/>
        <v>282152</v>
      </c>
    </row>
    <row r="21" spans="1:41" x14ac:dyDescent="0.2">
      <c r="A21" s="346" t="s">
        <v>16</v>
      </c>
      <c r="B21" s="342" t="s">
        <v>132</v>
      </c>
      <c r="C21" s="340"/>
      <c r="D21" s="33">
        <f>D13</f>
        <v>1075483.4500000002</v>
      </c>
      <c r="E21" s="33">
        <f>E13</f>
        <v>1103661.1163900001</v>
      </c>
      <c r="F21" s="33">
        <f>F13</f>
        <v>1131946.3311250003</v>
      </c>
      <c r="G21" s="33">
        <f>G13</f>
        <v>1160123.9975150002</v>
      </c>
      <c r="H21" s="33">
        <f>D21*H168</f>
        <v>1104824.8489558627</v>
      </c>
      <c r="I21" s="33">
        <f>D21*I168</f>
        <v>1131120.6802025046</v>
      </c>
      <c r="J21" s="33">
        <f>D21*J168</f>
        <v>1157416.5114491463</v>
      </c>
      <c r="K21" s="33">
        <f>D21*K168</f>
        <v>1183712.3426957882</v>
      </c>
      <c r="L21" s="33">
        <f>D21*L168</f>
        <v>1210008.1739424299</v>
      </c>
      <c r="M21" s="33">
        <f>D21*M168</f>
        <v>1236304.0051890719</v>
      </c>
      <c r="N21" s="33">
        <f>D21*N168</f>
        <v>1262599.8364357136</v>
      </c>
      <c r="O21" s="33">
        <f>D21*O168</f>
        <v>1288895.6676823555</v>
      </c>
      <c r="P21" s="33">
        <f>D21*P168</f>
        <v>1315191.4989289972</v>
      </c>
      <c r="Q21" s="33">
        <f>D21*Q168</f>
        <v>1341487.3301756391</v>
      </c>
      <c r="R21" s="33">
        <f>D21*R168</f>
        <v>1367783.1614222811</v>
      </c>
      <c r="S21" s="33">
        <f>D21*S168</f>
        <v>1394078.9926689228</v>
      </c>
      <c r="T21" s="33">
        <f>D21*T168</f>
        <v>1420374.8239155647</v>
      </c>
      <c r="U21" s="33">
        <f>D21*U168</f>
        <v>1446670.6551622064</v>
      </c>
      <c r="V21" s="33">
        <f>365*(B146*D146+B147*D147+B148*D148+B149*D149+B150*D150+B151*D151+B152*D152+B153*D153+B154*D154+B155*D155+B156*D156+B157*D157+B158*D158+B159*D159+B160*D160)</f>
        <v>1472950.2</v>
      </c>
      <c r="W21" s="33">
        <f>$D$21*W168</f>
        <v>1487679.7019999998</v>
      </c>
      <c r="X21" s="33">
        <f t="shared" ref="X21:AG21" si="16">$D$21*X168</f>
        <v>1502556.4990199998</v>
      </c>
      <c r="Y21" s="33">
        <f t="shared" si="16"/>
        <v>1517582.0640101999</v>
      </c>
      <c r="Z21" s="33">
        <f t="shared" si="16"/>
        <v>1532757.8846503019</v>
      </c>
      <c r="AA21" s="33">
        <f t="shared" si="16"/>
        <v>1548085.4634968049</v>
      </c>
      <c r="AB21" s="33">
        <f t="shared" si="16"/>
        <v>1563566.318131773</v>
      </c>
      <c r="AC21" s="33">
        <f t="shared" si="16"/>
        <v>1579201.9813130908</v>
      </c>
      <c r="AD21" s="33">
        <f t="shared" si="16"/>
        <v>1594994.0011262216</v>
      </c>
      <c r="AE21" s="33">
        <f t="shared" si="16"/>
        <v>1610943.9411374838</v>
      </c>
      <c r="AF21" s="33">
        <f t="shared" si="16"/>
        <v>1627053.3805488588</v>
      </c>
      <c r="AG21" s="33">
        <f t="shared" si="16"/>
        <v>1643323.9143543476</v>
      </c>
    </row>
    <row r="22" spans="1:41" x14ac:dyDescent="0.2">
      <c r="A22" s="348"/>
      <c r="B22" s="342" t="s">
        <v>133</v>
      </c>
      <c r="C22" s="340"/>
      <c r="D22" s="33">
        <f>D14</f>
        <v>28170.699999999997</v>
      </c>
      <c r="E22" s="33">
        <f t="shared" ref="E22:U22" si="17">E14</f>
        <v>28170.699999999997</v>
      </c>
      <c r="F22" s="33">
        <f t="shared" si="17"/>
        <v>28170.699999999997</v>
      </c>
      <c r="G22" s="33">
        <f t="shared" si="17"/>
        <v>28170.699999999997</v>
      </c>
      <c r="H22" s="33">
        <f t="shared" si="17"/>
        <v>28170.699999999997</v>
      </c>
      <c r="I22" s="33">
        <f t="shared" si="17"/>
        <v>28170.699999999997</v>
      </c>
      <c r="J22" s="33">
        <f t="shared" si="17"/>
        <v>28170.699999999997</v>
      </c>
      <c r="K22" s="33">
        <f t="shared" si="17"/>
        <v>28170.699999999997</v>
      </c>
      <c r="L22" s="33">
        <f t="shared" si="17"/>
        <v>28170.699999999997</v>
      </c>
      <c r="M22" s="33">
        <f t="shared" si="17"/>
        <v>28170.699999999997</v>
      </c>
      <c r="N22" s="33">
        <f t="shared" si="17"/>
        <v>28170.699999999997</v>
      </c>
      <c r="O22" s="33">
        <f t="shared" si="17"/>
        <v>28170.699999999997</v>
      </c>
      <c r="P22" s="33">
        <f t="shared" si="17"/>
        <v>28170.699999999997</v>
      </c>
      <c r="Q22" s="33">
        <f t="shared" si="17"/>
        <v>28170.699999999997</v>
      </c>
      <c r="R22" s="33">
        <f t="shared" si="17"/>
        <v>28170.699999999997</v>
      </c>
      <c r="S22" s="33">
        <f t="shared" si="17"/>
        <v>28170.699999999997</v>
      </c>
      <c r="T22" s="33">
        <f t="shared" si="17"/>
        <v>28170.699999999997</v>
      </c>
      <c r="U22" s="33">
        <f t="shared" si="17"/>
        <v>28170.699999999997</v>
      </c>
      <c r="V22" s="76">
        <f>V14</f>
        <v>28170.699999999997</v>
      </c>
      <c r="W22" s="76">
        <f t="shared" ref="W22:AG22" si="18">V22</f>
        <v>28170.699999999997</v>
      </c>
      <c r="X22" s="76">
        <f t="shared" si="18"/>
        <v>28170.699999999997</v>
      </c>
      <c r="Y22" s="76">
        <f t="shared" si="18"/>
        <v>28170.699999999997</v>
      </c>
      <c r="Z22" s="76">
        <f t="shared" si="18"/>
        <v>28170.699999999997</v>
      </c>
      <c r="AA22" s="76">
        <f t="shared" si="18"/>
        <v>28170.699999999997</v>
      </c>
      <c r="AB22" s="76">
        <f t="shared" si="18"/>
        <v>28170.699999999997</v>
      </c>
      <c r="AC22" s="76">
        <f t="shared" si="18"/>
        <v>28170.699999999997</v>
      </c>
      <c r="AD22" s="76">
        <f t="shared" si="18"/>
        <v>28170.699999999997</v>
      </c>
      <c r="AE22" s="76">
        <f t="shared" si="18"/>
        <v>28170.699999999997</v>
      </c>
      <c r="AF22" s="76">
        <f t="shared" si="18"/>
        <v>28170.699999999997</v>
      </c>
      <c r="AG22" s="76">
        <f t="shared" si="18"/>
        <v>28170.699999999997</v>
      </c>
    </row>
    <row r="23" spans="1:41" x14ac:dyDescent="0.2">
      <c r="V23" s="48"/>
    </row>
    <row r="24" spans="1:41" ht="15" x14ac:dyDescent="0.25">
      <c r="A24" s="46" t="s">
        <v>144</v>
      </c>
      <c r="O24" s="336"/>
      <c r="P24" s="336"/>
      <c r="W24" s="48"/>
    </row>
    <row r="25" spans="1:41" x14ac:dyDescent="0.2">
      <c r="A25" s="3" t="s">
        <v>1</v>
      </c>
      <c r="O25" s="30"/>
      <c r="P25" s="30"/>
    </row>
    <row r="26" spans="1:41" x14ac:dyDescent="0.2">
      <c r="A26" s="3"/>
      <c r="B26" s="341" t="s">
        <v>181</v>
      </c>
      <c r="C26" s="341"/>
      <c r="D26" s="341"/>
      <c r="E26" s="341" t="s">
        <v>182</v>
      </c>
      <c r="F26" s="341"/>
      <c r="G26" s="341"/>
      <c r="O26" s="149"/>
      <c r="P26" s="149"/>
    </row>
    <row r="27" spans="1:41" ht="28.5" customHeight="1" x14ac:dyDescent="0.2">
      <c r="A27" s="7" t="s">
        <v>180</v>
      </c>
      <c r="B27" s="183" t="s">
        <v>261</v>
      </c>
      <c r="C27" s="183" t="s">
        <v>262</v>
      </c>
      <c r="D27" s="78" t="s">
        <v>123</v>
      </c>
      <c r="E27" s="183" t="s">
        <v>261</v>
      </c>
      <c r="F27" s="183" t="s">
        <v>262</v>
      </c>
      <c r="G27" s="148" t="s">
        <v>123</v>
      </c>
      <c r="H27" s="82" t="s">
        <v>145</v>
      </c>
      <c r="I27" s="91"/>
      <c r="J27" s="91"/>
      <c r="K27" s="91"/>
      <c r="L27" s="91"/>
      <c r="M27" s="91"/>
    </row>
    <row r="28" spans="1:41" x14ac:dyDescent="0.2">
      <c r="A28" s="49" t="s">
        <v>119</v>
      </c>
      <c r="B28" s="225" t="s">
        <v>184</v>
      </c>
      <c r="C28" s="225" t="s">
        <v>160</v>
      </c>
      <c r="D28" s="225" t="s">
        <v>110</v>
      </c>
      <c r="E28" s="225" t="s">
        <v>184</v>
      </c>
      <c r="F28" s="225" t="s">
        <v>160</v>
      </c>
      <c r="G28" s="225" t="s">
        <v>110</v>
      </c>
      <c r="H28" s="17" t="s">
        <v>146</v>
      </c>
      <c r="I28" s="81"/>
      <c r="J28" s="81"/>
      <c r="K28" s="81"/>
      <c r="L28" s="81"/>
      <c r="M28" s="81"/>
      <c r="V28" s="24"/>
    </row>
    <row r="29" spans="1:41" x14ac:dyDescent="0.2">
      <c r="A29" s="7" t="s">
        <v>161</v>
      </c>
      <c r="B29" s="17">
        <v>36</v>
      </c>
      <c r="C29" s="17">
        <v>42</v>
      </c>
      <c r="D29" s="17">
        <v>36</v>
      </c>
      <c r="E29" s="151">
        <v>36</v>
      </c>
      <c r="F29" s="151">
        <v>34</v>
      </c>
      <c r="G29" s="151">
        <v>36</v>
      </c>
      <c r="H29" s="111">
        <v>12.83</v>
      </c>
      <c r="I29" s="81"/>
      <c r="J29" s="81"/>
      <c r="K29" s="81"/>
      <c r="L29" s="81"/>
      <c r="M29" s="81"/>
    </row>
    <row r="30" spans="1:41" x14ac:dyDescent="0.2">
      <c r="A30" s="7" t="s">
        <v>162</v>
      </c>
      <c r="B30" s="17">
        <v>26</v>
      </c>
      <c r="C30" s="17">
        <v>32</v>
      </c>
      <c r="D30" s="17">
        <v>36</v>
      </c>
      <c r="E30" s="151">
        <v>26</v>
      </c>
      <c r="F30" s="151">
        <v>8</v>
      </c>
      <c r="G30" s="151">
        <v>36</v>
      </c>
      <c r="H30" s="111">
        <v>7.41</v>
      </c>
      <c r="I30" s="81"/>
      <c r="J30" s="81"/>
      <c r="K30" s="81"/>
      <c r="L30" s="81"/>
      <c r="M30" s="81"/>
    </row>
    <row r="31" spans="1:41" x14ac:dyDescent="0.2">
      <c r="A31" s="62" t="s">
        <v>163</v>
      </c>
      <c r="B31" s="65">
        <v>40</v>
      </c>
      <c r="C31" s="17">
        <v>12</v>
      </c>
      <c r="D31" s="65">
        <v>36</v>
      </c>
      <c r="E31" s="65">
        <v>40</v>
      </c>
      <c r="F31" s="151">
        <v>0</v>
      </c>
      <c r="G31" s="65">
        <v>36</v>
      </c>
      <c r="H31" s="112">
        <v>9.67</v>
      </c>
      <c r="I31" s="69"/>
      <c r="J31" s="69"/>
      <c r="K31" s="69"/>
      <c r="L31" s="69"/>
      <c r="M31" s="69"/>
      <c r="AO31" s="1" t="s">
        <v>64</v>
      </c>
    </row>
    <row r="32" spans="1:41" x14ac:dyDescent="0.2">
      <c r="A32" s="62" t="s">
        <v>165</v>
      </c>
      <c r="B32" s="65">
        <v>0</v>
      </c>
      <c r="C32" s="17">
        <v>4</v>
      </c>
      <c r="D32" s="65">
        <v>48</v>
      </c>
      <c r="E32" s="65">
        <v>0</v>
      </c>
      <c r="F32" s="151">
        <v>0</v>
      </c>
      <c r="G32" s="65">
        <v>36</v>
      </c>
      <c r="H32" s="112">
        <v>5.31</v>
      </c>
      <c r="I32" s="69"/>
      <c r="J32" s="69"/>
      <c r="K32" s="69"/>
      <c r="L32" s="69"/>
      <c r="M32" s="69"/>
    </row>
    <row r="33" spans="1:15" x14ac:dyDescent="0.2">
      <c r="A33" s="62" t="s">
        <v>164</v>
      </c>
      <c r="B33" s="65">
        <v>0</v>
      </c>
      <c r="C33" s="17">
        <v>4</v>
      </c>
      <c r="D33" s="65">
        <v>48</v>
      </c>
      <c r="E33" s="65">
        <v>0</v>
      </c>
      <c r="F33" s="151">
        <v>0</v>
      </c>
      <c r="G33" s="65">
        <v>36</v>
      </c>
      <c r="H33" s="112">
        <v>7.67</v>
      </c>
      <c r="I33" s="69"/>
      <c r="J33" s="69"/>
      <c r="K33" s="69"/>
      <c r="L33" s="69"/>
      <c r="M33" s="69"/>
    </row>
    <row r="34" spans="1:15" x14ac:dyDescent="0.2">
      <c r="A34" s="62" t="s">
        <v>166</v>
      </c>
      <c r="B34" s="65">
        <v>0</v>
      </c>
      <c r="C34" s="17">
        <v>0</v>
      </c>
      <c r="D34" s="65">
        <v>18</v>
      </c>
      <c r="E34" s="65">
        <v>0</v>
      </c>
      <c r="F34" s="151">
        <v>0</v>
      </c>
      <c r="G34" s="65">
        <v>0</v>
      </c>
      <c r="H34" s="112">
        <v>3.23</v>
      </c>
      <c r="I34" s="69"/>
      <c r="J34" s="69" t="s">
        <v>185</v>
      </c>
      <c r="K34" s="69"/>
      <c r="L34" s="69"/>
      <c r="M34" s="69"/>
    </row>
    <row r="35" spans="1:15" x14ac:dyDescent="0.2">
      <c r="A35" s="62" t="s">
        <v>167</v>
      </c>
      <c r="B35" s="65">
        <v>0</v>
      </c>
      <c r="C35" s="17">
        <v>0</v>
      </c>
      <c r="D35" s="65">
        <v>18</v>
      </c>
      <c r="E35" s="65">
        <v>0</v>
      </c>
      <c r="F35" s="151">
        <v>0</v>
      </c>
      <c r="G35" s="65">
        <v>0</v>
      </c>
      <c r="H35" s="112">
        <v>5.6</v>
      </c>
      <c r="I35" s="69"/>
      <c r="J35" s="69"/>
      <c r="K35" s="69"/>
      <c r="L35" s="69"/>
      <c r="M35" s="69"/>
    </row>
    <row r="36" spans="1:15" x14ac:dyDescent="0.2">
      <c r="A36" s="62" t="s">
        <v>168</v>
      </c>
      <c r="B36" s="65">
        <v>0</v>
      </c>
      <c r="C36" s="17">
        <v>0</v>
      </c>
      <c r="D36" s="65">
        <v>0</v>
      </c>
      <c r="E36" s="65">
        <v>0</v>
      </c>
      <c r="F36" s="151">
        <v>0</v>
      </c>
      <c r="G36" s="65">
        <v>0</v>
      </c>
      <c r="H36" s="112">
        <v>2.77</v>
      </c>
      <c r="I36" s="69"/>
      <c r="J36" s="69"/>
      <c r="K36" s="69"/>
      <c r="L36" s="69"/>
      <c r="M36" s="69"/>
    </row>
    <row r="37" spans="1:15" x14ac:dyDescent="0.2">
      <c r="A37" s="62" t="s">
        <v>169</v>
      </c>
      <c r="B37" s="65">
        <v>0</v>
      </c>
      <c r="C37" s="17">
        <v>0</v>
      </c>
      <c r="D37" s="65">
        <v>36</v>
      </c>
      <c r="E37" s="65">
        <v>0</v>
      </c>
      <c r="F37" s="151">
        <v>0</v>
      </c>
      <c r="G37" s="65">
        <v>0</v>
      </c>
      <c r="H37" s="112">
        <v>2.0699999999999998</v>
      </c>
      <c r="I37" s="69"/>
      <c r="J37" s="69"/>
      <c r="K37" s="69"/>
      <c r="L37" s="69"/>
      <c r="M37" s="69"/>
    </row>
    <row r="38" spans="1:15" x14ac:dyDescent="0.2">
      <c r="A38" s="62" t="s">
        <v>170</v>
      </c>
      <c r="B38" s="65">
        <v>0</v>
      </c>
      <c r="C38" s="17">
        <v>0</v>
      </c>
      <c r="D38" s="65">
        <v>0</v>
      </c>
      <c r="E38" s="65">
        <v>0</v>
      </c>
      <c r="F38" s="151">
        <v>0</v>
      </c>
      <c r="G38" s="65">
        <v>0</v>
      </c>
      <c r="H38" s="112">
        <v>12.59</v>
      </c>
      <c r="I38" s="69"/>
      <c r="J38" s="69"/>
      <c r="K38" s="69"/>
      <c r="L38" s="69"/>
      <c r="M38" s="69"/>
    </row>
    <row r="39" spans="1:15" x14ac:dyDescent="0.2">
      <c r="A39" s="62" t="s">
        <v>171</v>
      </c>
      <c r="B39" s="65">
        <v>0</v>
      </c>
      <c r="C39" s="17">
        <v>0</v>
      </c>
      <c r="D39" s="65">
        <v>10</v>
      </c>
      <c r="E39" s="65">
        <v>0</v>
      </c>
      <c r="F39" s="151">
        <v>0</v>
      </c>
      <c r="G39" s="65">
        <v>10</v>
      </c>
      <c r="H39" s="112">
        <v>10.46</v>
      </c>
      <c r="I39" s="69"/>
      <c r="J39" s="69"/>
      <c r="K39" s="69"/>
      <c r="L39" s="69"/>
      <c r="M39" s="69"/>
    </row>
    <row r="40" spans="1:15" x14ac:dyDescent="0.2">
      <c r="A40" s="11"/>
      <c r="B40" s="73"/>
      <c r="C40" s="152"/>
      <c r="D40" s="73"/>
      <c r="E40" s="104"/>
      <c r="F40" s="69"/>
      <c r="H40" s="69"/>
      <c r="I40" s="69"/>
      <c r="J40" s="69"/>
      <c r="K40" s="69"/>
      <c r="L40" s="69"/>
      <c r="M40" s="69"/>
      <c r="N40" s="72"/>
      <c r="O40" s="72"/>
    </row>
    <row r="41" spans="1:15" x14ac:dyDescent="0.2">
      <c r="B41" s="341" t="s">
        <v>181</v>
      </c>
      <c r="C41" s="341"/>
      <c r="D41" s="341"/>
      <c r="E41" s="341" t="s">
        <v>182</v>
      </c>
      <c r="F41" s="341"/>
      <c r="G41" s="341"/>
      <c r="N41" s="71"/>
    </row>
    <row r="42" spans="1:15" ht="28.5" x14ac:dyDescent="0.2">
      <c r="A42" s="7" t="s">
        <v>451</v>
      </c>
      <c r="B42" s="183" t="s">
        <v>261</v>
      </c>
      <c r="C42" s="183" t="s">
        <v>262</v>
      </c>
      <c r="D42" s="146" t="s">
        <v>123</v>
      </c>
      <c r="E42" s="183" t="s">
        <v>261</v>
      </c>
      <c r="F42" s="183" t="s">
        <v>262</v>
      </c>
      <c r="G42" s="148" t="s">
        <v>123</v>
      </c>
      <c r="N42" s="71"/>
    </row>
    <row r="43" spans="1:15" x14ac:dyDescent="0.2">
      <c r="A43" s="49" t="s">
        <v>119</v>
      </c>
      <c r="B43" s="225" t="s">
        <v>184</v>
      </c>
      <c r="C43" s="225" t="s">
        <v>160</v>
      </c>
      <c r="D43" s="225" t="s">
        <v>110</v>
      </c>
      <c r="E43" s="225" t="s">
        <v>184</v>
      </c>
      <c r="F43" s="225" t="s">
        <v>160</v>
      </c>
      <c r="G43" s="225" t="s">
        <v>110</v>
      </c>
      <c r="N43" s="71"/>
    </row>
    <row r="44" spans="1:15" x14ac:dyDescent="0.2">
      <c r="A44" s="7" t="s">
        <v>161</v>
      </c>
      <c r="B44" s="147">
        <v>40</v>
      </c>
      <c r="C44" s="147">
        <v>46</v>
      </c>
      <c r="D44" s="147">
        <v>36</v>
      </c>
      <c r="E44" s="151">
        <v>40</v>
      </c>
      <c r="F44" s="151">
        <v>34</v>
      </c>
      <c r="G44" s="151">
        <v>36</v>
      </c>
      <c r="N44" s="71"/>
    </row>
    <row r="45" spans="1:15" x14ac:dyDescent="0.2">
      <c r="A45" s="7" t="s">
        <v>162</v>
      </c>
      <c r="B45" s="147">
        <v>26</v>
      </c>
      <c r="C45" s="147">
        <v>36</v>
      </c>
      <c r="D45" s="147">
        <v>36</v>
      </c>
      <c r="E45" s="151">
        <v>26</v>
      </c>
      <c r="F45" s="151">
        <v>10</v>
      </c>
      <c r="G45" s="151">
        <v>36</v>
      </c>
      <c r="N45" s="71"/>
    </row>
    <row r="46" spans="1:15" x14ac:dyDescent="0.2">
      <c r="A46" s="62" t="s">
        <v>163</v>
      </c>
      <c r="B46" s="65">
        <v>40</v>
      </c>
      <c r="C46" s="147">
        <v>12</v>
      </c>
      <c r="D46" s="65">
        <v>36</v>
      </c>
      <c r="E46" s="65">
        <v>40</v>
      </c>
      <c r="F46" s="151">
        <v>0</v>
      </c>
      <c r="G46" s="65">
        <v>36</v>
      </c>
      <c r="N46" s="71"/>
    </row>
    <row r="47" spans="1:15" x14ac:dyDescent="0.2">
      <c r="A47" s="62" t="s">
        <v>165</v>
      </c>
      <c r="B47" s="65">
        <v>0</v>
      </c>
      <c r="C47" s="147">
        <v>4</v>
      </c>
      <c r="D47" s="65">
        <v>54</v>
      </c>
      <c r="E47" s="65">
        <v>0</v>
      </c>
      <c r="F47" s="151">
        <v>0</v>
      </c>
      <c r="G47" s="65">
        <v>36</v>
      </c>
      <c r="N47" s="71"/>
    </row>
    <row r="48" spans="1:15" x14ac:dyDescent="0.2">
      <c r="A48" s="62" t="s">
        <v>164</v>
      </c>
      <c r="B48" s="65">
        <v>0</v>
      </c>
      <c r="C48" s="147">
        <v>4</v>
      </c>
      <c r="D48" s="65">
        <v>54</v>
      </c>
      <c r="E48" s="65">
        <v>0</v>
      </c>
      <c r="F48" s="151">
        <v>0</v>
      </c>
      <c r="G48" s="65">
        <v>36</v>
      </c>
      <c r="N48" s="71"/>
    </row>
    <row r="49" spans="1:14" x14ac:dyDescent="0.2">
      <c r="A49" s="62" t="s">
        <v>166</v>
      </c>
      <c r="B49" s="65">
        <v>0</v>
      </c>
      <c r="C49" s="147">
        <v>0</v>
      </c>
      <c r="D49" s="65">
        <v>36</v>
      </c>
      <c r="E49" s="65">
        <v>0</v>
      </c>
      <c r="F49" s="151">
        <v>0</v>
      </c>
      <c r="G49" s="65">
        <v>0</v>
      </c>
      <c r="N49" s="71"/>
    </row>
    <row r="50" spans="1:14" x14ac:dyDescent="0.2">
      <c r="A50" s="62" t="s">
        <v>167</v>
      </c>
      <c r="B50" s="65">
        <v>0</v>
      </c>
      <c r="C50" s="147">
        <v>0</v>
      </c>
      <c r="D50" s="65">
        <v>36</v>
      </c>
      <c r="E50" s="65">
        <v>0</v>
      </c>
      <c r="F50" s="151">
        <v>0</v>
      </c>
      <c r="G50" s="65">
        <v>0</v>
      </c>
      <c r="N50" s="71"/>
    </row>
    <row r="51" spans="1:14" x14ac:dyDescent="0.2">
      <c r="A51" s="62" t="s">
        <v>168</v>
      </c>
      <c r="B51" s="65">
        <v>0</v>
      </c>
      <c r="C51" s="147">
        <v>0</v>
      </c>
      <c r="D51" s="65">
        <v>0</v>
      </c>
      <c r="E51" s="65">
        <v>0</v>
      </c>
      <c r="F51" s="151">
        <v>0</v>
      </c>
      <c r="G51" s="65">
        <v>0</v>
      </c>
      <c r="N51" s="71"/>
    </row>
    <row r="52" spans="1:14" x14ac:dyDescent="0.2">
      <c r="A52" s="62" t="s">
        <v>169</v>
      </c>
      <c r="B52" s="65">
        <v>0</v>
      </c>
      <c r="C52" s="147">
        <v>0</v>
      </c>
      <c r="D52" s="65">
        <v>72</v>
      </c>
      <c r="E52" s="65">
        <v>0</v>
      </c>
      <c r="F52" s="151">
        <v>0</v>
      </c>
      <c r="G52" s="65">
        <v>0</v>
      </c>
      <c r="N52" s="71"/>
    </row>
    <row r="53" spans="1:14" x14ac:dyDescent="0.2">
      <c r="A53" s="62" t="s">
        <v>170</v>
      </c>
      <c r="B53" s="65">
        <v>0</v>
      </c>
      <c r="C53" s="147">
        <v>0</v>
      </c>
      <c r="D53" s="65">
        <v>0</v>
      </c>
      <c r="E53" s="65">
        <v>0</v>
      </c>
      <c r="F53" s="151">
        <v>0</v>
      </c>
      <c r="G53" s="65">
        <v>0</v>
      </c>
      <c r="N53" s="71"/>
    </row>
    <row r="54" spans="1:14" x14ac:dyDescent="0.2">
      <c r="A54" s="62" t="s">
        <v>171</v>
      </c>
      <c r="B54" s="65">
        <v>0</v>
      </c>
      <c r="C54" s="147">
        <v>0</v>
      </c>
      <c r="D54" s="65">
        <v>10</v>
      </c>
      <c r="E54" s="65">
        <v>0</v>
      </c>
      <c r="F54" s="151">
        <v>0</v>
      </c>
      <c r="G54" s="65">
        <v>10</v>
      </c>
      <c r="N54" s="71"/>
    </row>
    <row r="55" spans="1:14" x14ac:dyDescent="0.2">
      <c r="N55" s="71"/>
    </row>
    <row r="56" spans="1:14" x14ac:dyDescent="0.2">
      <c r="A56" s="52" t="s">
        <v>172</v>
      </c>
      <c r="B56" s="17" t="s">
        <v>134</v>
      </c>
      <c r="C56" s="17" t="s">
        <v>111</v>
      </c>
      <c r="D56" s="82" t="s">
        <v>145</v>
      </c>
    </row>
    <row r="57" spans="1:14" x14ac:dyDescent="0.2">
      <c r="A57" s="7" t="s">
        <v>161</v>
      </c>
      <c r="B57" s="17">
        <v>71</v>
      </c>
      <c r="C57" s="17">
        <v>2</v>
      </c>
      <c r="D57" s="111">
        <v>12.83</v>
      </c>
    </row>
    <row r="58" spans="1:14" x14ac:dyDescent="0.2">
      <c r="A58" s="7" t="s">
        <v>162</v>
      </c>
      <c r="B58" s="17">
        <v>16</v>
      </c>
      <c r="C58" s="17">
        <v>0</v>
      </c>
      <c r="D58" s="111">
        <v>7.41</v>
      </c>
    </row>
    <row r="59" spans="1:14" x14ac:dyDescent="0.2">
      <c r="A59" s="62" t="s">
        <v>163</v>
      </c>
      <c r="B59" s="65">
        <v>31</v>
      </c>
      <c r="C59" s="65">
        <v>0</v>
      </c>
      <c r="D59" s="112">
        <v>9.67</v>
      </c>
    </row>
    <row r="60" spans="1:14" x14ac:dyDescent="0.2">
      <c r="A60" s="62" t="s">
        <v>165</v>
      </c>
      <c r="B60" s="65">
        <v>19</v>
      </c>
      <c r="C60" s="65">
        <v>0</v>
      </c>
      <c r="D60" s="112">
        <v>5.31</v>
      </c>
    </row>
    <row r="61" spans="1:14" x14ac:dyDescent="0.2">
      <c r="A61" s="62" t="s">
        <v>164</v>
      </c>
      <c r="B61" s="65">
        <v>16</v>
      </c>
      <c r="C61" s="65">
        <v>2</v>
      </c>
      <c r="D61" s="112">
        <v>7.67</v>
      </c>
    </row>
    <row r="62" spans="1:14" x14ac:dyDescent="0.2">
      <c r="A62" s="62" t="s">
        <v>166</v>
      </c>
      <c r="B62" s="65">
        <v>29</v>
      </c>
      <c r="C62" s="65">
        <v>0</v>
      </c>
      <c r="D62" s="112">
        <v>3.23</v>
      </c>
    </row>
    <row r="63" spans="1:14" x14ac:dyDescent="0.2">
      <c r="A63" s="62" t="s">
        <v>167</v>
      </c>
      <c r="B63" s="65">
        <v>14</v>
      </c>
      <c r="C63" s="65">
        <v>0</v>
      </c>
      <c r="D63" s="112">
        <v>5.6</v>
      </c>
      <c r="E63" s="70"/>
      <c r="F63" s="70"/>
      <c r="G63" s="70"/>
      <c r="H63" s="70"/>
      <c r="I63" s="70"/>
      <c r="J63" s="70"/>
      <c r="K63" s="70"/>
      <c r="L63" s="70"/>
      <c r="M63" s="70"/>
    </row>
    <row r="64" spans="1:14" x14ac:dyDescent="0.2">
      <c r="A64" s="62" t="s">
        <v>169</v>
      </c>
      <c r="B64" s="65">
        <v>54</v>
      </c>
      <c r="C64" s="65">
        <v>2</v>
      </c>
      <c r="D64" s="112">
        <v>2.0699999999999998</v>
      </c>
    </row>
    <row r="65" spans="1:4" x14ac:dyDescent="0.2">
      <c r="A65" s="62" t="s">
        <v>173</v>
      </c>
      <c r="B65" s="65">
        <v>78</v>
      </c>
      <c r="C65" s="65">
        <v>0</v>
      </c>
      <c r="D65" s="154">
        <v>6.17</v>
      </c>
    </row>
    <row r="66" spans="1:4" x14ac:dyDescent="0.2">
      <c r="A66" s="1" t="s">
        <v>174</v>
      </c>
      <c r="B66" s="65">
        <v>48</v>
      </c>
      <c r="C66" s="65">
        <v>0</v>
      </c>
      <c r="D66" s="154">
        <v>6.42</v>
      </c>
    </row>
    <row r="67" spans="1:4" x14ac:dyDescent="0.2">
      <c r="A67" s="62" t="s">
        <v>171</v>
      </c>
      <c r="B67" s="65">
        <v>18</v>
      </c>
      <c r="C67" s="65">
        <v>0</v>
      </c>
      <c r="D67" s="154">
        <v>10.46</v>
      </c>
    </row>
    <row r="68" spans="1:4" x14ac:dyDescent="0.2">
      <c r="A68" s="7" t="s">
        <v>175</v>
      </c>
      <c r="B68" s="65">
        <v>12</v>
      </c>
      <c r="C68" s="65">
        <v>2</v>
      </c>
      <c r="D68" s="154">
        <v>1.56</v>
      </c>
    </row>
    <row r="69" spans="1:4" x14ac:dyDescent="0.2">
      <c r="A69" s="7" t="s">
        <v>176</v>
      </c>
      <c r="B69" s="65">
        <v>5</v>
      </c>
      <c r="C69" s="65">
        <v>2</v>
      </c>
      <c r="D69" s="154">
        <v>8.85</v>
      </c>
    </row>
    <row r="70" spans="1:4" x14ac:dyDescent="0.2">
      <c r="A70" s="7" t="s">
        <v>177</v>
      </c>
      <c r="B70" s="65">
        <v>14</v>
      </c>
      <c r="C70" s="65">
        <v>2</v>
      </c>
      <c r="D70" s="154">
        <v>4.67</v>
      </c>
    </row>
    <row r="71" spans="1:4" x14ac:dyDescent="0.2">
      <c r="A71" s="7" t="s">
        <v>178</v>
      </c>
      <c r="B71" s="65">
        <v>4</v>
      </c>
      <c r="C71" s="65">
        <v>2</v>
      </c>
      <c r="D71" s="154">
        <v>0.94</v>
      </c>
    </row>
    <row r="73" spans="1:4" x14ac:dyDescent="0.2">
      <c r="A73" s="52" t="s">
        <v>179</v>
      </c>
      <c r="B73" s="17" t="s">
        <v>134</v>
      </c>
      <c r="C73" s="17" t="s">
        <v>111</v>
      </c>
    </row>
    <row r="74" spans="1:4" x14ac:dyDescent="0.2">
      <c r="A74" s="7" t="s">
        <v>161</v>
      </c>
      <c r="B74" s="147">
        <v>102</v>
      </c>
      <c r="C74" s="147">
        <v>2</v>
      </c>
    </row>
    <row r="75" spans="1:4" x14ac:dyDescent="0.2">
      <c r="A75" s="7" t="s">
        <v>162</v>
      </c>
      <c r="B75" s="147">
        <v>33</v>
      </c>
      <c r="C75" s="147">
        <v>0</v>
      </c>
    </row>
    <row r="76" spans="1:4" x14ac:dyDescent="0.2">
      <c r="A76" s="62" t="s">
        <v>163</v>
      </c>
      <c r="B76" s="65">
        <v>41</v>
      </c>
      <c r="C76" s="65">
        <v>0</v>
      </c>
    </row>
    <row r="77" spans="1:4" x14ac:dyDescent="0.2">
      <c r="A77" s="62" t="s">
        <v>165</v>
      </c>
      <c r="B77" s="65">
        <v>19</v>
      </c>
      <c r="C77" s="65">
        <v>0</v>
      </c>
    </row>
    <row r="78" spans="1:4" x14ac:dyDescent="0.2">
      <c r="A78" s="62" t="s">
        <v>164</v>
      </c>
      <c r="B78" s="65">
        <v>25</v>
      </c>
      <c r="C78" s="65">
        <v>2</v>
      </c>
    </row>
    <row r="79" spans="1:4" x14ac:dyDescent="0.2">
      <c r="A79" s="62" t="s">
        <v>166</v>
      </c>
      <c r="B79" s="65">
        <v>58</v>
      </c>
      <c r="C79" s="65">
        <v>0</v>
      </c>
    </row>
    <row r="80" spans="1:4" x14ac:dyDescent="0.2">
      <c r="A80" s="62" t="s">
        <v>167</v>
      </c>
      <c r="B80" s="65">
        <v>16</v>
      </c>
      <c r="C80" s="65">
        <v>0</v>
      </c>
    </row>
    <row r="81" spans="1:37" x14ac:dyDescent="0.2">
      <c r="A81" s="62" t="s">
        <v>169</v>
      </c>
      <c r="B81" s="65">
        <v>103</v>
      </c>
      <c r="C81" s="65">
        <v>2</v>
      </c>
    </row>
    <row r="82" spans="1:37" x14ac:dyDescent="0.2">
      <c r="A82" s="62" t="s">
        <v>173</v>
      </c>
      <c r="B82" s="65">
        <v>111</v>
      </c>
      <c r="C82" s="65">
        <v>0</v>
      </c>
    </row>
    <row r="83" spans="1:37" x14ac:dyDescent="0.2">
      <c r="A83" s="1" t="s">
        <v>174</v>
      </c>
      <c r="B83" s="65">
        <v>69</v>
      </c>
      <c r="C83" s="65">
        <v>0</v>
      </c>
    </row>
    <row r="84" spans="1:37" x14ac:dyDescent="0.2">
      <c r="A84" s="62" t="s">
        <v>171</v>
      </c>
      <c r="B84" s="65">
        <v>24</v>
      </c>
      <c r="C84" s="65">
        <v>0</v>
      </c>
    </row>
    <row r="85" spans="1:37" x14ac:dyDescent="0.2">
      <c r="A85" s="7" t="s">
        <v>175</v>
      </c>
      <c r="B85" s="65">
        <v>8</v>
      </c>
      <c r="C85" s="65">
        <v>2</v>
      </c>
    </row>
    <row r="86" spans="1:37" x14ac:dyDescent="0.2">
      <c r="A86" s="7" t="s">
        <v>176</v>
      </c>
      <c r="B86" s="65">
        <v>9</v>
      </c>
      <c r="C86" s="65">
        <v>2</v>
      </c>
    </row>
    <row r="87" spans="1:37" x14ac:dyDescent="0.2">
      <c r="A87" s="7" t="s">
        <v>177</v>
      </c>
      <c r="B87" s="65">
        <v>29</v>
      </c>
      <c r="C87" s="65">
        <v>2</v>
      </c>
      <c r="M87" s="218"/>
      <c r="N87" s="218"/>
      <c r="O87" s="218"/>
      <c r="P87" s="218"/>
      <c r="Q87" s="218"/>
      <c r="R87" s="218"/>
      <c r="S87" s="218"/>
      <c r="T87" s="218"/>
      <c r="U87" s="218"/>
    </row>
    <row r="88" spans="1:37" x14ac:dyDescent="0.2">
      <c r="A88" s="7" t="s">
        <v>178</v>
      </c>
      <c r="B88" s="65">
        <v>2</v>
      </c>
      <c r="C88" s="65">
        <v>2</v>
      </c>
    </row>
    <row r="89" spans="1:37" x14ac:dyDescent="0.2">
      <c r="A89" s="11"/>
      <c r="B89" s="69"/>
      <c r="C89" s="81"/>
    </row>
    <row r="90" spans="1:37" x14ac:dyDescent="0.2">
      <c r="A90" s="75" t="s">
        <v>452</v>
      </c>
      <c r="N90" s="47"/>
    </row>
    <row r="91" spans="1:37" x14ac:dyDescent="0.2">
      <c r="A91" s="88"/>
      <c r="B91" s="17">
        <v>2022</v>
      </c>
      <c r="C91" s="17" t="s">
        <v>453</v>
      </c>
      <c r="D91" s="17">
        <f>Parametre!B12</f>
        <v>2022</v>
      </c>
      <c r="E91" s="17">
        <f>D91+1</f>
        <v>2023</v>
      </c>
      <c r="F91" s="17">
        <f t="shared" ref="F91:AG91" si="19">E91+1</f>
        <v>2024</v>
      </c>
      <c r="G91" s="17">
        <f t="shared" si="19"/>
        <v>2025</v>
      </c>
      <c r="H91" s="17">
        <f t="shared" si="19"/>
        <v>2026</v>
      </c>
      <c r="I91" s="17">
        <f t="shared" si="19"/>
        <v>2027</v>
      </c>
      <c r="J91" s="17">
        <f t="shared" si="19"/>
        <v>2028</v>
      </c>
      <c r="K91" s="17">
        <f t="shared" si="19"/>
        <v>2029</v>
      </c>
      <c r="L91" s="17">
        <f t="shared" si="19"/>
        <v>2030</v>
      </c>
      <c r="M91" s="17">
        <f t="shared" si="19"/>
        <v>2031</v>
      </c>
      <c r="N91" s="17">
        <f t="shared" si="19"/>
        <v>2032</v>
      </c>
      <c r="O91" s="17">
        <f t="shared" si="19"/>
        <v>2033</v>
      </c>
      <c r="P91" s="17">
        <f t="shared" si="19"/>
        <v>2034</v>
      </c>
      <c r="Q91" s="17">
        <f t="shared" si="19"/>
        <v>2035</v>
      </c>
      <c r="R91" s="17">
        <f t="shared" si="19"/>
        <v>2036</v>
      </c>
      <c r="S91" s="17">
        <f t="shared" si="19"/>
        <v>2037</v>
      </c>
      <c r="T91" s="17">
        <f t="shared" si="19"/>
        <v>2038</v>
      </c>
      <c r="U91" s="17">
        <f t="shared" si="19"/>
        <v>2039</v>
      </c>
      <c r="V91" s="17">
        <f t="shared" si="19"/>
        <v>2040</v>
      </c>
      <c r="W91" s="17">
        <f t="shared" si="19"/>
        <v>2041</v>
      </c>
      <c r="X91" s="17">
        <f t="shared" si="19"/>
        <v>2042</v>
      </c>
      <c r="Y91" s="17">
        <f t="shared" si="19"/>
        <v>2043</v>
      </c>
      <c r="Z91" s="17">
        <f t="shared" si="19"/>
        <v>2044</v>
      </c>
      <c r="AA91" s="17">
        <f t="shared" si="19"/>
        <v>2045</v>
      </c>
      <c r="AB91" s="17">
        <f t="shared" si="19"/>
        <v>2046</v>
      </c>
      <c r="AC91" s="17">
        <f t="shared" si="19"/>
        <v>2047</v>
      </c>
      <c r="AD91" s="17">
        <f t="shared" si="19"/>
        <v>2048</v>
      </c>
      <c r="AE91" s="17">
        <f t="shared" si="19"/>
        <v>2049</v>
      </c>
      <c r="AF91" s="17">
        <f t="shared" si="19"/>
        <v>2050</v>
      </c>
      <c r="AG91" s="17">
        <f t="shared" si="19"/>
        <v>2051</v>
      </c>
    </row>
    <row r="92" spans="1:37" x14ac:dyDescent="0.2">
      <c r="A92" s="89" t="s">
        <v>263</v>
      </c>
      <c r="B92" s="28">
        <v>1</v>
      </c>
      <c r="C92" s="155">
        <f>AG92/B92</f>
        <v>1.0492826550406209</v>
      </c>
      <c r="D92" s="96">
        <v>1</v>
      </c>
      <c r="E92" s="96">
        <v>1</v>
      </c>
      <c r="F92" s="96">
        <v>1.0246999999999999</v>
      </c>
      <c r="G92" s="96">
        <v>1.0492999999999999</v>
      </c>
      <c r="H92" s="96">
        <f>G92</f>
        <v>1.0492999999999999</v>
      </c>
      <c r="I92" s="96">
        <f t="shared" ref="I92:O92" si="20">H92</f>
        <v>1.0492999999999999</v>
      </c>
      <c r="J92" s="96">
        <f t="shared" si="20"/>
        <v>1.0492999999999999</v>
      </c>
      <c r="K92" s="96">
        <f t="shared" si="20"/>
        <v>1.0492999999999999</v>
      </c>
      <c r="L92" s="96">
        <f t="shared" si="20"/>
        <v>1.0492999999999999</v>
      </c>
      <c r="M92" s="96">
        <f t="shared" si="20"/>
        <v>1.0492999999999999</v>
      </c>
      <c r="N92" s="96">
        <f t="shared" si="20"/>
        <v>1.0492999999999999</v>
      </c>
      <c r="O92" s="96">
        <f t="shared" si="20"/>
        <v>1.0492999999999999</v>
      </c>
      <c r="P92" s="96">
        <f t="shared" ref="P92:U92" si="21">O92</f>
        <v>1.0492999999999999</v>
      </c>
      <c r="Q92" s="96">
        <f t="shared" si="21"/>
        <v>1.0492999999999999</v>
      </c>
      <c r="R92" s="96">
        <f t="shared" si="21"/>
        <v>1.0492999999999999</v>
      </c>
      <c r="S92" s="96">
        <f t="shared" si="21"/>
        <v>1.0492999999999999</v>
      </c>
      <c r="T92" s="96">
        <f t="shared" si="21"/>
        <v>1.0492999999999999</v>
      </c>
      <c r="U92" s="96">
        <f t="shared" si="21"/>
        <v>1.0492999999999999</v>
      </c>
      <c r="V92" s="155">
        <f>(V10/D10)</f>
        <v>1.0492826550406209</v>
      </c>
      <c r="W92" s="155">
        <f>V92</f>
        <v>1.0492826550406209</v>
      </c>
      <c r="X92" s="155">
        <f t="shared" ref="X92:AG93" si="22">W92</f>
        <v>1.0492826550406209</v>
      </c>
      <c r="Y92" s="155">
        <f t="shared" si="22"/>
        <v>1.0492826550406209</v>
      </c>
      <c r="Z92" s="155">
        <f t="shared" si="22"/>
        <v>1.0492826550406209</v>
      </c>
      <c r="AA92" s="155">
        <f t="shared" si="22"/>
        <v>1.0492826550406209</v>
      </c>
      <c r="AB92" s="155">
        <f t="shared" si="22"/>
        <v>1.0492826550406209</v>
      </c>
      <c r="AC92" s="155">
        <f t="shared" si="22"/>
        <v>1.0492826550406209</v>
      </c>
      <c r="AD92" s="155">
        <f t="shared" si="22"/>
        <v>1.0492826550406209</v>
      </c>
      <c r="AE92" s="155">
        <f t="shared" si="22"/>
        <v>1.0492826550406209</v>
      </c>
      <c r="AF92" s="155">
        <f t="shared" si="22"/>
        <v>1.0492826550406209</v>
      </c>
      <c r="AG92" s="155">
        <f t="shared" si="22"/>
        <v>1.0492826550406209</v>
      </c>
    </row>
    <row r="93" spans="1:37" x14ac:dyDescent="0.2">
      <c r="A93" s="89" t="s">
        <v>264</v>
      </c>
      <c r="B93" s="28">
        <v>1</v>
      </c>
      <c r="C93" s="155">
        <f t="shared" ref="C93:C95" si="23">AG93/B93</f>
        <v>1.0749035302550625</v>
      </c>
      <c r="D93" s="96">
        <v>1</v>
      </c>
      <c r="E93" s="96">
        <v>1.0249999999999999</v>
      </c>
      <c r="F93" s="96">
        <v>1.05</v>
      </c>
      <c r="G93" s="96">
        <f>V93</f>
        <v>1.0749035302550625</v>
      </c>
      <c r="H93" s="96">
        <f>G93</f>
        <v>1.0749035302550625</v>
      </c>
      <c r="I93" s="96">
        <f t="shared" ref="I93:O93" si="24">H93</f>
        <v>1.0749035302550625</v>
      </c>
      <c r="J93" s="96">
        <f t="shared" si="24"/>
        <v>1.0749035302550625</v>
      </c>
      <c r="K93" s="96">
        <f t="shared" si="24"/>
        <v>1.0749035302550625</v>
      </c>
      <c r="L93" s="96">
        <f t="shared" si="24"/>
        <v>1.0749035302550625</v>
      </c>
      <c r="M93" s="96">
        <f t="shared" si="24"/>
        <v>1.0749035302550625</v>
      </c>
      <c r="N93" s="96">
        <f t="shared" si="24"/>
        <v>1.0749035302550625</v>
      </c>
      <c r="O93" s="96">
        <f t="shared" si="24"/>
        <v>1.0749035302550625</v>
      </c>
      <c r="P93" s="96">
        <f t="shared" ref="P93:U93" si="25">Y93</f>
        <v>1.0749035302550625</v>
      </c>
      <c r="Q93" s="96">
        <f t="shared" si="25"/>
        <v>1.0749035302550625</v>
      </c>
      <c r="R93" s="96">
        <f t="shared" si="25"/>
        <v>1.0749035302550625</v>
      </c>
      <c r="S93" s="96">
        <f t="shared" si="25"/>
        <v>1.0749035302550625</v>
      </c>
      <c r="T93" s="96">
        <f t="shared" si="25"/>
        <v>1.0749035302550625</v>
      </c>
      <c r="U93" s="96">
        <f t="shared" si="25"/>
        <v>1.0749035302550625</v>
      </c>
      <c r="V93" s="155">
        <f>(V11/D11)</f>
        <v>1.0749035302550625</v>
      </c>
      <c r="W93" s="155">
        <f>V93</f>
        <v>1.0749035302550625</v>
      </c>
      <c r="X93" s="155">
        <f t="shared" si="22"/>
        <v>1.0749035302550625</v>
      </c>
      <c r="Y93" s="155">
        <f t="shared" si="22"/>
        <v>1.0749035302550625</v>
      </c>
      <c r="Z93" s="155">
        <f t="shared" si="22"/>
        <v>1.0749035302550625</v>
      </c>
      <c r="AA93" s="155">
        <f t="shared" si="22"/>
        <v>1.0749035302550625</v>
      </c>
      <c r="AB93" s="155">
        <f t="shared" si="22"/>
        <v>1.0749035302550625</v>
      </c>
      <c r="AC93" s="155">
        <f t="shared" si="22"/>
        <v>1.0749035302550625</v>
      </c>
      <c r="AD93" s="155">
        <f t="shared" si="22"/>
        <v>1.0749035302550625</v>
      </c>
      <c r="AE93" s="155">
        <f t="shared" si="22"/>
        <v>1.0749035302550625</v>
      </c>
      <c r="AF93" s="155">
        <f t="shared" si="22"/>
        <v>1.0749035302550625</v>
      </c>
      <c r="AG93" s="155">
        <f t="shared" si="22"/>
        <v>1.0749035302550625</v>
      </c>
    </row>
    <row r="94" spans="1:37" x14ac:dyDescent="0.2">
      <c r="A94" s="89" t="s">
        <v>265</v>
      </c>
      <c r="B94" s="28">
        <v>1</v>
      </c>
      <c r="C94" s="155">
        <f t="shared" si="23"/>
        <v>1.111342597029777</v>
      </c>
      <c r="D94" s="96">
        <v>1</v>
      </c>
      <c r="E94" s="96">
        <f>D94</f>
        <v>1</v>
      </c>
      <c r="F94" s="96">
        <f t="shared" ref="F94:K94" si="26">E94</f>
        <v>1</v>
      </c>
      <c r="G94" s="96">
        <f t="shared" si="26"/>
        <v>1</v>
      </c>
      <c r="H94" s="96">
        <f t="shared" si="26"/>
        <v>1</v>
      </c>
      <c r="I94" s="96">
        <f t="shared" si="26"/>
        <v>1</v>
      </c>
      <c r="J94" s="96">
        <f t="shared" si="26"/>
        <v>1</v>
      </c>
      <c r="K94" s="96">
        <f t="shared" si="26"/>
        <v>1</v>
      </c>
      <c r="L94" s="96">
        <f>V94</f>
        <v>1.111342597029777</v>
      </c>
      <c r="M94" s="118">
        <f>V94</f>
        <v>1.111342597029777</v>
      </c>
      <c r="N94" s="118">
        <f>V94</f>
        <v>1.111342597029777</v>
      </c>
      <c r="O94" s="118">
        <f>V94</f>
        <v>1.111342597029777</v>
      </c>
      <c r="P94" s="118">
        <f>V94</f>
        <v>1.111342597029777</v>
      </c>
      <c r="Q94" s="118">
        <f>V94</f>
        <v>1.111342597029777</v>
      </c>
      <c r="R94" s="118">
        <f>V94</f>
        <v>1.111342597029777</v>
      </c>
      <c r="S94" s="118">
        <f>V94</f>
        <v>1.111342597029777</v>
      </c>
      <c r="T94" s="118">
        <f>V94</f>
        <v>1.111342597029777</v>
      </c>
      <c r="U94" s="118">
        <f>V94</f>
        <v>1.111342597029777</v>
      </c>
      <c r="V94" s="156">
        <f>(V12/D12)</f>
        <v>1.111342597029777</v>
      </c>
      <c r="W94" s="155">
        <f>V94</f>
        <v>1.111342597029777</v>
      </c>
      <c r="X94" s="155">
        <f t="shared" ref="X94:AG94" si="27">W94</f>
        <v>1.111342597029777</v>
      </c>
      <c r="Y94" s="155">
        <f t="shared" si="27"/>
        <v>1.111342597029777</v>
      </c>
      <c r="Z94" s="155">
        <f t="shared" si="27"/>
        <v>1.111342597029777</v>
      </c>
      <c r="AA94" s="155">
        <f t="shared" si="27"/>
        <v>1.111342597029777</v>
      </c>
      <c r="AB94" s="155">
        <f t="shared" si="27"/>
        <v>1.111342597029777</v>
      </c>
      <c r="AC94" s="155">
        <f t="shared" si="27"/>
        <v>1.111342597029777</v>
      </c>
      <c r="AD94" s="155">
        <f t="shared" si="27"/>
        <v>1.111342597029777</v>
      </c>
      <c r="AE94" s="155">
        <f t="shared" si="27"/>
        <v>1.111342597029777</v>
      </c>
      <c r="AF94" s="155">
        <f t="shared" si="27"/>
        <v>1.111342597029777</v>
      </c>
      <c r="AG94" s="155">
        <f t="shared" si="27"/>
        <v>1.111342597029777</v>
      </c>
    </row>
    <row r="95" spans="1:37" x14ac:dyDescent="0.2">
      <c r="A95" s="89" t="s">
        <v>147</v>
      </c>
      <c r="B95" s="28">
        <v>1</v>
      </c>
      <c r="C95" s="155">
        <f t="shared" si="23"/>
        <v>1.643584435195933</v>
      </c>
      <c r="D95" s="96">
        <v>1</v>
      </c>
      <c r="E95" s="96">
        <v>1.0262</v>
      </c>
      <c r="F95" s="96">
        <v>1.0525</v>
      </c>
      <c r="G95" s="96">
        <v>1.0787</v>
      </c>
      <c r="H95" s="96">
        <v>1.105</v>
      </c>
      <c r="I95" s="96">
        <v>1.1313</v>
      </c>
      <c r="J95" s="96">
        <v>1.1576</v>
      </c>
      <c r="K95" s="96">
        <v>1.1839</v>
      </c>
      <c r="L95" s="96">
        <v>1.2101999999999999</v>
      </c>
      <c r="M95" s="96">
        <v>1.2364999999999999</v>
      </c>
      <c r="N95" s="96">
        <v>1.2627999999999999</v>
      </c>
      <c r="O95" s="96">
        <v>1.2890999999999999</v>
      </c>
      <c r="P95" s="96">
        <v>1.3153999999999999</v>
      </c>
      <c r="Q95" s="96">
        <v>1.3416999999999999</v>
      </c>
      <c r="R95" s="96">
        <v>1.3680000000000001</v>
      </c>
      <c r="S95" s="96">
        <v>1.3943000000000001</v>
      </c>
      <c r="T95" s="96">
        <v>1.4206000000000001</v>
      </c>
      <c r="U95" s="96">
        <v>1.4469000000000001</v>
      </c>
      <c r="V95" s="98">
        <f>V13/D13</f>
        <v>1.4731837110092207</v>
      </c>
      <c r="W95" s="98">
        <f>V95*1.01</f>
        <v>1.4879155481193129</v>
      </c>
      <c r="X95" s="98">
        <f t="shared" ref="X95:AG95" si="28">W95*1.01</f>
        <v>1.502794703600506</v>
      </c>
      <c r="Y95" s="98">
        <f t="shared" si="28"/>
        <v>1.5178226506365111</v>
      </c>
      <c r="Z95" s="98">
        <f t="shared" si="28"/>
        <v>1.5330008771428763</v>
      </c>
      <c r="AA95" s="98">
        <f t="shared" si="28"/>
        <v>1.548330885914305</v>
      </c>
      <c r="AB95" s="98">
        <f t="shared" si="28"/>
        <v>1.5638141947734481</v>
      </c>
      <c r="AC95" s="98">
        <f t="shared" si="28"/>
        <v>1.5794523367211826</v>
      </c>
      <c r="AD95" s="98">
        <f t="shared" si="28"/>
        <v>1.5952468600883944</v>
      </c>
      <c r="AE95" s="98">
        <f t="shared" si="28"/>
        <v>1.6111993286892785</v>
      </c>
      <c r="AF95" s="98">
        <f t="shared" si="28"/>
        <v>1.6273113219761712</v>
      </c>
      <c r="AG95" s="98">
        <f t="shared" si="28"/>
        <v>1.643584435195933</v>
      </c>
    </row>
    <row r="96" spans="1:37" x14ac:dyDescent="0.2">
      <c r="A96" s="92"/>
      <c r="B96" s="67"/>
      <c r="C96" s="72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</row>
    <row r="97" spans="1:37" x14ac:dyDescent="0.2">
      <c r="A97" s="3" t="s">
        <v>486</v>
      </c>
      <c r="B97" s="67"/>
      <c r="C97" s="72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</row>
    <row r="98" spans="1:37" x14ac:dyDescent="0.2">
      <c r="A98" s="3"/>
      <c r="B98" s="341" t="s">
        <v>181</v>
      </c>
      <c r="C98" s="341"/>
      <c r="D98" s="341"/>
      <c r="E98" s="341" t="s">
        <v>182</v>
      </c>
      <c r="F98" s="341"/>
      <c r="G98" s="341"/>
      <c r="H98" s="93"/>
      <c r="I98" s="93"/>
      <c r="J98" s="93"/>
      <c r="K98" s="93"/>
      <c r="L98" s="93"/>
      <c r="M98" s="93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</row>
    <row r="99" spans="1:37" ht="28.5" x14ac:dyDescent="0.2">
      <c r="A99" s="7" t="s">
        <v>180</v>
      </c>
      <c r="B99" s="183" t="s">
        <v>261</v>
      </c>
      <c r="C99" s="183" t="s">
        <v>262</v>
      </c>
      <c r="D99" s="78" t="s">
        <v>123</v>
      </c>
      <c r="E99" s="183" t="s">
        <v>261</v>
      </c>
      <c r="F99" s="183" t="s">
        <v>262</v>
      </c>
      <c r="G99" s="148" t="s">
        <v>123</v>
      </c>
      <c r="H99" s="82" t="s">
        <v>145</v>
      </c>
      <c r="I99" s="93"/>
      <c r="J99" s="93"/>
      <c r="K99" s="93"/>
      <c r="L99" s="93"/>
      <c r="M99" s="93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  <c r="AK99" s="72"/>
    </row>
    <row r="100" spans="1:37" x14ac:dyDescent="0.2">
      <c r="A100" s="49" t="s">
        <v>119</v>
      </c>
      <c r="B100" s="225" t="s">
        <v>184</v>
      </c>
      <c r="C100" s="225" t="s">
        <v>160</v>
      </c>
      <c r="D100" s="225" t="s">
        <v>110</v>
      </c>
      <c r="E100" s="225" t="s">
        <v>184</v>
      </c>
      <c r="F100" s="225" t="s">
        <v>160</v>
      </c>
      <c r="G100" s="225" t="s">
        <v>110</v>
      </c>
      <c r="H100" s="17" t="s">
        <v>146</v>
      </c>
      <c r="I100" s="93"/>
      <c r="J100" s="93"/>
      <c r="K100" s="93"/>
      <c r="L100" s="93"/>
      <c r="M100" s="93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  <c r="AK100" s="72"/>
    </row>
    <row r="101" spans="1:37" x14ac:dyDescent="0.2">
      <c r="A101" s="7" t="s">
        <v>161</v>
      </c>
      <c r="B101" s="151">
        <v>36</v>
      </c>
      <c r="C101" s="151">
        <v>42</v>
      </c>
      <c r="D101" s="151">
        <v>36</v>
      </c>
      <c r="E101" s="151">
        <v>36</v>
      </c>
      <c r="F101" s="151">
        <v>34</v>
      </c>
      <c r="G101" s="151">
        <v>36</v>
      </c>
      <c r="H101" s="111">
        <v>12.83</v>
      </c>
      <c r="I101" s="93"/>
      <c r="J101" s="93"/>
      <c r="K101" s="93"/>
      <c r="L101" s="93"/>
      <c r="M101" s="93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</row>
    <row r="102" spans="1:37" x14ac:dyDescent="0.2">
      <c r="A102" s="7" t="s">
        <v>162</v>
      </c>
      <c r="B102" s="151">
        <v>26</v>
      </c>
      <c r="C102" s="151">
        <v>32</v>
      </c>
      <c r="D102" s="151">
        <v>36</v>
      </c>
      <c r="E102" s="151">
        <v>26</v>
      </c>
      <c r="F102" s="151">
        <v>8</v>
      </c>
      <c r="G102" s="151">
        <v>36</v>
      </c>
      <c r="H102" s="111">
        <v>7.41</v>
      </c>
      <c r="I102" s="93"/>
      <c r="J102" s="93"/>
      <c r="K102" s="93"/>
      <c r="L102" s="93"/>
      <c r="M102" s="93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</row>
    <row r="103" spans="1:37" x14ac:dyDescent="0.2">
      <c r="A103" s="62" t="s">
        <v>163</v>
      </c>
      <c r="B103" s="65">
        <v>40</v>
      </c>
      <c r="C103" s="151">
        <v>12</v>
      </c>
      <c r="D103" s="65">
        <v>36</v>
      </c>
      <c r="E103" s="65">
        <v>40</v>
      </c>
      <c r="F103" s="151">
        <v>0</v>
      </c>
      <c r="G103" s="65">
        <v>36</v>
      </c>
      <c r="H103" s="112">
        <v>9.67</v>
      </c>
      <c r="I103" s="93"/>
      <c r="J103" s="93"/>
      <c r="K103" s="93"/>
      <c r="L103" s="93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1:37" x14ac:dyDescent="0.2">
      <c r="A104" s="62" t="s">
        <v>165</v>
      </c>
      <c r="B104" s="65">
        <v>0</v>
      </c>
      <c r="C104" s="151">
        <v>4</v>
      </c>
      <c r="D104" s="65">
        <v>48</v>
      </c>
      <c r="E104" s="65">
        <v>0</v>
      </c>
      <c r="F104" s="151">
        <v>0</v>
      </c>
      <c r="G104" s="65">
        <v>36</v>
      </c>
      <c r="H104" s="112">
        <v>5.31</v>
      </c>
      <c r="I104" s="93"/>
      <c r="J104" s="93"/>
      <c r="K104" s="93"/>
      <c r="L104" s="93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1:37" x14ac:dyDescent="0.2">
      <c r="A105" s="62" t="s">
        <v>164</v>
      </c>
      <c r="B105" s="65">
        <v>0</v>
      </c>
      <c r="C105" s="151">
        <v>4</v>
      </c>
      <c r="D105" s="65">
        <v>48</v>
      </c>
      <c r="E105" s="65">
        <v>0</v>
      </c>
      <c r="F105" s="151">
        <v>0</v>
      </c>
      <c r="G105" s="65">
        <v>36</v>
      </c>
      <c r="H105" s="112">
        <v>7.67</v>
      </c>
      <c r="I105" s="93"/>
      <c r="J105" s="93"/>
      <c r="K105" s="93"/>
      <c r="L105" s="93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1:37" x14ac:dyDescent="0.2">
      <c r="A106" s="62" t="s">
        <v>166</v>
      </c>
      <c r="B106" s="65">
        <v>0</v>
      </c>
      <c r="C106" s="151">
        <v>0</v>
      </c>
      <c r="D106" s="65">
        <v>18</v>
      </c>
      <c r="E106" s="65">
        <v>0</v>
      </c>
      <c r="F106" s="151">
        <v>0</v>
      </c>
      <c r="G106" s="65">
        <v>0</v>
      </c>
      <c r="H106" s="112">
        <v>3.23</v>
      </c>
      <c r="I106" s="93"/>
      <c r="J106" s="93"/>
      <c r="K106" s="93"/>
      <c r="L106" s="93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1:37" x14ac:dyDescent="0.2">
      <c r="A107" s="62" t="s">
        <v>167</v>
      </c>
      <c r="B107" s="65">
        <v>0</v>
      </c>
      <c r="C107" s="151">
        <v>0</v>
      </c>
      <c r="D107" s="65">
        <v>18</v>
      </c>
      <c r="E107" s="65">
        <v>0</v>
      </c>
      <c r="F107" s="151">
        <v>0</v>
      </c>
      <c r="G107" s="65">
        <v>0</v>
      </c>
      <c r="H107" s="112">
        <v>5.6</v>
      </c>
      <c r="I107" s="93"/>
      <c r="J107" s="93"/>
      <c r="K107" s="93"/>
      <c r="L107" s="93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1:37" x14ac:dyDescent="0.2">
      <c r="A108" s="62" t="s">
        <v>168</v>
      </c>
      <c r="B108" s="65">
        <v>0</v>
      </c>
      <c r="C108" s="151">
        <v>0</v>
      </c>
      <c r="D108" s="65">
        <v>0</v>
      </c>
      <c r="E108" s="65">
        <v>0</v>
      </c>
      <c r="F108" s="151">
        <v>0</v>
      </c>
      <c r="G108" s="65">
        <v>0</v>
      </c>
      <c r="H108" s="112">
        <v>2.77</v>
      </c>
      <c r="I108" s="93"/>
      <c r="J108" s="93"/>
      <c r="K108" s="93"/>
      <c r="L108" s="93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1:37" x14ac:dyDescent="0.2">
      <c r="A109" s="62" t="s">
        <v>169</v>
      </c>
      <c r="B109" s="65">
        <v>0</v>
      </c>
      <c r="C109" s="151">
        <v>0</v>
      </c>
      <c r="D109" s="65">
        <v>36</v>
      </c>
      <c r="E109" s="65">
        <v>0</v>
      </c>
      <c r="F109" s="151">
        <v>0</v>
      </c>
      <c r="G109" s="65">
        <v>0</v>
      </c>
      <c r="H109" s="112">
        <v>2.0699999999999998</v>
      </c>
      <c r="I109" s="93"/>
      <c r="J109" s="93"/>
      <c r="K109" s="93"/>
      <c r="L109" s="93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1:37" x14ac:dyDescent="0.2">
      <c r="A110" s="62" t="s">
        <v>170</v>
      </c>
      <c r="B110" s="65">
        <v>0</v>
      </c>
      <c r="C110" s="151">
        <v>0</v>
      </c>
      <c r="D110" s="65">
        <v>0</v>
      </c>
      <c r="E110" s="65">
        <v>0</v>
      </c>
      <c r="F110" s="151">
        <v>0</v>
      </c>
      <c r="G110" s="65">
        <v>0</v>
      </c>
      <c r="H110" s="112">
        <v>12.59</v>
      </c>
      <c r="I110" s="93"/>
      <c r="J110" s="93"/>
      <c r="K110" s="93"/>
      <c r="L110" s="93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1:37" x14ac:dyDescent="0.2">
      <c r="A111" s="62" t="s">
        <v>171</v>
      </c>
      <c r="B111" s="65">
        <v>0</v>
      </c>
      <c r="C111" s="151">
        <v>0</v>
      </c>
      <c r="D111" s="65">
        <v>10</v>
      </c>
      <c r="E111" s="65">
        <v>0</v>
      </c>
      <c r="F111" s="151">
        <v>0</v>
      </c>
      <c r="G111" s="65">
        <v>10</v>
      </c>
      <c r="H111" s="112">
        <v>10.46</v>
      </c>
      <c r="I111" s="93"/>
      <c r="J111" s="93"/>
      <c r="K111" s="93"/>
      <c r="L111" s="93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1:37" x14ac:dyDescent="0.2">
      <c r="A112" s="11"/>
      <c r="B112" s="73"/>
      <c r="C112" s="152"/>
      <c r="D112" s="73"/>
      <c r="E112" s="104"/>
      <c r="F112" s="93"/>
      <c r="G112" s="93"/>
      <c r="H112" s="93"/>
      <c r="I112" s="93"/>
      <c r="J112" s="93"/>
      <c r="K112" s="93"/>
      <c r="L112" s="93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1:37" x14ac:dyDescent="0.2">
      <c r="A113" s="92"/>
      <c r="B113" s="341" t="s">
        <v>181</v>
      </c>
      <c r="C113" s="341"/>
      <c r="D113" s="341"/>
      <c r="E113" s="341" t="s">
        <v>182</v>
      </c>
      <c r="F113" s="341"/>
      <c r="G113" s="341"/>
      <c r="H113" s="93"/>
      <c r="I113" s="93"/>
      <c r="J113" s="93"/>
      <c r="K113" s="93"/>
      <c r="L113" s="93"/>
      <c r="M113" s="93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  <c r="AK113" s="72"/>
    </row>
    <row r="114" spans="1:37" ht="28.5" customHeight="1" x14ac:dyDescent="0.2">
      <c r="A114" s="7" t="s">
        <v>451</v>
      </c>
      <c r="B114" s="183" t="s">
        <v>261</v>
      </c>
      <c r="C114" s="183" t="s">
        <v>262</v>
      </c>
      <c r="D114" s="78" t="s">
        <v>123</v>
      </c>
      <c r="E114" s="183" t="s">
        <v>261</v>
      </c>
      <c r="F114" s="183" t="s">
        <v>262</v>
      </c>
      <c r="G114" s="148" t="s">
        <v>123</v>
      </c>
      <c r="H114" s="91"/>
      <c r="I114" s="91"/>
      <c r="J114" s="91"/>
      <c r="K114" s="91"/>
      <c r="L114" s="91"/>
      <c r="M114" s="91"/>
    </row>
    <row r="115" spans="1:37" x14ac:dyDescent="0.2">
      <c r="A115" s="49" t="s">
        <v>119</v>
      </c>
      <c r="B115" s="17" t="s">
        <v>184</v>
      </c>
      <c r="C115" s="17" t="s">
        <v>160</v>
      </c>
      <c r="D115" s="17" t="s">
        <v>110</v>
      </c>
      <c r="E115" s="153" t="s">
        <v>184</v>
      </c>
      <c r="F115" s="153" t="s">
        <v>160</v>
      </c>
      <c r="G115" s="151" t="s">
        <v>110</v>
      </c>
      <c r="H115" s="81"/>
      <c r="I115" s="81"/>
      <c r="J115" s="81"/>
      <c r="K115" s="81"/>
      <c r="L115" s="81"/>
      <c r="M115" s="81"/>
    </row>
    <row r="116" spans="1:37" x14ac:dyDescent="0.2">
      <c r="A116" s="7" t="s">
        <v>161</v>
      </c>
      <c r="B116" s="217">
        <v>40</v>
      </c>
      <c r="C116" s="217">
        <v>46</v>
      </c>
      <c r="D116" s="255">
        <v>54</v>
      </c>
      <c r="E116" s="255">
        <v>40</v>
      </c>
      <c r="F116" s="255">
        <v>34</v>
      </c>
      <c r="G116" s="255">
        <v>36</v>
      </c>
      <c r="H116" s="81"/>
      <c r="I116" s="81"/>
      <c r="J116" s="81"/>
      <c r="K116" s="81"/>
      <c r="L116" s="81"/>
      <c r="M116" s="24"/>
    </row>
    <row r="117" spans="1:37" x14ac:dyDescent="0.2">
      <c r="A117" s="7" t="s">
        <v>162</v>
      </c>
      <c r="B117" s="217">
        <v>26</v>
      </c>
      <c r="C117" s="217">
        <v>36</v>
      </c>
      <c r="D117" s="255">
        <v>72</v>
      </c>
      <c r="E117" s="255">
        <v>26</v>
      </c>
      <c r="F117" s="255">
        <v>10</v>
      </c>
      <c r="G117" s="255">
        <v>36</v>
      </c>
      <c r="H117" s="81"/>
      <c r="I117" s="81"/>
      <c r="J117" s="81"/>
      <c r="K117" s="81"/>
      <c r="L117" s="81"/>
      <c r="M117" s="24"/>
    </row>
    <row r="118" spans="1:37" x14ac:dyDescent="0.2">
      <c r="A118" s="62" t="s">
        <v>163</v>
      </c>
      <c r="B118" s="65">
        <v>40</v>
      </c>
      <c r="C118" s="217">
        <v>12</v>
      </c>
      <c r="D118" s="65">
        <v>72</v>
      </c>
      <c r="E118" s="65">
        <v>40</v>
      </c>
      <c r="F118" s="255">
        <v>0</v>
      </c>
      <c r="G118" s="65">
        <v>36</v>
      </c>
      <c r="H118" s="69"/>
      <c r="I118" s="69"/>
      <c r="J118" s="69"/>
      <c r="K118" s="69"/>
      <c r="L118" s="69"/>
      <c r="M118" s="69"/>
    </row>
    <row r="119" spans="1:37" x14ac:dyDescent="0.2">
      <c r="A119" s="62" t="s">
        <v>165</v>
      </c>
      <c r="B119" s="65">
        <v>0</v>
      </c>
      <c r="C119" s="217">
        <v>4</v>
      </c>
      <c r="D119" s="65">
        <v>54</v>
      </c>
      <c r="E119" s="65">
        <v>0</v>
      </c>
      <c r="F119" s="255">
        <v>0</v>
      </c>
      <c r="G119" s="65">
        <v>36</v>
      </c>
      <c r="H119" s="69"/>
      <c r="I119" s="69"/>
      <c r="J119" s="69"/>
      <c r="K119" s="69"/>
      <c r="L119" s="69"/>
      <c r="M119" s="69"/>
    </row>
    <row r="120" spans="1:37" x14ac:dyDescent="0.2">
      <c r="A120" s="62" t="s">
        <v>164</v>
      </c>
      <c r="B120" s="65">
        <v>0</v>
      </c>
      <c r="C120" s="217">
        <v>4</v>
      </c>
      <c r="D120" s="65">
        <v>54</v>
      </c>
      <c r="E120" s="65">
        <v>0</v>
      </c>
      <c r="F120" s="255">
        <v>0</v>
      </c>
      <c r="G120" s="65">
        <v>36</v>
      </c>
      <c r="H120" s="69"/>
      <c r="I120" s="69"/>
      <c r="J120" s="69"/>
      <c r="K120" s="69"/>
      <c r="L120" s="69"/>
      <c r="M120" s="69"/>
    </row>
    <row r="121" spans="1:37" x14ac:dyDescent="0.2">
      <c r="A121" s="62" t="s">
        <v>166</v>
      </c>
      <c r="B121" s="65">
        <v>0</v>
      </c>
      <c r="C121" s="217">
        <v>0</v>
      </c>
      <c r="D121" s="65">
        <v>0</v>
      </c>
      <c r="E121" s="65">
        <v>0</v>
      </c>
      <c r="F121" s="255">
        <v>0</v>
      </c>
      <c r="G121" s="65">
        <v>0</v>
      </c>
      <c r="H121" s="69"/>
      <c r="I121" s="69"/>
      <c r="J121" s="69"/>
      <c r="K121" s="69"/>
      <c r="L121" s="69"/>
      <c r="M121" s="69"/>
    </row>
    <row r="122" spans="1:37" x14ac:dyDescent="0.2">
      <c r="A122" s="62" t="s">
        <v>167</v>
      </c>
      <c r="B122" s="65">
        <v>0</v>
      </c>
      <c r="C122" s="217">
        <v>0</v>
      </c>
      <c r="D122" s="65">
        <v>0</v>
      </c>
      <c r="E122" s="65">
        <v>0</v>
      </c>
      <c r="F122" s="255">
        <v>0</v>
      </c>
      <c r="G122" s="65">
        <v>0</v>
      </c>
      <c r="H122" s="69"/>
      <c r="I122" s="69"/>
      <c r="J122" s="69"/>
      <c r="K122" s="69"/>
      <c r="L122" s="69"/>
      <c r="M122" s="69"/>
    </row>
    <row r="123" spans="1:37" x14ac:dyDescent="0.2">
      <c r="A123" s="62" t="s">
        <v>168</v>
      </c>
      <c r="B123" s="65">
        <v>0</v>
      </c>
      <c r="C123" s="217">
        <v>0</v>
      </c>
      <c r="D123" s="65">
        <v>0</v>
      </c>
      <c r="E123" s="65">
        <v>0</v>
      </c>
      <c r="F123" s="255">
        <v>0</v>
      </c>
      <c r="G123" s="65">
        <v>0</v>
      </c>
      <c r="H123" s="69"/>
      <c r="I123" s="69"/>
      <c r="J123" s="69"/>
      <c r="K123" s="69"/>
      <c r="L123" s="69"/>
      <c r="M123" s="69"/>
    </row>
    <row r="124" spans="1:37" x14ac:dyDescent="0.2">
      <c r="A124" s="62" t="s">
        <v>169</v>
      </c>
      <c r="B124" s="65">
        <v>0</v>
      </c>
      <c r="C124" s="217">
        <v>0</v>
      </c>
      <c r="D124" s="65">
        <v>0</v>
      </c>
      <c r="E124" s="65">
        <v>0</v>
      </c>
      <c r="F124" s="255">
        <v>0</v>
      </c>
      <c r="G124" s="65">
        <v>0</v>
      </c>
      <c r="H124" s="69"/>
      <c r="I124" s="69"/>
      <c r="J124" s="69"/>
      <c r="K124" s="69"/>
      <c r="L124" s="69"/>
      <c r="M124" s="69"/>
    </row>
    <row r="125" spans="1:37" x14ac:dyDescent="0.2">
      <c r="A125" s="62" t="s">
        <v>170</v>
      </c>
      <c r="B125" s="65">
        <v>0</v>
      </c>
      <c r="C125" s="217">
        <v>0</v>
      </c>
      <c r="D125" s="65">
        <v>0</v>
      </c>
      <c r="E125" s="65">
        <v>0</v>
      </c>
      <c r="F125" s="255">
        <v>0</v>
      </c>
      <c r="G125" s="65">
        <v>0</v>
      </c>
      <c r="H125" s="69"/>
      <c r="I125" s="69"/>
      <c r="J125" s="69"/>
      <c r="K125" s="69"/>
      <c r="L125" s="69"/>
      <c r="M125" s="69"/>
    </row>
    <row r="126" spans="1:37" x14ac:dyDescent="0.2">
      <c r="A126" s="62" t="s">
        <v>171</v>
      </c>
      <c r="B126" s="65">
        <v>0</v>
      </c>
      <c r="C126" s="217">
        <v>0</v>
      </c>
      <c r="D126" s="65">
        <v>10</v>
      </c>
      <c r="E126" s="65">
        <v>0</v>
      </c>
      <c r="F126" s="255">
        <v>0</v>
      </c>
      <c r="G126" s="65">
        <v>10</v>
      </c>
      <c r="H126" s="69"/>
      <c r="I126" s="69"/>
      <c r="J126" s="69"/>
      <c r="K126" s="69"/>
      <c r="L126" s="69"/>
      <c r="M126" s="69"/>
    </row>
    <row r="128" spans="1:37" x14ac:dyDescent="0.2">
      <c r="A128" s="52" t="s">
        <v>172</v>
      </c>
      <c r="B128" s="151" t="s">
        <v>134</v>
      </c>
      <c r="C128" s="151" t="s">
        <v>111</v>
      </c>
      <c r="E128" s="93"/>
      <c r="F128" s="93"/>
      <c r="G128" s="93"/>
      <c r="H128" s="93"/>
      <c r="I128" s="93"/>
      <c r="J128" s="93"/>
      <c r="K128" s="93"/>
      <c r="L128" s="93"/>
      <c r="M128" s="93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2"/>
      <c r="AI128" s="72"/>
      <c r="AJ128" s="72"/>
      <c r="AK128" s="72"/>
    </row>
    <row r="129" spans="1:37" x14ac:dyDescent="0.2">
      <c r="A129" s="7" t="s">
        <v>161</v>
      </c>
      <c r="B129" s="151">
        <v>71</v>
      </c>
      <c r="C129" s="151">
        <v>2</v>
      </c>
      <c r="E129" s="93"/>
      <c r="F129" s="93"/>
      <c r="G129" s="93"/>
      <c r="H129" s="93"/>
      <c r="I129" s="93"/>
      <c r="J129" s="93"/>
      <c r="K129" s="93"/>
      <c r="L129" s="93"/>
      <c r="M129" s="93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</row>
    <row r="130" spans="1:37" x14ac:dyDescent="0.2">
      <c r="A130" s="7" t="s">
        <v>162</v>
      </c>
      <c r="B130" s="151">
        <v>16</v>
      </c>
      <c r="C130" s="151">
        <v>0</v>
      </c>
      <c r="E130" s="93"/>
      <c r="F130" s="93"/>
      <c r="G130" s="93"/>
      <c r="H130" s="93"/>
      <c r="I130" s="93"/>
      <c r="J130" s="93"/>
      <c r="K130" s="93"/>
      <c r="L130" s="93"/>
      <c r="M130" s="93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</row>
    <row r="131" spans="1:37" x14ac:dyDescent="0.2">
      <c r="A131" s="62" t="s">
        <v>163</v>
      </c>
      <c r="B131" s="65">
        <v>31</v>
      </c>
      <c r="C131" s="65">
        <v>0</v>
      </c>
      <c r="E131" s="93"/>
      <c r="F131" s="93"/>
      <c r="G131" s="93"/>
      <c r="H131" s="93"/>
      <c r="I131" s="93"/>
      <c r="J131" s="93"/>
      <c r="K131" s="93"/>
      <c r="L131" s="93"/>
      <c r="M131" s="93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</row>
    <row r="132" spans="1:37" x14ac:dyDescent="0.2">
      <c r="A132" s="62" t="s">
        <v>165</v>
      </c>
      <c r="B132" s="65">
        <v>19</v>
      </c>
      <c r="C132" s="65">
        <v>0</v>
      </c>
      <c r="E132" s="93"/>
      <c r="F132" s="93"/>
      <c r="G132" s="93"/>
      <c r="H132" s="93"/>
      <c r="I132" s="93"/>
      <c r="J132" s="93"/>
      <c r="K132" s="93"/>
      <c r="L132" s="93"/>
      <c r="M132" s="93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  <c r="AE132" s="72"/>
      <c r="AF132" s="72"/>
      <c r="AG132" s="72"/>
      <c r="AH132" s="72"/>
      <c r="AI132" s="72"/>
      <c r="AJ132" s="72"/>
      <c r="AK132" s="72"/>
    </row>
    <row r="133" spans="1:37" x14ac:dyDescent="0.2">
      <c r="A133" s="62" t="s">
        <v>164</v>
      </c>
      <c r="B133" s="65">
        <v>16</v>
      </c>
      <c r="C133" s="65">
        <v>2</v>
      </c>
      <c r="E133" s="93"/>
      <c r="F133" s="93"/>
      <c r="G133" s="93"/>
      <c r="H133" s="93"/>
      <c r="I133" s="93"/>
      <c r="J133" s="93"/>
      <c r="K133" s="93"/>
      <c r="L133" s="93"/>
      <c r="M133" s="93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  <c r="AE133" s="72"/>
      <c r="AF133" s="72"/>
      <c r="AG133" s="72"/>
      <c r="AH133" s="72"/>
      <c r="AI133" s="72"/>
      <c r="AJ133" s="72"/>
      <c r="AK133" s="72"/>
    </row>
    <row r="134" spans="1:37" x14ac:dyDescent="0.2">
      <c r="A134" s="62" t="s">
        <v>166</v>
      </c>
      <c r="B134" s="65">
        <v>29</v>
      </c>
      <c r="C134" s="65">
        <v>0</v>
      </c>
      <c r="E134" s="93"/>
      <c r="F134" s="93"/>
      <c r="G134" s="93"/>
      <c r="H134" s="93"/>
      <c r="I134" s="93"/>
      <c r="J134" s="93"/>
      <c r="K134" s="93"/>
      <c r="L134" s="93"/>
      <c r="M134" s="93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</row>
    <row r="135" spans="1:37" x14ac:dyDescent="0.2">
      <c r="A135" s="62" t="s">
        <v>167</v>
      </c>
      <c r="B135" s="65">
        <v>14</v>
      </c>
      <c r="C135" s="65">
        <v>0</v>
      </c>
      <c r="E135" s="93"/>
      <c r="F135" s="93"/>
      <c r="G135" s="93"/>
      <c r="H135" s="93"/>
      <c r="I135" s="93"/>
      <c r="J135" s="93"/>
      <c r="K135" s="93"/>
      <c r="L135" s="93"/>
      <c r="M135" s="93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</row>
    <row r="136" spans="1:37" x14ac:dyDescent="0.2">
      <c r="A136" s="62" t="s">
        <v>169</v>
      </c>
      <c r="B136" s="65">
        <v>54</v>
      </c>
      <c r="C136" s="65">
        <v>2</v>
      </c>
      <c r="E136" s="93"/>
      <c r="F136" s="93"/>
      <c r="G136" s="93"/>
      <c r="H136" s="93"/>
      <c r="I136" s="93"/>
      <c r="J136" s="93"/>
      <c r="K136" s="93"/>
      <c r="L136" s="93"/>
      <c r="M136" s="93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</row>
    <row r="137" spans="1:37" x14ac:dyDescent="0.2">
      <c r="A137" s="62" t="s">
        <v>173</v>
      </c>
      <c r="B137" s="65">
        <v>78</v>
      </c>
      <c r="C137" s="65">
        <v>0</v>
      </c>
      <c r="E137" s="93"/>
      <c r="F137" s="93"/>
      <c r="G137" s="93"/>
      <c r="H137" s="93"/>
      <c r="I137" s="93"/>
      <c r="J137" s="93"/>
      <c r="K137" s="93"/>
      <c r="L137" s="93"/>
      <c r="M137" s="93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/>
      <c r="AG137" s="72"/>
      <c r="AH137" s="72"/>
      <c r="AI137" s="72"/>
      <c r="AJ137" s="72"/>
      <c r="AK137" s="72"/>
    </row>
    <row r="138" spans="1:37" x14ac:dyDescent="0.2">
      <c r="A138" s="1" t="s">
        <v>174</v>
      </c>
      <c r="B138" s="65">
        <v>48</v>
      </c>
      <c r="C138" s="65">
        <v>0</v>
      </c>
      <c r="E138" s="93"/>
      <c r="F138" s="93"/>
      <c r="G138" s="93"/>
      <c r="H138" s="93"/>
      <c r="I138" s="93"/>
      <c r="J138" s="93"/>
      <c r="K138" s="93"/>
      <c r="L138" s="93"/>
      <c r="M138" s="93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</row>
    <row r="139" spans="1:37" x14ac:dyDescent="0.2">
      <c r="A139" s="62" t="s">
        <v>171</v>
      </c>
      <c r="B139" s="65">
        <v>18</v>
      </c>
      <c r="C139" s="65">
        <v>0</v>
      </c>
      <c r="E139" s="93"/>
      <c r="F139" s="93"/>
      <c r="G139" s="93"/>
      <c r="H139" s="93"/>
      <c r="I139" s="93"/>
      <c r="J139" s="93"/>
      <c r="K139" s="93"/>
      <c r="L139" s="93"/>
      <c r="M139" s="93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</row>
    <row r="140" spans="1:37" x14ac:dyDescent="0.2">
      <c r="A140" s="7" t="s">
        <v>175</v>
      </c>
      <c r="B140" s="65">
        <v>12</v>
      </c>
      <c r="C140" s="65">
        <v>2</v>
      </c>
      <c r="E140" s="93"/>
      <c r="F140" s="93"/>
      <c r="G140" s="93"/>
      <c r="H140" s="93"/>
      <c r="I140" s="93"/>
      <c r="J140" s="93"/>
      <c r="K140" s="93"/>
      <c r="L140" s="93"/>
      <c r="M140" s="93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</row>
    <row r="141" spans="1:37" x14ac:dyDescent="0.2">
      <c r="A141" s="7" t="s">
        <v>176</v>
      </c>
      <c r="B141" s="65">
        <v>5</v>
      </c>
      <c r="C141" s="65">
        <v>2</v>
      </c>
      <c r="E141" s="93"/>
      <c r="F141" s="93"/>
      <c r="G141" s="93"/>
      <c r="H141" s="93"/>
      <c r="I141" s="93"/>
      <c r="J141" s="93"/>
      <c r="K141" s="93"/>
      <c r="L141" s="93"/>
      <c r="M141" s="93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</row>
    <row r="142" spans="1:37" x14ac:dyDescent="0.2">
      <c r="A142" s="7" t="s">
        <v>177</v>
      </c>
      <c r="B142" s="65">
        <v>14</v>
      </c>
      <c r="C142" s="65">
        <v>2</v>
      </c>
      <c r="E142" s="119"/>
      <c r="F142" s="93"/>
      <c r="G142" s="93"/>
      <c r="H142" s="93"/>
      <c r="I142" s="93"/>
      <c r="J142" s="93"/>
      <c r="K142" s="93"/>
      <c r="L142" s="93"/>
      <c r="M142" s="93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</row>
    <row r="143" spans="1:37" x14ac:dyDescent="0.2">
      <c r="A143" s="7" t="s">
        <v>178</v>
      </c>
      <c r="B143" s="65">
        <v>4</v>
      </c>
      <c r="C143" s="65">
        <v>2</v>
      </c>
      <c r="E143" s="119"/>
      <c r="F143" s="93"/>
      <c r="G143" s="93"/>
      <c r="H143" s="93"/>
      <c r="I143" s="93"/>
      <c r="J143" s="93"/>
      <c r="K143" s="93"/>
      <c r="L143" s="93"/>
      <c r="M143" s="93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</row>
    <row r="144" spans="1:37" x14ac:dyDescent="0.2"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</row>
    <row r="145" spans="1:37" x14ac:dyDescent="0.2">
      <c r="A145" s="52" t="s">
        <v>179</v>
      </c>
      <c r="B145" s="151" t="s">
        <v>134</v>
      </c>
      <c r="C145" s="151" t="s">
        <v>111</v>
      </c>
      <c r="D145" s="82" t="s">
        <v>145</v>
      </c>
      <c r="E145" s="93"/>
      <c r="F145" s="93"/>
      <c r="G145" s="93"/>
      <c r="H145" s="93"/>
      <c r="I145" s="93"/>
      <c r="J145" s="93"/>
      <c r="K145" s="93"/>
      <c r="L145" s="93"/>
      <c r="M145" s="93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</row>
    <row r="146" spans="1:37" x14ac:dyDescent="0.2">
      <c r="A146" s="7" t="s">
        <v>161</v>
      </c>
      <c r="B146" s="151">
        <v>102</v>
      </c>
      <c r="C146" s="151">
        <v>2</v>
      </c>
      <c r="D146" s="111">
        <v>12.83</v>
      </c>
      <c r="E146" s="93"/>
      <c r="F146" s="93"/>
      <c r="G146" s="93"/>
      <c r="H146" s="93"/>
      <c r="I146" s="93"/>
      <c r="J146" s="93"/>
      <c r="K146" s="93"/>
      <c r="L146" s="93"/>
      <c r="M146" s="93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</row>
    <row r="147" spans="1:37" x14ac:dyDescent="0.2">
      <c r="A147" s="7" t="s">
        <v>162</v>
      </c>
      <c r="B147" s="151">
        <v>8</v>
      </c>
      <c r="C147" s="151">
        <v>0</v>
      </c>
      <c r="D147" s="111">
        <v>7.41</v>
      </c>
      <c r="E147" s="93"/>
      <c r="F147" s="93"/>
      <c r="G147" s="93"/>
      <c r="H147" s="93"/>
      <c r="I147" s="93"/>
      <c r="J147" s="93"/>
      <c r="K147" s="93"/>
      <c r="L147" s="93"/>
      <c r="M147" s="93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</row>
    <row r="148" spans="1:37" x14ac:dyDescent="0.2">
      <c r="A148" s="62" t="s">
        <v>163</v>
      </c>
      <c r="B148" s="65">
        <v>31</v>
      </c>
      <c r="C148" s="65">
        <v>0</v>
      </c>
      <c r="D148" s="112">
        <v>9.67</v>
      </c>
      <c r="E148" s="93"/>
      <c r="F148" s="93"/>
      <c r="G148" s="93"/>
      <c r="H148" s="93"/>
      <c r="I148" s="93"/>
      <c r="J148" s="93"/>
      <c r="K148" s="93"/>
      <c r="L148" s="93"/>
      <c r="M148" s="93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</row>
    <row r="149" spans="1:37" x14ac:dyDescent="0.2">
      <c r="A149" s="62" t="s">
        <v>165</v>
      </c>
      <c r="B149" s="65">
        <v>54</v>
      </c>
      <c r="C149" s="65">
        <v>0</v>
      </c>
      <c r="D149" s="112">
        <v>5.31</v>
      </c>
      <c r="E149" s="93"/>
      <c r="F149" s="93"/>
      <c r="G149" s="93"/>
      <c r="H149" s="93"/>
      <c r="I149" s="93"/>
      <c r="J149" s="93"/>
      <c r="K149" s="93"/>
      <c r="L149" s="93"/>
      <c r="M149" s="93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</row>
    <row r="150" spans="1:37" x14ac:dyDescent="0.2">
      <c r="A150" s="62" t="s">
        <v>164</v>
      </c>
      <c r="B150" s="65">
        <v>25</v>
      </c>
      <c r="C150" s="65">
        <v>2</v>
      </c>
      <c r="D150" s="112">
        <v>7.67</v>
      </c>
      <c r="E150" s="93"/>
      <c r="F150" s="93"/>
      <c r="G150" s="93"/>
      <c r="H150" s="93"/>
      <c r="I150" s="93"/>
      <c r="J150" s="93"/>
      <c r="K150" s="93"/>
      <c r="L150" s="93"/>
      <c r="M150" s="93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2"/>
      <c r="AH150" s="72"/>
      <c r="AI150" s="72"/>
      <c r="AJ150" s="72"/>
      <c r="AK150" s="72"/>
    </row>
    <row r="151" spans="1:37" x14ac:dyDescent="0.2">
      <c r="A151" s="62" t="s">
        <v>166</v>
      </c>
      <c r="B151" s="65">
        <v>33</v>
      </c>
      <c r="C151" s="65">
        <v>0</v>
      </c>
      <c r="D151" s="112">
        <v>3.23</v>
      </c>
      <c r="E151" s="93"/>
      <c r="F151" s="93"/>
      <c r="G151" s="93"/>
      <c r="H151" s="93"/>
      <c r="I151" s="93"/>
      <c r="J151" s="93"/>
      <c r="K151" s="93"/>
      <c r="L151" s="93"/>
      <c r="M151" s="93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</row>
    <row r="152" spans="1:37" x14ac:dyDescent="0.2">
      <c r="A152" s="62" t="s">
        <v>167</v>
      </c>
      <c r="B152" s="65">
        <v>6</v>
      </c>
      <c r="C152" s="65">
        <v>0</v>
      </c>
      <c r="D152" s="112">
        <v>5.6</v>
      </c>
      <c r="E152" s="93"/>
      <c r="F152" s="93"/>
      <c r="G152" s="93"/>
      <c r="H152" s="93"/>
      <c r="I152" s="93"/>
      <c r="J152" s="93"/>
      <c r="K152" s="93"/>
      <c r="L152" s="93"/>
      <c r="M152" s="93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</row>
    <row r="153" spans="1:37" x14ac:dyDescent="0.2">
      <c r="A153" s="62" t="s">
        <v>169</v>
      </c>
      <c r="B153" s="65">
        <v>68</v>
      </c>
      <c r="C153" s="65">
        <v>2</v>
      </c>
      <c r="D153" s="112">
        <v>2.0699999999999998</v>
      </c>
      <c r="E153" s="93"/>
      <c r="F153" s="93"/>
      <c r="G153" s="93"/>
      <c r="H153" s="93"/>
      <c r="I153" s="93"/>
      <c r="J153" s="93"/>
      <c r="K153" s="93"/>
      <c r="L153" s="93"/>
      <c r="M153" s="93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</row>
    <row r="154" spans="1:37" x14ac:dyDescent="0.2">
      <c r="A154" s="62" t="s">
        <v>173</v>
      </c>
      <c r="B154" s="65">
        <v>111</v>
      </c>
      <c r="C154" s="65">
        <v>0</v>
      </c>
      <c r="D154" s="154">
        <v>6.17</v>
      </c>
      <c r="E154" s="93"/>
      <c r="F154" s="93"/>
      <c r="G154" s="93"/>
      <c r="H154" s="93"/>
      <c r="I154" s="93"/>
      <c r="J154" s="93"/>
      <c r="K154" s="93"/>
      <c r="L154" s="93"/>
      <c r="M154" s="93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</row>
    <row r="155" spans="1:37" x14ac:dyDescent="0.2">
      <c r="A155" s="1" t="s">
        <v>174</v>
      </c>
      <c r="B155" s="65">
        <v>69</v>
      </c>
      <c r="C155" s="65">
        <v>0</v>
      </c>
      <c r="D155" s="154">
        <v>6.42</v>
      </c>
      <c r="E155" s="93"/>
      <c r="F155" s="93"/>
      <c r="G155" s="93"/>
      <c r="H155" s="93"/>
      <c r="I155" s="93"/>
      <c r="J155" s="93"/>
      <c r="K155" s="93"/>
      <c r="L155" s="93"/>
      <c r="M155" s="93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</row>
    <row r="156" spans="1:37" x14ac:dyDescent="0.2">
      <c r="A156" s="62" t="s">
        <v>171</v>
      </c>
      <c r="B156" s="65">
        <v>24</v>
      </c>
      <c r="C156" s="65">
        <v>0</v>
      </c>
      <c r="D156" s="154">
        <v>10.46</v>
      </c>
      <c r="E156" s="93"/>
      <c r="F156" s="93"/>
      <c r="G156" s="93"/>
      <c r="H156" s="93"/>
      <c r="I156" s="93"/>
      <c r="J156" s="93"/>
      <c r="K156" s="93"/>
      <c r="L156" s="93"/>
      <c r="M156" s="93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</row>
    <row r="157" spans="1:37" x14ac:dyDescent="0.2">
      <c r="A157" s="7" t="s">
        <v>175</v>
      </c>
      <c r="B157" s="65">
        <v>8</v>
      </c>
      <c r="C157" s="65">
        <v>2</v>
      </c>
      <c r="D157" s="154">
        <v>1.56</v>
      </c>
      <c r="E157" s="93"/>
      <c r="F157" s="93"/>
      <c r="G157" s="93"/>
      <c r="H157" s="93"/>
      <c r="I157" s="93"/>
      <c r="J157" s="93"/>
      <c r="K157" s="93"/>
      <c r="L157" s="93"/>
      <c r="M157" s="93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  <c r="AD157" s="72"/>
      <c r="AE157" s="72"/>
      <c r="AF157" s="72"/>
      <c r="AG157" s="72"/>
      <c r="AH157" s="72"/>
      <c r="AI157" s="72"/>
      <c r="AJ157" s="72"/>
      <c r="AK157" s="72"/>
    </row>
    <row r="158" spans="1:37" x14ac:dyDescent="0.2">
      <c r="A158" s="7" t="s">
        <v>176</v>
      </c>
      <c r="B158" s="65">
        <v>9</v>
      </c>
      <c r="C158" s="65">
        <v>2</v>
      </c>
      <c r="D158" s="154">
        <v>8.85</v>
      </c>
      <c r="E158" s="93"/>
      <c r="F158" s="93"/>
      <c r="G158" s="93"/>
      <c r="H158" s="93"/>
      <c r="I158" s="93"/>
      <c r="J158" s="93"/>
      <c r="K158" s="93"/>
      <c r="L158" s="93"/>
      <c r="M158" s="93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  <c r="AD158" s="72"/>
      <c r="AE158" s="72"/>
      <c r="AF158" s="72"/>
      <c r="AG158" s="72"/>
      <c r="AH158" s="72"/>
      <c r="AI158" s="72"/>
      <c r="AJ158" s="72"/>
      <c r="AK158" s="72"/>
    </row>
    <row r="159" spans="1:37" x14ac:dyDescent="0.2">
      <c r="A159" s="7" t="s">
        <v>177</v>
      </c>
      <c r="B159" s="65">
        <v>29</v>
      </c>
      <c r="C159" s="65">
        <v>2</v>
      </c>
      <c r="D159" s="154">
        <v>4.67</v>
      </c>
      <c r="E159" s="93"/>
      <c r="F159" s="93"/>
      <c r="G159" s="93"/>
      <c r="H159" s="93"/>
      <c r="I159" s="93"/>
      <c r="J159" s="93"/>
      <c r="K159" s="93"/>
      <c r="L159" s="93"/>
      <c r="M159" s="93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</row>
    <row r="160" spans="1:37" x14ac:dyDescent="0.2">
      <c r="A160" s="7" t="s">
        <v>178</v>
      </c>
      <c r="B160" s="65">
        <v>2</v>
      </c>
      <c r="C160" s="65">
        <v>2</v>
      </c>
      <c r="D160" s="154">
        <v>0.94</v>
      </c>
      <c r="E160" s="93"/>
      <c r="F160" s="93"/>
      <c r="G160" s="93"/>
      <c r="H160" s="93"/>
      <c r="I160" s="93"/>
      <c r="J160" s="93"/>
      <c r="K160" s="93"/>
      <c r="L160" s="93"/>
      <c r="M160" s="93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</row>
    <row r="161" spans="1:37" x14ac:dyDescent="0.2">
      <c r="A161" s="11"/>
      <c r="B161" s="69"/>
      <c r="C161" s="150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</row>
    <row r="162" spans="1:37" x14ac:dyDescent="0.2">
      <c r="A162" s="11"/>
      <c r="B162" s="69"/>
      <c r="C162" s="81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</row>
    <row r="163" spans="1:37" x14ac:dyDescent="0.2">
      <c r="A163" s="75" t="s">
        <v>498</v>
      </c>
      <c r="H163" s="162"/>
      <c r="N163" s="47"/>
    </row>
    <row r="164" spans="1:37" x14ac:dyDescent="0.2">
      <c r="A164" s="88"/>
      <c r="B164" s="17">
        <v>2022</v>
      </c>
      <c r="C164" s="17" t="s">
        <v>453</v>
      </c>
      <c r="D164" s="17">
        <f>Parametre!B12</f>
        <v>2022</v>
      </c>
      <c r="E164" s="17">
        <f>D164+1</f>
        <v>2023</v>
      </c>
      <c r="F164" s="17">
        <f t="shared" ref="F164:AG164" si="29">E164+1</f>
        <v>2024</v>
      </c>
      <c r="G164" s="17">
        <f t="shared" si="29"/>
        <v>2025</v>
      </c>
      <c r="H164" s="17">
        <f t="shared" si="29"/>
        <v>2026</v>
      </c>
      <c r="I164" s="17">
        <f t="shared" si="29"/>
        <v>2027</v>
      </c>
      <c r="J164" s="17">
        <f t="shared" si="29"/>
        <v>2028</v>
      </c>
      <c r="K164" s="17">
        <f t="shared" si="29"/>
        <v>2029</v>
      </c>
      <c r="L164" s="65">
        <f t="shared" si="29"/>
        <v>2030</v>
      </c>
      <c r="M164" s="17">
        <f t="shared" si="29"/>
        <v>2031</v>
      </c>
      <c r="N164" s="17">
        <f t="shared" si="29"/>
        <v>2032</v>
      </c>
      <c r="O164" s="17">
        <f t="shared" si="29"/>
        <v>2033</v>
      </c>
      <c r="P164" s="17">
        <f t="shared" si="29"/>
        <v>2034</v>
      </c>
      <c r="Q164" s="17">
        <f t="shared" si="29"/>
        <v>2035</v>
      </c>
      <c r="R164" s="17">
        <f t="shared" si="29"/>
        <v>2036</v>
      </c>
      <c r="S164" s="17">
        <f t="shared" si="29"/>
        <v>2037</v>
      </c>
      <c r="T164" s="17">
        <f t="shared" si="29"/>
        <v>2038</v>
      </c>
      <c r="U164" s="17">
        <f t="shared" si="29"/>
        <v>2039</v>
      </c>
      <c r="V164" s="17">
        <f t="shared" si="29"/>
        <v>2040</v>
      </c>
      <c r="W164" s="17">
        <f t="shared" si="29"/>
        <v>2041</v>
      </c>
      <c r="X164" s="17">
        <f t="shared" si="29"/>
        <v>2042</v>
      </c>
      <c r="Y164" s="17">
        <f t="shared" si="29"/>
        <v>2043</v>
      </c>
      <c r="Z164" s="17">
        <f t="shared" si="29"/>
        <v>2044</v>
      </c>
      <c r="AA164" s="17">
        <f t="shared" si="29"/>
        <v>2045</v>
      </c>
      <c r="AB164" s="17">
        <f t="shared" si="29"/>
        <v>2046</v>
      </c>
      <c r="AC164" s="17">
        <f t="shared" si="29"/>
        <v>2047</v>
      </c>
      <c r="AD164" s="17">
        <f t="shared" si="29"/>
        <v>2048</v>
      </c>
      <c r="AE164" s="17">
        <f t="shared" si="29"/>
        <v>2049</v>
      </c>
      <c r="AF164" s="17">
        <f t="shared" si="29"/>
        <v>2050</v>
      </c>
      <c r="AG164" s="17">
        <f t="shared" si="29"/>
        <v>2051</v>
      </c>
    </row>
    <row r="165" spans="1:37" x14ac:dyDescent="0.2">
      <c r="A165" s="89" t="s">
        <v>263</v>
      </c>
      <c r="B165" s="28">
        <v>1</v>
      </c>
      <c r="C165" s="96">
        <f>AG165/B165</f>
        <v>1.0492826550406209</v>
      </c>
      <c r="D165" s="96">
        <f>D92</f>
        <v>1</v>
      </c>
      <c r="E165" s="96">
        <f t="shared" ref="E165:AG165" si="30">E92</f>
        <v>1</v>
      </c>
      <c r="F165" s="96">
        <f t="shared" si="30"/>
        <v>1.0246999999999999</v>
      </c>
      <c r="G165" s="96">
        <f t="shared" si="30"/>
        <v>1.0492999999999999</v>
      </c>
      <c r="H165" s="96">
        <f t="shared" si="30"/>
        <v>1.0492999999999999</v>
      </c>
      <c r="I165" s="96">
        <f t="shared" si="30"/>
        <v>1.0492999999999999</v>
      </c>
      <c r="J165" s="96">
        <f t="shared" si="30"/>
        <v>1.0492999999999999</v>
      </c>
      <c r="K165" s="96">
        <f t="shared" si="30"/>
        <v>1.0492999999999999</v>
      </c>
      <c r="L165" s="96">
        <f t="shared" si="30"/>
        <v>1.0492999999999999</v>
      </c>
      <c r="M165" s="96">
        <f t="shared" si="30"/>
        <v>1.0492999999999999</v>
      </c>
      <c r="N165" s="96">
        <f t="shared" si="30"/>
        <v>1.0492999999999999</v>
      </c>
      <c r="O165" s="96">
        <f t="shared" si="30"/>
        <v>1.0492999999999999</v>
      </c>
      <c r="P165" s="96">
        <f t="shared" si="30"/>
        <v>1.0492999999999999</v>
      </c>
      <c r="Q165" s="96">
        <f t="shared" si="30"/>
        <v>1.0492999999999999</v>
      </c>
      <c r="R165" s="96">
        <f t="shared" si="30"/>
        <v>1.0492999999999999</v>
      </c>
      <c r="S165" s="96">
        <f t="shared" si="30"/>
        <v>1.0492999999999999</v>
      </c>
      <c r="T165" s="96">
        <f t="shared" si="30"/>
        <v>1.0492999999999999</v>
      </c>
      <c r="U165" s="96">
        <f t="shared" si="30"/>
        <v>1.0492999999999999</v>
      </c>
      <c r="V165" s="96">
        <f t="shared" si="30"/>
        <v>1.0492826550406209</v>
      </c>
      <c r="W165" s="96">
        <f t="shared" si="30"/>
        <v>1.0492826550406209</v>
      </c>
      <c r="X165" s="96">
        <f t="shared" si="30"/>
        <v>1.0492826550406209</v>
      </c>
      <c r="Y165" s="96">
        <f t="shared" si="30"/>
        <v>1.0492826550406209</v>
      </c>
      <c r="Z165" s="96">
        <f t="shared" si="30"/>
        <v>1.0492826550406209</v>
      </c>
      <c r="AA165" s="96">
        <f t="shared" si="30"/>
        <v>1.0492826550406209</v>
      </c>
      <c r="AB165" s="96">
        <f t="shared" si="30"/>
        <v>1.0492826550406209</v>
      </c>
      <c r="AC165" s="96">
        <f t="shared" si="30"/>
        <v>1.0492826550406209</v>
      </c>
      <c r="AD165" s="96">
        <f t="shared" si="30"/>
        <v>1.0492826550406209</v>
      </c>
      <c r="AE165" s="96">
        <f t="shared" si="30"/>
        <v>1.0492826550406209</v>
      </c>
      <c r="AF165" s="96">
        <f t="shared" si="30"/>
        <v>1.0492826550406209</v>
      </c>
      <c r="AG165" s="96">
        <f t="shared" si="30"/>
        <v>1.0492826550406209</v>
      </c>
    </row>
    <row r="166" spans="1:37" x14ac:dyDescent="0.2">
      <c r="A166" s="89" t="s">
        <v>264</v>
      </c>
      <c r="B166" s="28">
        <v>1</v>
      </c>
      <c r="C166" s="96">
        <f t="shared" ref="C166:C168" si="31">AG166/B166</f>
        <v>1.0749035302550625</v>
      </c>
      <c r="D166" s="96">
        <f>D93</f>
        <v>1</v>
      </c>
      <c r="E166" s="96">
        <f t="shared" ref="E166:AG166" si="32">E93</f>
        <v>1.0249999999999999</v>
      </c>
      <c r="F166" s="96">
        <f t="shared" si="32"/>
        <v>1.05</v>
      </c>
      <c r="G166" s="96">
        <f t="shared" si="32"/>
        <v>1.0749035302550625</v>
      </c>
      <c r="H166" s="96">
        <f t="shared" si="32"/>
        <v>1.0749035302550625</v>
      </c>
      <c r="I166" s="96">
        <f t="shared" si="32"/>
        <v>1.0749035302550625</v>
      </c>
      <c r="J166" s="96">
        <f t="shared" si="32"/>
        <v>1.0749035302550625</v>
      </c>
      <c r="K166" s="96">
        <f t="shared" si="32"/>
        <v>1.0749035302550625</v>
      </c>
      <c r="L166" s="96">
        <f t="shared" si="32"/>
        <v>1.0749035302550625</v>
      </c>
      <c r="M166" s="96">
        <f t="shared" si="32"/>
        <v>1.0749035302550625</v>
      </c>
      <c r="N166" s="96">
        <f t="shared" si="32"/>
        <v>1.0749035302550625</v>
      </c>
      <c r="O166" s="96">
        <f t="shared" si="32"/>
        <v>1.0749035302550625</v>
      </c>
      <c r="P166" s="96">
        <f t="shared" si="32"/>
        <v>1.0749035302550625</v>
      </c>
      <c r="Q166" s="96">
        <f t="shared" si="32"/>
        <v>1.0749035302550625</v>
      </c>
      <c r="R166" s="96">
        <f t="shared" si="32"/>
        <v>1.0749035302550625</v>
      </c>
      <c r="S166" s="96">
        <f t="shared" si="32"/>
        <v>1.0749035302550625</v>
      </c>
      <c r="T166" s="96">
        <f t="shared" si="32"/>
        <v>1.0749035302550625</v>
      </c>
      <c r="U166" s="96">
        <f t="shared" si="32"/>
        <v>1.0749035302550625</v>
      </c>
      <c r="V166" s="96">
        <f t="shared" si="32"/>
        <v>1.0749035302550625</v>
      </c>
      <c r="W166" s="96">
        <f t="shared" si="32"/>
        <v>1.0749035302550625</v>
      </c>
      <c r="X166" s="96">
        <f t="shared" si="32"/>
        <v>1.0749035302550625</v>
      </c>
      <c r="Y166" s="96">
        <f t="shared" si="32"/>
        <v>1.0749035302550625</v>
      </c>
      <c r="Z166" s="96">
        <f t="shared" si="32"/>
        <v>1.0749035302550625</v>
      </c>
      <c r="AA166" s="96">
        <f t="shared" si="32"/>
        <v>1.0749035302550625</v>
      </c>
      <c r="AB166" s="96">
        <f t="shared" si="32"/>
        <v>1.0749035302550625</v>
      </c>
      <c r="AC166" s="96">
        <f t="shared" si="32"/>
        <v>1.0749035302550625</v>
      </c>
      <c r="AD166" s="96">
        <f t="shared" si="32"/>
        <v>1.0749035302550625</v>
      </c>
      <c r="AE166" s="96">
        <f t="shared" si="32"/>
        <v>1.0749035302550625</v>
      </c>
      <c r="AF166" s="96">
        <f t="shared" si="32"/>
        <v>1.0749035302550625</v>
      </c>
      <c r="AG166" s="96">
        <f t="shared" si="32"/>
        <v>1.0749035302550625</v>
      </c>
    </row>
    <row r="167" spans="1:37" x14ac:dyDescent="0.2">
      <c r="A167" s="89" t="s">
        <v>265</v>
      </c>
      <c r="B167" s="28">
        <v>1</v>
      </c>
      <c r="C167" s="96">
        <f t="shared" si="31"/>
        <v>1.2468462586684437</v>
      </c>
      <c r="D167" s="96">
        <f>D94</f>
        <v>1</v>
      </c>
      <c r="E167" s="96">
        <f t="shared" ref="E167:G167" si="33">E94</f>
        <v>1</v>
      </c>
      <c r="F167" s="96">
        <f t="shared" si="33"/>
        <v>1</v>
      </c>
      <c r="G167" s="96">
        <f t="shared" si="33"/>
        <v>1</v>
      </c>
      <c r="H167" s="96">
        <f t="shared" ref="H167:J167" si="34">H94</f>
        <v>1</v>
      </c>
      <c r="I167" s="96">
        <f t="shared" si="34"/>
        <v>1</v>
      </c>
      <c r="J167" s="96">
        <f t="shared" si="34"/>
        <v>1</v>
      </c>
      <c r="K167" s="96">
        <f>K19/G19</f>
        <v>1</v>
      </c>
      <c r="L167" s="96">
        <f>K167</f>
        <v>1</v>
      </c>
      <c r="M167" s="96">
        <f>L167</f>
        <v>1</v>
      </c>
      <c r="N167" s="97">
        <f>M167</f>
        <v>1</v>
      </c>
      <c r="O167" s="97">
        <f t="shared" ref="O167:R167" si="35">N167</f>
        <v>1</v>
      </c>
      <c r="P167" s="97">
        <f t="shared" si="35"/>
        <v>1</v>
      </c>
      <c r="Q167" s="97">
        <f t="shared" si="35"/>
        <v>1</v>
      </c>
      <c r="R167" s="97">
        <f t="shared" si="35"/>
        <v>1</v>
      </c>
      <c r="S167" s="97">
        <f t="shared" ref="S167:U167" si="36">AA167</f>
        <v>1.2468462586684437</v>
      </c>
      <c r="T167" s="97">
        <f t="shared" si="36"/>
        <v>1.2468462586684437</v>
      </c>
      <c r="U167" s="97">
        <f t="shared" si="36"/>
        <v>1.2468462586684437</v>
      </c>
      <c r="V167" s="97">
        <f>V19/D19</f>
        <v>1.2468462586684437</v>
      </c>
      <c r="W167" s="97">
        <f>V167</f>
        <v>1.2468462586684437</v>
      </c>
      <c r="X167" s="97">
        <f t="shared" ref="X167:AG167" si="37">W167</f>
        <v>1.2468462586684437</v>
      </c>
      <c r="Y167" s="97">
        <f t="shared" si="37"/>
        <v>1.2468462586684437</v>
      </c>
      <c r="Z167" s="97">
        <f t="shared" si="37"/>
        <v>1.2468462586684437</v>
      </c>
      <c r="AA167" s="97">
        <f t="shared" si="37"/>
        <v>1.2468462586684437</v>
      </c>
      <c r="AB167" s="97">
        <f t="shared" si="37"/>
        <v>1.2468462586684437</v>
      </c>
      <c r="AC167" s="97">
        <f t="shared" si="37"/>
        <v>1.2468462586684437</v>
      </c>
      <c r="AD167" s="97">
        <f t="shared" si="37"/>
        <v>1.2468462586684437</v>
      </c>
      <c r="AE167" s="97">
        <f t="shared" si="37"/>
        <v>1.2468462586684437</v>
      </c>
      <c r="AF167" s="97">
        <f t="shared" si="37"/>
        <v>1.2468462586684437</v>
      </c>
      <c r="AG167" s="97">
        <f t="shared" si="37"/>
        <v>1.2468462586684437</v>
      </c>
    </row>
    <row r="168" spans="1:37" x14ac:dyDescent="0.2">
      <c r="A168" s="89" t="s">
        <v>147</v>
      </c>
      <c r="B168" s="28">
        <v>1</v>
      </c>
      <c r="C168" s="96">
        <f t="shared" si="31"/>
        <v>1.5279862413078948</v>
      </c>
      <c r="D168" s="96">
        <f>B168</f>
        <v>1</v>
      </c>
      <c r="E168" s="96">
        <f>E95</f>
        <v>1.0262</v>
      </c>
      <c r="F168" s="96">
        <f>F95</f>
        <v>1.0525</v>
      </c>
      <c r="G168" s="96">
        <f>G95</f>
        <v>1.0787</v>
      </c>
      <c r="H168" s="219">
        <f>V168/V95*H95</f>
        <v>1.0272820552988171</v>
      </c>
      <c r="I168" s="219">
        <f>V168/V95*I95</f>
        <v>1.0517322978819474</v>
      </c>
      <c r="J168" s="219">
        <f>V168/V95*J95</f>
        <v>1.0761825404650776</v>
      </c>
      <c r="K168" s="219">
        <f>V168/V95*K95</f>
        <v>1.1006327830482079</v>
      </c>
      <c r="L168" s="219">
        <f>V168/V95*L95</f>
        <v>1.125083025631338</v>
      </c>
      <c r="M168" s="219">
        <f>V168/V95*M95</f>
        <v>1.1495332682144683</v>
      </c>
      <c r="N168" s="219">
        <f>V168/V95*N95</f>
        <v>1.1739835107975984</v>
      </c>
      <c r="O168" s="219">
        <f>V168/V95*O95</f>
        <v>1.1984337533807288</v>
      </c>
      <c r="P168" s="219">
        <f>V168/V95*P95</f>
        <v>1.2228839959638589</v>
      </c>
      <c r="Q168" s="219">
        <f>V168/V95*Q95</f>
        <v>1.2473342385469892</v>
      </c>
      <c r="R168" s="219">
        <f>V168/V95*R95</f>
        <v>1.2717844811301195</v>
      </c>
      <c r="S168" s="219">
        <f>V168/V95*S95</f>
        <v>1.2962347237132497</v>
      </c>
      <c r="T168" s="219">
        <f>V168/V95*T95</f>
        <v>1.32068496629638</v>
      </c>
      <c r="U168" s="219">
        <f>V168/V95*U95</f>
        <v>1.3451352088795101</v>
      </c>
      <c r="V168" s="97">
        <f>V21/D21</f>
        <v>1.3695703081251502</v>
      </c>
      <c r="W168" s="96">
        <f>V168*1.01</f>
        <v>1.3832660112064017</v>
      </c>
      <c r="X168" s="96">
        <f t="shared" ref="X168:AG168" si="38">W168*1.01</f>
        <v>1.3970986713184657</v>
      </c>
      <c r="Y168" s="96">
        <f t="shared" si="38"/>
        <v>1.4110696580316504</v>
      </c>
      <c r="Z168" s="96">
        <f t="shared" si="38"/>
        <v>1.425180354611967</v>
      </c>
      <c r="AA168" s="96">
        <f t="shared" si="38"/>
        <v>1.4394321581580867</v>
      </c>
      <c r="AB168" s="96">
        <f t="shared" si="38"/>
        <v>1.4538264797396676</v>
      </c>
      <c r="AC168" s="96">
        <f t="shared" si="38"/>
        <v>1.4683647445370642</v>
      </c>
      <c r="AD168" s="96">
        <f t="shared" si="38"/>
        <v>1.4830483919824349</v>
      </c>
      <c r="AE168" s="96">
        <f t="shared" si="38"/>
        <v>1.4978788759022592</v>
      </c>
      <c r="AF168" s="96">
        <f t="shared" si="38"/>
        <v>1.5128576646612819</v>
      </c>
      <c r="AG168" s="96">
        <f t="shared" si="38"/>
        <v>1.5279862413078948</v>
      </c>
    </row>
    <row r="169" spans="1:37" x14ac:dyDescent="0.2">
      <c r="A169" s="11"/>
      <c r="B169" s="69"/>
      <c r="C169" s="81"/>
      <c r="D169" s="93"/>
      <c r="E169" s="93"/>
      <c r="F169" s="93"/>
      <c r="G169" s="93"/>
      <c r="H169" s="236" t="s">
        <v>468</v>
      </c>
      <c r="I169" s="93"/>
      <c r="J169" s="93"/>
      <c r="K169" s="93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</row>
    <row r="170" spans="1:37" ht="15" x14ac:dyDescent="0.25">
      <c r="A170" s="228" t="s">
        <v>507</v>
      </c>
      <c r="B170" s="69"/>
      <c r="C170" s="81"/>
    </row>
    <row r="171" spans="1:37" x14ac:dyDescent="0.2">
      <c r="A171" s="11" t="s">
        <v>454</v>
      </c>
      <c r="B171" s="69"/>
      <c r="C171" s="150"/>
    </row>
    <row r="172" spans="1:37" x14ac:dyDescent="0.2">
      <c r="A172" s="7"/>
      <c r="B172" s="230">
        <f>Parametre!B12</f>
        <v>2022</v>
      </c>
      <c r="C172" s="230">
        <f>B172+1</f>
        <v>2023</v>
      </c>
      <c r="D172" s="230">
        <f t="shared" ref="D172:AE172" si="39">C172+1</f>
        <v>2024</v>
      </c>
      <c r="E172" s="230">
        <f t="shared" si="39"/>
        <v>2025</v>
      </c>
      <c r="F172" s="230">
        <f t="shared" si="39"/>
        <v>2026</v>
      </c>
      <c r="G172" s="230">
        <f t="shared" si="39"/>
        <v>2027</v>
      </c>
      <c r="H172" s="230">
        <f t="shared" si="39"/>
        <v>2028</v>
      </c>
      <c r="I172" s="230">
        <f t="shared" si="39"/>
        <v>2029</v>
      </c>
      <c r="J172" s="230">
        <f t="shared" si="39"/>
        <v>2030</v>
      </c>
      <c r="K172" s="230">
        <f t="shared" si="39"/>
        <v>2031</v>
      </c>
      <c r="L172" s="230">
        <f t="shared" si="39"/>
        <v>2032</v>
      </c>
      <c r="M172" s="230">
        <f t="shared" si="39"/>
        <v>2033</v>
      </c>
      <c r="N172" s="230">
        <f t="shared" si="39"/>
        <v>2034</v>
      </c>
      <c r="O172" s="230">
        <f t="shared" si="39"/>
        <v>2035</v>
      </c>
      <c r="P172" s="230">
        <f t="shared" si="39"/>
        <v>2036</v>
      </c>
      <c r="Q172" s="230">
        <f t="shared" si="39"/>
        <v>2037</v>
      </c>
      <c r="R172" s="230">
        <f t="shared" si="39"/>
        <v>2038</v>
      </c>
      <c r="S172" s="230">
        <f t="shared" si="39"/>
        <v>2039</v>
      </c>
      <c r="T172" s="230">
        <f t="shared" si="39"/>
        <v>2040</v>
      </c>
      <c r="U172" s="230">
        <f t="shared" si="39"/>
        <v>2041</v>
      </c>
      <c r="V172" s="230">
        <f t="shared" si="39"/>
        <v>2042</v>
      </c>
      <c r="W172" s="230">
        <f t="shared" si="39"/>
        <v>2043</v>
      </c>
      <c r="X172" s="230">
        <f t="shared" si="39"/>
        <v>2044</v>
      </c>
      <c r="Y172" s="230">
        <f t="shared" si="39"/>
        <v>2045</v>
      </c>
      <c r="Z172" s="230">
        <f t="shared" si="39"/>
        <v>2046</v>
      </c>
      <c r="AA172" s="230">
        <f t="shared" si="39"/>
        <v>2047</v>
      </c>
      <c r="AB172" s="230">
        <f t="shared" si="39"/>
        <v>2048</v>
      </c>
      <c r="AC172" s="230">
        <f t="shared" si="39"/>
        <v>2049</v>
      </c>
      <c r="AD172" s="230">
        <f t="shared" si="39"/>
        <v>2050</v>
      </c>
      <c r="AE172" s="230">
        <f t="shared" si="39"/>
        <v>2051</v>
      </c>
    </row>
    <row r="173" spans="1:37" x14ac:dyDescent="0.2">
      <c r="A173" s="7" t="s">
        <v>434</v>
      </c>
      <c r="B173" s="231">
        <v>1.5900000000000001E-2</v>
      </c>
      <c r="C173" s="231">
        <v>1.5900000000000001E-2</v>
      </c>
      <c r="D173" s="231">
        <v>1.5900000000000001E-2</v>
      </c>
      <c r="E173" s="231">
        <v>1.5900000000000001E-2</v>
      </c>
      <c r="F173" s="231">
        <v>1.5100000000000001E-2</v>
      </c>
      <c r="G173" s="231">
        <v>1.5100000000000001E-2</v>
      </c>
      <c r="H173" s="231">
        <v>1.5100000000000001E-2</v>
      </c>
      <c r="I173" s="231">
        <v>1.5100000000000001E-2</v>
      </c>
      <c r="J173" s="231">
        <v>1.5100000000000001E-2</v>
      </c>
      <c r="K173" s="231">
        <v>1.06E-2</v>
      </c>
      <c r="L173" s="231">
        <v>1.06E-2</v>
      </c>
      <c r="M173" s="231">
        <v>1.06E-2</v>
      </c>
      <c r="N173" s="231">
        <v>1.06E-2</v>
      </c>
      <c r="O173" s="231">
        <v>1.06E-2</v>
      </c>
      <c r="P173" s="231">
        <v>1.06E-2</v>
      </c>
      <c r="Q173" s="231">
        <v>1.06E-2</v>
      </c>
      <c r="R173" s="231">
        <v>1.06E-2</v>
      </c>
      <c r="S173" s="231">
        <v>1.06E-2</v>
      </c>
      <c r="T173" s="231">
        <v>1.06E-2</v>
      </c>
      <c r="U173" s="231">
        <v>3.5000000000000001E-3</v>
      </c>
      <c r="V173" s="231">
        <v>3.5000000000000001E-3</v>
      </c>
      <c r="W173" s="231">
        <v>3.5000000000000001E-3</v>
      </c>
      <c r="X173" s="231">
        <v>3.5000000000000001E-3</v>
      </c>
      <c r="Y173" s="231">
        <v>3.5000000000000001E-3</v>
      </c>
      <c r="Z173" s="231">
        <v>3.5000000000000001E-3</v>
      </c>
      <c r="AA173" s="231">
        <v>3.5000000000000001E-3</v>
      </c>
      <c r="AB173" s="231">
        <v>3.5000000000000001E-3</v>
      </c>
      <c r="AC173" s="231">
        <v>3.5000000000000001E-3</v>
      </c>
      <c r="AD173" s="231">
        <v>3.5000000000000001E-3</v>
      </c>
      <c r="AE173" s="231">
        <v>3.5000000000000001E-3</v>
      </c>
    </row>
    <row r="174" spans="1:37" ht="15" x14ac:dyDescent="0.25">
      <c r="A174" s="74"/>
      <c r="B174" s="69"/>
      <c r="C174" s="150"/>
    </row>
    <row r="175" spans="1:37" x14ac:dyDescent="0.2">
      <c r="A175" s="88"/>
      <c r="B175" s="195">
        <f>Parametre!B12</f>
        <v>2022</v>
      </c>
      <c r="C175" s="195">
        <f t="shared" ref="C175:AE175" si="40">B175+1</f>
        <v>2023</v>
      </c>
      <c r="D175" s="195">
        <f t="shared" si="40"/>
        <v>2024</v>
      </c>
      <c r="E175" s="195">
        <f t="shared" si="40"/>
        <v>2025</v>
      </c>
      <c r="F175" s="195">
        <f t="shared" si="40"/>
        <v>2026</v>
      </c>
      <c r="G175" s="195">
        <f t="shared" si="40"/>
        <v>2027</v>
      </c>
      <c r="H175" s="195">
        <f t="shared" si="40"/>
        <v>2028</v>
      </c>
      <c r="I175" s="195">
        <f t="shared" si="40"/>
        <v>2029</v>
      </c>
      <c r="J175" s="195">
        <f t="shared" si="40"/>
        <v>2030</v>
      </c>
      <c r="K175" s="195">
        <f t="shared" si="40"/>
        <v>2031</v>
      </c>
      <c r="L175" s="195">
        <f t="shared" si="40"/>
        <v>2032</v>
      </c>
      <c r="M175" s="195">
        <f t="shared" si="40"/>
        <v>2033</v>
      </c>
      <c r="N175" s="195">
        <f t="shared" si="40"/>
        <v>2034</v>
      </c>
      <c r="O175" s="195">
        <f t="shared" si="40"/>
        <v>2035</v>
      </c>
      <c r="P175" s="195">
        <f t="shared" si="40"/>
        <v>2036</v>
      </c>
      <c r="Q175" s="195">
        <f t="shared" si="40"/>
        <v>2037</v>
      </c>
      <c r="R175" s="195">
        <f t="shared" si="40"/>
        <v>2038</v>
      </c>
      <c r="S175" s="195">
        <f t="shared" si="40"/>
        <v>2039</v>
      </c>
      <c r="T175" s="195">
        <f t="shared" si="40"/>
        <v>2040</v>
      </c>
      <c r="U175" s="195">
        <f t="shared" si="40"/>
        <v>2041</v>
      </c>
      <c r="V175" s="195">
        <f t="shared" si="40"/>
        <v>2042</v>
      </c>
      <c r="W175" s="195">
        <f t="shared" si="40"/>
        <v>2043</v>
      </c>
      <c r="X175" s="195">
        <f t="shared" si="40"/>
        <v>2044</v>
      </c>
      <c r="Y175" s="195">
        <f t="shared" si="40"/>
        <v>2045</v>
      </c>
      <c r="Z175" s="195">
        <f t="shared" si="40"/>
        <v>2046</v>
      </c>
      <c r="AA175" s="195">
        <f t="shared" si="40"/>
        <v>2047</v>
      </c>
      <c r="AB175" s="195">
        <f t="shared" si="40"/>
        <v>2048</v>
      </c>
      <c r="AC175" s="195">
        <f t="shared" si="40"/>
        <v>2049</v>
      </c>
      <c r="AD175" s="195">
        <f t="shared" si="40"/>
        <v>2050</v>
      </c>
      <c r="AE175" s="195">
        <f t="shared" si="40"/>
        <v>2051</v>
      </c>
    </row>
    <row r="176" spans="1:37" x14ac:dyDescent="0.2">
      <c r="A176" s="89" t="s">
        <v>276</v>
      </c>
      <c r="B176" s="32"/>
      <c r="C176" s="32"/>
      <c r="D176" s="32">
        <f>E176*(1-D173)</f>
        <v>-9613048.9805999994</v>
      </c>
      <c r="E176" s="32">
        <v>-9768366</v>
      </c>
      <c r="F176" s="32">
        <f>E176*(1+F173)</f>
        <v>-9915868.3265999984</v>
      </c>
      <c r="G176" s="32">
        <f t="shared" ref="G176:AE176" si="41">F176*(1+G173)</f>
        <v>-10065597.938331658</v>
      </c>
      <c r="H176" s="32">
        <f t="shared" si="41"/>
        <v>-10217588.467200466</v>
      </c>
      <c r="I176" s="32">
        <f t="shared" si="41"/>
        <v>-10371874.053055191</v>
      </c>
      <c r="J176" s="32">
        <v>-24137377</v>
      </c>
      <c r="K176" s="32">
        <f t="shared" si="41"/>
        <v>-24393233.196199998</v>
      </c>
      <c r="L176" s="32">
        <f t="shared" si="41"/>
        <v>-24651801.468079716</v>
      </c>
      <c r="M176" s="32">
        <f t="shared" si="41"/>
        <v>-24913110.563641358</v>
      </c>
      <c r="N176" s="32">
        <f t="shared" si="41"/>
        <v>-25177189.535615955</v>
      </c>
      <c r="O176" s="32">
        <f t="shared" si="41"/>
        <v>-25444067.74469348</v>
      </c>
      <c r="P176" s="32">
        <f t="shared" si="41"/>
        <v>-25713774.862787228</v>
      </c>
      <c r="Q176" s="32">
        <f t="shared" ref="Q176:R176" si="42">R176*(1-Q173)</f>
        <v>-25987046.004947949</v>
      </c>
      <c r="R176" s="32">
        <f t="shared" si="42"/>
        <v>-26265459.879672479</v>
      </c>
      <c r="S176" s="32">
        <f>T176*(1-S173)</f>
        <v>-26546856.5592</v>
      </c>
      <c r="T176" s="32">
        <v>-26831268</v>
      </c>
      <c r="U176" s="32">
        <f t="shared" si="41"/>
        <v>-26925177.438000001</v>
      </c>
      <c r="V176" s="32">
        <f t="shared" si="41"/>
        <v>-27019415.559033003</v>
      </c>
      <c r="W176" s="32">
        <f t="shared" si="41"/>
        <v>-27113983.513489619</v>
      </c>
      <c r="X176" s="32">
        <f t="shared" si="41"/>
        <v>-27208882.455786835</v>
      </c>
      <c r="Y176" s="32">
        <f t="shared" si="41"/>
        <v>-27304113.544382092</v>
      </c>
      <c r="Z176" s="32">
        <f t="shared" si="41"/>
        <v>-27399677.941787429</v>
      </c>
      <c r="AA176" s="32">
        <f t="shared" si="41"/>
        <v>-27495576.814583685</v>
      </c>
      <c r="AB176" s="32">
        <f t="shared" si="41"/>
        <v>-27591811.333434731</v>
      </c>
      <c r="AC176" s="32">
        <f t="shared" si="41"/>
        <v>-27688382.673101753</v>
      </c>
      <c r="AD176" s="32">
        <f t="shared" si="41"/>
        <v>-27785292.012457609</v>
      </c>
      <c r="AE176" s="32">
        <f t="shared" si="41"/>
        <v>-27882540.534501214</v>
      </c>
    </row>
    <row r="177" spans="1:31" x14ac:dyDescent="0.2">
      <c r="A177" s="89" t="s">
        <v>503</v>
      </c>
      <c r="B177" s="32"/>
      <c r="C177" s="32"/>
      <c r="D177" s="32">
        <f>E177*(1-D173)</f>
        <v>-3757956.0992999999</v>
      </c>
      <c r="E177" s="32">
        <v>-3818673</v>
      </c>
      <c r="F177" s="32">
        <f>E177*(1+F173)</f>
        <v>-3876334.9622999998</v>
      </c>
      <c r="G177" s="32">
        <f t="shared" ref="G177:AE177" si="43">F177*(1+G173)</f>
        <v>-3934867.6202307292</v>
      </c>
      <c r="H177" s="32">
        <f t="shared" si="43"/>
        <v>-3994284.121296213</v>
      </c>
      <c r="I177" s="32">
        <f t="shared" si="43"/>
        <v>-4054597.8115277854</v>
      </c>
      <c r="J177" s="32">
        <v>-28935906</v>
      </c>
      <c r="K177" s="32">
        <f t="shared" si="43"/>
        <v>-29242626.603599999</v>
      </c>
      <c r="L177" s="32">
        <f t="shared" si="43"/>
        <v>-29552598.445598159</v>
      </c>
      <c r="M177" s="32">
        <f t="shared" si="43"/>
        <v>-29865855.989121497</v>
      </c>
      <c r="N177" s="32">
        <f t="shared" si="43"/>
        <v>-30182434.062606182</v>
      </c>
      <c r="O177" s="32">
        <f t="shared" si="43"/>
        <v>-30502367.863669805</v>
      </c>
      <c r="P177" s="32">
        <f t="shared" si="43"/>
        <v>-30825692.963024702</v>
      </c>
      <c r="Q177" s="32">
        <f t="shared" ref="Q177:R177" si="44">R177*(1-Q173)</f>
        <v>-30543058.197446458</v>
      </c>
      <c r="R177" s="32">
        <f t="shared" si="44"/>
        <v>-30870283.199359674</v>
      </c>
      <c r="S177" s="32">
        <f>T177*(1-S173)</f>
        <v>-31201013.947199997</v>
      </c>
      <c r="T177" s="32">
        <v>-31535288</v>
      </c>
      <c r="U177" s="32">
        <f t="shared" si="43"/>
        <v>-31645661.508000001</v>
      </c>
      <c r="V177" s="32">
        <f t="shared" si="43"/>
        <v>-31756421.323278002</v>
      </c>
      <c r="W177" s="32">
        <f t="shared" si="43"/>
        <v>-31867568.797909476</v>
      </c>
      <c r="X177" s="32">
        <f t="shared" si="43"/>
        <v>-31979105.28870216</v>
      </c>
      <c r="Y177" s="32">
        <f t="shared" si="43"/>
        <v>-32091032.157212619</v>
      </c>
      <c r="Z177" s="32">
        <f t="shared" si="43"/>
        <v>-32203350.769762866</v>
      </c>
      <c r="AA177" s="32">
        <f t="shared" si="43"/>
        <v>-32316062.497457039</v>
      </c>
      <c r="AB177" s="32">
        <f t="shared" si="43"/>
        <v>-32429168.716198139</v>
      </c>
      <c r="AC177" s="32">
        <f t="shared" si="43"/>
        <v>-32542670.806704834</v>
      </c>
      <c r="AD177" s="32">
        <f t="shared" si="43"/>
        <v>-32656570.154528301</v>
      </c>
      <c r="AE177" s="32">
        <f t="shared" si="43"/>
        <v>-32770868.150069151</v>
      </c>
    </row>
    <row r="178" spans="1:31" x14ac:dyDescent="0.2">
      <c r="A178" s="89" t="s">
        <v>309</v>
      </c>
      <c r="B178" s="32"/>
      <c r="C178" s="32"/>
      <c r="D178" s="32">
        <f>E178*(1-D173)</f>
        <v>-9376691.7789999992</v>
      </c>
      <c r="E178" s="32">
        <v>-9528190</v>
      </c>
      <c r="F178" s="32">
        <f>E178*(1+F173)</f>
        <v>-9672065.6689999998</v>
      </c>
      <c r="G178" s="32">
        <f t="shared" ref="G178:AE178" si="45">F178*(1+G173)</f>
        <v>-9818113.8606018983</v>
      </c>
      <c r="H178" s="32">
        <f t="shared" si="45"/>
        <v>-9966367.3798969854</v>
      </c>
      <c r="I178" s="32">
        <f t="shared" si="45"/>
        <v>-10116859.527333429</v>
      </c>
      <c r="J178" s="32">
        <v>-22159167</v>
      </c>
      <c r="K178" s="32">
        <f t="shared" si="45"/>
        <v>-22394054.170199998</v>
      </c>
      <c r="L178" s="32">
        <f t="shared" si="45"/>
        <v>-22631431.144404117</v>
      </c>
      <c r="M178" s="32">
        <f t="shared" si="45"/>
        <v>-22871324.314534798</v>
      </c>
      <c r="N178" s="32">
        <f t="shared" si="45"/>
        <v>-23113760.352268867</v>
      </c>
      <c r="O178" s="32">
        <f t="shared" si="45"/>
        <v>-23358766.212002914</v>
      </c>
      <c r="P178" s="32">
        <f t="shared" si="45"/>
        <v>-23606369.133850142</v>
      </c>
      <c r="Q178" s="32">
        <f t="shared" ref="Q178:R178" si="46">R178*(1-Q173)</f>
        <v>-24327889.789108571</v>
      </c>
      <c r="R178" s="32">
        <f t="shared" si="46"/>
        <v>-24588528.187900316</v>
      </c>
      <c r="S178" s="32">
        <f>T178*(1-S173)</f>
        <v>-24851958.952799998</v>
      </c>
      <c r="T178" s="32">
        <v>-25118212</v>
      </c>
      <c r="U178" s="32">
        <f t="shared" si="45"/>
        <v>-25206125.742000002</v>
      </c>
      <c r="V178" s="32">
        <f t="shared" si="45"/>
        <v>-25294347.182097003</v>
      </c>
      <c r="W178" s="32">
        <f t="shared" si="45"/>
        <v>-25382877.397234343</v>
      </c>
      <c r="X178" s="32">
        <f t="shared" si="45"/>
        <v>-25471717.468124665</v>
      </c>
      <c r="Y178" s="32">
        <f t="shared" si="45"/>
        <v>-25560868.479263104</v>
      </c>
      <c r="Z178" s="32">
        <f t="shared" si="45"/>
        <v>-25650331.518940527</v>
      </c>
      <c r="AA178" s="32">
        <f t="shared" si="45"/>
        <v>-25740107.679256819</v>
      </c>
      <c r="AB178" s="32">
        <f t="shared" si="45"/>
        <v>-25830198.05613422</v>
      </c>
      <c r="AC178" s="32">
        <f t="shared" si="45"/>
        <v>-25920603.749330692</v>
      </c>
      <c r="AD178" s="32">
        <f t="shared" si="45"/>
        <v>-26011325.862453353</v>
      </c>
      <c r="AE178" s="32">
        <f t="shared" si="45"/>
        <v>-26102365.50297194</v>
      </c>
    </row>
    <row r="179" spans="1:31" x14ac:dyDescent="0.2">
      <c r="A179" s="89" t="s">
        <v>310</v>
      </c>
      <c r="B179" s="32"/>
      <c r="C179" s="32"/>
      <c r="D179" s="32">
        <f>E179*(1-D173)</f>
        <v>12777694.142200001</v>
      </c>
      <c r="E179" s="32">
        <v>12984142</v>
      </c>
      <c r="F179" s="32">
        <f>E179*(1+F173)</f>
        <v>13180202.544199999</v>
      </c>
      <c r="G179" s="32">
        <f t="shared" ref="G179:AE179" si="47">F179*(1+G173)</f>
        <v>13379223.602617418</v>
      </c>
      <c r="H179" s="32">
        <f t="shared" si="47"/>
        <v>13581249.87901694</v>
      </c>
      <c r="I179" s="32">
        <f t="shared" si="47"/>
        <v>13786326.752190094</v>
      </c>
      <c r="J179" s="32">
        <v>53296496</v>
      </c>
      <c r="K179" s="32">
        <f t="shared" si="47"/>
        <v>53861438.857599996</v>
      </c>
      <c r="L179" s="32">
        <f t="shared" si="47"/>
        <v>54432370.109490551</v>
      </c>
      <c r="M179" s="32">
        <f t="shared" si="47"/>
        <v>55009353.232651144</v>
      </c>
      <c r="N179" s="32">
        <f t="shared" si="47"/>
        <v>55592452.376917243</v>
      </c>
      <c r="O179" s="32">
        <f t="shared" si="47"/>
        <v>56181732.372112565</v>
      </c>
      <c r="P179" s="32">
        <f t="shared" si="47"/>
        <v>56777258.735256955</v>
      </c>
      <c r="Q179" s="32">
        <f t="shared" ref="Q179:R179" si="48">R179*(1-Q173)</f>
        <v>57364351.621834882</v>
      </c>
      <c r="R179" s="32">
        <f t="shared" si="48"/>
        <v>57978928.261405788</v>
      </c>
      <c r="S179" s="32">
        <f>T179*(1-S173)</f>
        <v>58600089.206999995</v>
      </c>
      <c r="T179" s="32">
        <v>59227905</v>
      </c>
      <c r="U179" s="32">
        <f t="shared" si="47"/>
        <v>59435202.667500004</v>
      </c>
      <c r="V179" s="32">
        <f t="shared" si="47"/>
        <v>59643225.876836255</v>
      </c>
      <c r="W179" s="32">
        <f t="shared" si="47"/>
        <v>59851977.167405188</v>
      </c>
      <c r="X179" s="32">
        <f t="shared" si="47"/>
        <v>60061459.08749111</v>
      </c>
      <c r="Y179" s="32">
        <f t="shared" si="47"/>
        <v>60271674.194297336</v>
      </c>
      <c r="Z179" s="32">
        <f t="shared" si="47"/>
        <v>60482625.053977378</v>
      </c>
      <c r="AA179" s="32">
        <f t="shared" si="47"/>
        <v>60694314.241666302</v>
      </c>
      <c r="AB179" s="32">
        <f t="shared" si="47"/>
        <v>60906744.341512136</v>
      </c>
      <c r="AC179" s="32">
        <f t="shared" si="47"/>
        <v>61119917.946707435</v>
      </c>
      <c r="AD179" s="32">
        <f t="shared" si="47"/>
        <v>61333837.659520917</v>
      </c>
      <c r="AE179" s="32">
        <f t="shared" si="47"/>
        <v>61548506.091329247</v>
      </c>
    </row>
    <row r="180" spans="1:31" x14ac:dyDescent="0.2">
      <c r="A180" s="7" t="s">
        <v>277</v>
      </c>
      <c r="B180" s="25">
        <f>B187*700</f>
        <v>0</v>
      </c>
      <c r="C180" s="25">
        <f t="shared" ref="C180:AE180" si="49">C187*700</f>
        <v>0</v>
      </c>
      <c r="D180" s="25">
        <f t="shared" si="49"/>
        <v>0</v>
      </c>
      <c r="E180" s="25">
        <f t="shared" si="49"/>
        <v>0</v>
      </c>
      <c r="F180" s="25">
        <f t="shared" si="49"/>
        <v>-58509054.305896185</v>
      </c>
      <c r="G180" s="25">
        <f t="shared" si="49"/>
        <v>-59901622.747746944</v>
      </c>
      <c r="H180" s="25">
        <f t="shared" si="49"/>
        <v>-61294191.189597711</v>
      </c>
      <c r="I180" s="25">
        <f t="shared" si="49"/>
        <v>-62686759.631448306</v>
      </c>
      <c r="J180" s="25">
        <f t="shared" si="49"/>
        <v>-64079328.073299237</v>
      </c>
      <c r="K180" s="25">
        <f t="shared" si="49"/>
        <v>-65471896.515149832</v>
      </c>
      <c r="L180" s="25">
        <f t="shared" si="49"/>
        <v>-66864464.957000598</v>
      </c>
      <c r="M180" s="25">
        <f t="shared" si="49"/>
        <v>-68257033.398851186</v>
      </c>
      <c r="N180" s="25">
        <f t="shared" si="49"/>
        <v>-69649601.840702116</v>
      </c>
      <c r="O180" s="25">
        <f t="shared" si="49"/>
        <v>-71042170.282552719</v>
      </c>
      <c r="P180" s="25">
        <f t="shared" si="49"/>
        <v>-72434738.724403486</v>
      </c>
      <c r="Q180" s="25">
        <f t="shared" si="49"/>
        <v>-73827307.166254401</v>
      </c>
      <c r="R180" s="25">
        <f t="shared" si="49"/>
        <v>-75219875.608105004</v>
      </c>
      <c r="S180" s="25">
        <f t="shared" si="49"/>
        <v>-76612444.04995577</v>
      </c>
      <c r="T180" s="25">
        <f t="shared" si="49"/>
        <v>-78004150</v>
      </c>
      <c r="U180" s="25">
        <f t="shared" si="49"/>
        <v>-78784191.500000149</v>
      </c>
      <c r="V180" s="25">
        <f t="shared" si="49"/>
        <v>-79572033.415000185</v>
      </c>
      <c r="W180" s="25">
        <f t="shared" si="49"/>
        <v>-80367753.749150112</v>
      </c>
      <c r="X180" s="25">
        <f t="shared" si="49"/>
        <v>-81171431.286641493</v>
      </c>
      <c r="Y180" s="25">
        <f t="shared" si="49"/>
        <v>-81983145.599507987</v>
      </c>
      <c r="Z180" s="25">
        <f t="shared" si="49"/>
        <v>-82802977.055503011</v>
      </c>
      <c r="AA180" s="25">
        <f t="shared" si="49"/>
        <v>-83631006.826057985</v>
      </c>
      <c r="AB180" s="25">
        <f t="shared" si="49"/>
        <v>-84467316.894318774</v>
      </c>
      <c r="AC180" s="25">
        <f t="shared" si="49"/>
        <v>-85311990.063261986</v>
      </c>
      <c r="AD180" s="25">
        <f t="shared" si="49"/>
        <v>-86165109.963894457</v>
      </c>
      <c r="AE180" s="25">
        <f t="shared" si="49"/>
        <v>-87026761.063533276</v>
      </c>
    </row>
    <row r="182" spans="1:31" x14ac:dyDescent="0.2">
      <c r="A182" s="88"/>
      <c r="B182" s="217">
        <f>Parametre!B12</f>
        <v>2022</v>
      </c>
      <c r="C182" s="217">
        <f t="shared" ref="C182" si="50">B182+1</f>
        <v>2023</v>
      </c>
      <c r="D182" s="217">
        <f t="shared" ref="D182" si="51">C182+1</f>
        <v>2024</v>
      </c>
      <c r="E182" s="217">
        <f t="shared" ref="E182" si="52">D182+1</f>
        <v>2025</v>
      </c>
      <c r="F182" s="217">
        <f t="shared" ref="F182" si="53">E182+1</f>
        <v>2026</v>
      </c>
      <c r="G182" s="217">
        <f t="shared" ref="G182" si="54">F182+1</f>
        <v>2027</v>
      </c>
      <c r="H182" s="217">
        <f t="shared" ref="H182" si="55">G182+1</f>
        <v>2028</v>
      </c>
      <c r="I182" s="217">
        <f t="shared" ref="I182" si="56">H182+1</f>
        <v>2029</v>
      </c>
      <c r="J182" s="217">
        <f t="shared" ref="J182" si="57">I182+1</f>
        <v>2030</v>
      </c>
      <c r="K182" s="217">
        <f t="shared" ref="K182" si="58">J182+1</f>
        <v>2031</v>
      </c>
      <c r="L182" s="217">
        <f t="shared" ref="L182" si="59">K182+1</f>
        <v>2032</v>
      </c>
      <c r="M182" s="217">
        <f t="shared" ref="M182" si="60">L182+1</f>
        <v>2033</v>
      </c>
      <c r="N182" s="217">
        <f t="shared" ref="N182" si="61">M182+1</f>
        <v>2034</v>
      </c>
      <c r="O182" s="217">
        <f t="shared" ref="O182" si="62">N182+1</f>
        <v>2035</v>
      </c>
      <c r="P182" s="217">
        <f t="shared" ref="P182" si="63">O182+1</f>
        <v>2036</v>
      </c>
      <c r="Q182" s="217">
        <f t="shared" ref="Q182" si="64">P182+1</f>
        <v>2037</v>
      </c>
      <c r="R182" s="217">
        <f t="shared" ref="R182" si="65">Q182+1</f>
        <v>2038</v>
      </c>
      <c r="S182" s="217">
        <f t="shared" ref="S182" si="66">R182+1</f>
        <v>2039</v>
      </c>
      <c r="T182" s="217">
        <f t="shared" ref="T182" si="67">S182+1</f>
        <v>2040</v>
      </c>
      <c r="U182" s="217">
        <f t="shared" ref="U182" si="68">T182+1</f>
        <v>2041</v>
      </c>
      <c r="V182" s="217">
        <f t="shared" ref="V182" si="69">U182+1</f>
        <v>2042</v>
      </c>
      <c r="W182" s="217">
        <f t="shared" ref="W182" si="70">V182+1</f>
        <v>2043</v>
      </c>
      <c r="X182" s="217">
        <f t="shared" ref="X182" si="71">W182+1</f>
        <v>2044</v>
      </c>
      <c r="Y182" s="217">
        <f t="shared" ref="Y182" si="72">X182+1</f>
        <v>2045</v>
      </c>
      <c r="Z182" s="217">
        <f t="shared" ref="Z182" si="73">Y182+1</f>
        <v>2046</v>
      </c>
      <c r="AA182" s="217">
        <f t="shared" ref="AA182" si="74">Z182+1</f>
        <v>2047</v>
      </c>
      <c r="AB182" s="217">
        <f t="shared" ref="AB182" si="75">AA182+1</f>
        <v>2048</v>
      </c>
      <c r="AC182" s="217">
        <f t="shared" ref="AC182" si="76">AB182+1</f>
        <v>2049</v>
      </c>
      <c r="AD182" s="217">
        <f t="shared" ref="AD182" si="77">AC182+1</f>
        <v>2050</v>
      </c>
      <c r="AE182" s="217">
        <f t="shared" ref="AE182" si="78">AD182+1</f>
        <v>2051</v>
      </c>
    </row>
    <row r="183" spans="1:31" x14ac:dyDescent="0.2">
      <c r="A183" s="89" t="s">
        <v>308</v>
      </c>
      <c r="B183" s="32"/>
      <c r="C183" s="32"/>
      <c r="D183" s="32">
        <f>E183*(1-D173)</f>
        <v>-6447680.5055</v>
      </c>
      <c r="E183" s="32">
        <v>-6551855</v>
      </c>
      <c r="F183" s="32">
        <f>E183*(1+F173)</f>
        <v>-6650788.0104999989</v>
      </c>
      <c r="G183" s="32">
        <f t="shared" ref="G183:AE183" si="79">F183*(1+G173)</f>
        <v>-6751214.9094585478</v>
      </c>
      <c r="H183" s="32">
        <f t="shared" si="79"/>
        <v>-6853158.2545913709</v>
      </c>
      <c r="I183" s="32">
        <f t="shared" si="79"/>
        <v>-6956640.9442357002</v>
      </c>
      <c r="J183" s="32">
        <v>-16232758</v>
      </c>
      <c r="K183" s="32">
        <f t="shared" si="79"/>
        <v>-16404825.2348</v>
      </c>
      <c r="L183" s="32">
        <f t="shared" si="79"/>
        <v>-16578716.382288879</v>
      </c>
      <c r="M183" s="32">
        <f t="shared" si="79"/>
        <v>-16754450.775941139</v>
      </c>
      <c r="N183" s="32">
        <f t="shared" si="79"/>
        <v>-16932047.954166114</v>
      </c>
      <c r="O183" s="32">
        <f t="shared" si="79"/>
        <v>-17111527.662480272</v>
      </c>
      <c r="P183" s="32">
        <f t="shared" si="79"/>
        <v>-17292909.855702564</v>
      </c>
      <c r="Q183" s="32">
        <f t="shared" ref="Q183:R183" si="80">R183*(1-Q173)</f>
        <v>-17493542.198158547</v>
      </c>
      <c r="R183" s="32">
        <f t="shared" si="80"/>
        <v>-17680960.378167119</v>
      </c>
      <c r="S183" s="32">
        <f>T183*(1-S173)</f>
        <v>-17870386.474799998</v>
      </c>
      <c r="T183" s="32">
        <v>-18061842</v>
      </c>
      <c r="U183" s="32">
        <f t="shared" si="79"/>
        <v>-18125058.447000001</v>
      </c>
      <c r="V183" s="32">
        <f t="shared" si="79"/>
        <v>-18188496.151564501</v>
      </c>
      <c r="W183" s="32">
        <f t="shared" si="79"/>
        <v>-18252155.888094977</v>
      </c>
      <c r="X183" s="32">
        <f t="shared" si="79"/>
        <v>-18316038.433703311</v>
      </c>
      <c r="Y183" s="32">
        <f t="shared" si="79"/>
        <v>-18380144.568221275</v>
      </c>
      <c r="Z183" s="32">
        <f t="shared" si="79"/>
        <v>-18444475.074210051</v>
      </c>
      <c r="AA183" s="32">
        <f t="shared" si="79"/>
        <v>-18509030.736969788</v>
      </c>
      <c r="AB183" s="32">
        <f t="shared" si="79"/>
        <v>-18573812.344549183</v>
      </c>
      <c r="AC183" s="32">
        <f t="shared" si="79"/>
        <v>-18638820.687755108</v>
      </c>
      <c r="AD183" s="32">
        <f t="shared" si="79"/>
        <v>-18704056.560162254</v>
      </c>
      <c r="AE183" s="32">
        <f t="shared" si="79"/>
        <v>-18769520.758122824</v>
      </c>
    </row>
    <row r="184" spans="1:31" x14ac:dyDescent="0.2">
      <c r="A184" s="89" t="s">
        <v>504</v>
      </c>
      <c r="B184" s="32"/>
      <c r="C184" s="32"/>
      <c r="D184" s="32">
        <f>E184*(1-D173)</f>
        <v>-104387.4234</v>
      </c>
      <c r="E184" s="32">
        <v>-106074</v>
      </c>
      <c r="F184" s="32">
        <f>E184*(1+F173)</f>
        <v>-107675.71739999999</v>
      </c>
      <c r="G184" s="32">
        <f t="shared" ref="G184:AE184" si="81">F184*(1+G173)</f>
        <v>-109301.62073273998</v>
      </c>
      <c r="H184" s="32">
        <f t="shared" si="81"/>
        <v>-110952.07520580434</v>
      </c>
      <c r="I184" s="32">
        <f t="shared" si="81"/>
        <v>-112627.45154141198</v>
      </c>
      <c r="J184" s="32">
        <v>-803775</v>
      </c>
      <c r="K184" s="32">
        <f t="shared" si="81"/>
        <v>-812295.0149999999</v>
      </c>
      <c r="L184" s="32">
        <f t="shared" si="81"/>
        <v>-820905.34215899988</v>
      </c>
      <c r="M184" s="32">
        <f t="shared" si="81"/>
        <v>-829606.93878588523</v>
      </c>
      <c r="N184" s="32">
        <f t="shared" si="81"/>
        <v>-838400.7723370156</v>
      </c>
      <c r="O184" s="32">
        <f t="shared" si="81"/>
        <v>-847287.82052378787</v>
      </c>
      <c r="P184" s="32">
        <f t="shared" si="81"/>
        <v>-856269.07142133999</v>
      </c>
      <c r="Q184" s="32">
        <f t="shared" ref="Q184:R184" si="82">R184*(1-Q173)</f>
        <v>-848418.06803220417</v>
      </c>
      <c r="R184" s="32">
        <f t="shared" si="82"/>
        <v>-857507.6491127999</v>
      </c>
      <c r="S184" s="32">
        <f>T184*(1-S173)</f>
        <v>-866694.61199999996</v>
      </c>
      <c r="T184" s="32">
        <v>-875980</v>
      </c>
      <c r="U184" s="32">
        <f t="shared" si="81"/>
        <v>-879045.93</v>
      </c>
      <c r="V184" s="32">
        <f t="shared" si="81"/>
        <v>-882122.59075500013</v>
      </c>
      <c r="W184" s="32">
        <f t="shared" si="81"/>
        <v>-885210.01982264267</v>
      </c>
      <c r="X184" s="32">
        <f t="shared" si="81"/>
        <v>-888308.254892022</v>
      </c>
      <c r="Y184" s="32">
        <f t="shared" si="81"/>
        <v>-891417.33378414414</v>
      </c>
      <c r="Z184" s="32">
        <f t="shared" si="81"/>
        <v>-894537.29445238865</v>
      </c>
      <c r="AA184" s="32">
        <f t="shared" si="81"/>
        <v>-897668.17498297209</v>
      </c>
      <c r="AB184" s="32">
        <f t="shared" si="81"/>
        <v>-900810.0135954126</v>
      </c>
      <c r="AC184" s="32">
        <f t="shared" si="81"/>
        <v>-903962.84864299663</v>
      </c>
      <c r="AD184" s="32">
        <f t="shared" si="81"/>
        <v>-907126.71861324715</v>
      </c>
      <c r="AE184" s="32">
        <f t="shared" si="81"/>
        <v>-910301.66212839354</v>
      </c>
    </row>
    <row r="185" spans="1:31" x14ac:dyDescent="0.2">
      <c r="A185" s="89" t="s">
        <v>311</v>
      </c>
      <c r="B185" s="32"/>
      <c r="C185" s="32"/>
      <c r="D185" s="32"/>
      <c r="E185" s="32">
        <v>0</v>
      </c>
      <c r="F185" s="32">
        <v>0</v>
      </c>
      <c r="G185" s="32">
        <v>0</v>
      </c>
      <c r="H185" s="32">
        <v>0</v>
      </c>
      <c r="I185" s="32">
        <v>0</v>
      </c>
      <c r="J185" s="32">
        <v>0</v>
      </c>
      <c r="K185" s="32">
        <v>0</v>
      </c>
      <c r="L185" s="32">
        <v>0</v>
      </c>
      <c r="M185" s="32">
        <v>0</v>
      </c>
      <c r="N185" s="32">
        <v>0</v>
      </c>
      <c r="O185" s="32">
        <v>0</v>
      </c>
      <c r="P185" s="32">
        <v>0</v>
      </c>
      <c r="Q185" s="32">
        <v>0</v>
      </c>
      <c r="R185" s="32">
        <v>0</v>
      </c>
      <c r="S185" s="32">
        <v>0</v>
      </c>
      <c r="T185" s="32">
        <v>0</v>
      </c>
      <c r="U185" s="32">
        <v>0</v>
      </c>
      <c r="V185" s="32">
        <v>0</v>
      </c>
      <c r="W185" s="32">
        <v>0</v>
      </c>
      <c r="X185" s="32">
        <v>0</v>
      </c>
      <c r="Y185" s="32">
        <v>0</v>
      </c>
      <c r="Z185" s="32">
        <v>0</v>
      </c>
      <c r="AA185" s="32">
        <v>0</v>
      </c>
      <c r="AB185" s="32">
        <v>0</v>
      </c>
      <c r="AC185" s="32">
        <v>0</v>
      </c>
      <c r="AD185" s="32">
        <v>0</v>
      </c>
      <c r="AE185" s="32">
        <v>0</v>
      </c>
    </row>
    <row r="186" spans="1:31" x14ac:dyDescent="0.2">
      <c r="A186" s="89" t="s">
        <v>313</v>
      </c>
      <c r="B186" s="32">
        <f t="shared" ref="B186" si="83">(D17+D18+D19)-(D10+D11+D12)</f>
        <v>0</v>
      </c>
      <c r="C186" s="32">
        <f t="shared" ref="C186" si="84">(E17+E18+E19)-(E10+E11+E12)</f>
        <v>0</v>
      </c>
      <c r="D186" s="32">
        <f t="shared" ref="D186" si="85">(F17+F18+F19)-(F10+F11+F12)</f>
        <v>0</v>
      </c>
      <c r="E186" s="32">
        <f t="shared" ref="E186" si="86">(G17+G18+G19)-(G10+G11+G12)</f>
        <v>0</v>
      </c>
      <c r="F186" s="32">
        <f t="shared" ref="F186" si="87">(H17+H18+H19)-(H10+H11+H12)</f>
        <v>0</v>
      </c>
      <c r="G186" s="32">
        <f t="shared" ref="G186" si="88">(I17+I18+I19)-(I10+I11+I12)</f>
        <v>0</v>
      </c>
      <c r="H186" s="32">
        <f t="shared" ref="H186" si="89">(J17+J18+J19)-(J10+J11+J12)</f>
        <v>0</v>
      </c>
      <c r="I186" s="32">
        <f t="shared" ref="I186" si="90">(K17+K18+K19)-(K10+K11+K12)</f>
        <v>0</v>
      </c>
      <c r="J186" s="32">
        <v>302220</v>
      </c>
      <c r="K186" s="32">
        <v>302220</v>
      </c>
      <c r="L186" s="32">
        <v>302220</v>
      </c>
      <c r="M186" s="32">
        <v>302220</v>
      </c>
      <c r="N186" s="32">
        <v>302220</v>
      </c>
      <c r="O186" s="32">
        <v>302220</v>
      </c>
      <c r="P186" s="32">
        <v>302220</v>
      </c>
      <c r="Q186" s="32">
        <v>302220</v>
      </c>
      <c r="R186" s="32">
        <v>302220</v>
      </c>
      <c r="S186" s="32">
        <v>302220</v>
      </c>
      <c r="T186" s="32">
        <v>302220</v>
      </c>
      <c r="U186" s="32">
        <v>302220</v>
      </c>
      <c r="V186" s="32">
        <v>302220</v>
      </c>
      <c r="W186" s="32">
        <v>302220</v>
      </c>
      <c r="X186" s="32">
        <v>302220</v>
      </c>
      <c r="Y186" s="32">
        <v>302220</v>
      </c>
      <c r="Z186" s="32">
        <v>302220</v>
      </c>
      <c r="AA186" s="32">
        <v>302220</v>
      </c>
      <c r="AB186" s="32">
        <v>302220</v>
      </c>
      <c r="AC186" s="32">
        <v>302220</v>
      </c>
      <c r="AD186" s="32">
        <v>302220</v>
      </c>
      <c r="AE186" s="32">
        <v>302220</v>
      </c>
    </row>
    <row r="187" spans="1:31" x14ac:dyDescent="0.2">
      <c r="A187" s="7" t="s">
        <v>314</v>
      </c>
      <c r="B187" s="25">
        <f>D21-D13</f>
        <v>0</v>
      </c>
      <c r="C187" s="25">
        <f t="shared" ref="C187:AE187" si="91">E21-E13</f>
        <v>0</v>
      </c>
      <c r="D187" s="25">
        <f t="shared" si="91"/>
        <v>0</v>
      </c>
      <c r="E187" s="25">
        <f t="shared" si="91"/>
        <v>0</v>
      </c>
      <c r="F187" s="25">
        <f t="shared" si="91"/>
        <v>-83584.363294137409</v>
      </c>
      <c r="G187" s="25">
        <f t="shared" si="91"/>
        <v>-85573.74678249564</v>
      </c>
      <c r="H187" s="25">
        <f t="shared" si="91"/>
        <v>-87563.130270853871</v>
      </c>
      <c r="I187" s="25">
        <f t="shared" si="91"/>
        <v>-89552.51375921187</v>
      </c>
      <c r="J187" s="25">
        <f t="shared" si="91"/>
        <v>-91541.897247570334</v>
      </c>
      <c r="K187" s="25">
        <f t="shared" si="91"/>
        <v>-93531.280735928332</v>
      </c>
      <c r="L187" s="25">
        <f t="shared" si="91"/>
        <v>-95520.664224286564</v>
      </c>
      <c r="M187" s="25">
        <f t="shared" si="91"/>
        <v>-97510.047712644562</v>
      </c>
      <c r="N187" s="25">
        <f t="shared" si="91"/>
        <v>-99499.431201003026</v>
      </c>
      <c r="O187" s="25">
        <f t="shared" si="91"/>
        <v>-101488.81468936102</v>
      </c>
      <c r="P187" s="25">
        <f t="shared" si="91"/>
        <v>-103478.19817771926</v>
      </c>
      <c r="Q187" s="25">
        <f t="shared" si="91"/>
        <v>-105467.58166607772</v>
      </c>
      <c r="R187" s="25">
        <f t="shared" si="91"/>
        <v>-107456.96515443572</v>
      </c>
      <c r="S187" s="25">
        <f t="shared" si="91"/>
        <v>-109446.34864279395</v>
      </c>
      <c r="T187" s="25">
        <f t="shared" si="91"/>
        <v>-111434.5</v>
      </c>
      <c r="U187" s="25">
        <f t="shared" si="91"/>
        <v>-112548.8450000002</v>
      </c>
      <c r="V187" s="25">
        <f t="shared" si="91"/>
        <v>-113674.33345000027</v>
      </c>
      <c r="W187" s="25">
        <f t="shared" si="91"/>
        <v>-114811.07678450015</v>
      </c>
      <c r="X187" s="25">
        <f t="shared" si="91"/>
        <v>-115959.18755234499</v>
      </c>
      <c r="Y187" s="25">
        <f t="shared" si="91"/>
        <v>-117118.77942786855</v>
      </c>
      <c r="Z187" s="25">
        <f t="shared" si="91"/>
        <v>-118289.96722214716</v>
      </c>
      <c r="AA187" s="25">
        <f t="shared" si="91"/>
        <v>-119472.86689436855</v>
      </c>
      <c r="AB187" s="25">
        <f t="shared" si="91"/>
        <v>-120667.59556331253</v>
      </c>
      <c r="AC187" s="25">
        <f t="shared" si="91"/>
        <v>-121874.27151894569</v>
      </c>
      <c r="AD187" s="25">
        <f t="shared" si="91"/>
        <v>-123093.01423413493</v>
      </c>
      <c r="AE187" s="25">
        <f t="shared" si="91"/>
        <v>-124323.94437647611</v>
      </c>
    </row>
    <row r="192" spans="1:31" x14ac:dyDescent="0.2">
      <c r="C192" s="48"/>
    </row>
  </sheetData>
  <mergeCells count="25">
    <mergeCell ref="B113:D113"/>
    <mergeCell ref="E113:G113"/>
    <mergeCell ref="A18:A19"/>
    <mergeCell ref="A13:A14"/>
    <mergeCell ref="A21:A22"/>
    <mergeCell ref="B41:D41"/>
    <mergeCell ref="E41:G41"/>
    <mergeCell ref="B98:D98"/>
    <mergeCell ref="E98:G98"/>
    <mergeCell ref="A10:A11"/>
    <mergeCell ref="B17:C17"/>
    <mergeCell ref="B9:C9"/>
    <mergeCell ref="B11:C11"/>
    <mergeCell ref="B12:C12"/>
    <mergeCell ref="B13:C13"/>
    <mergeCell ref="B14:C14"/>
    <mergeCell ref="B10:C10"/>
    <mergeCell ref="O24:P24"/>
    <mergeCell ref="B16:C16"/>
    <mergeCell ref="B18:C18"/>
    <mergeCell ref="B19:C19"/>
    <mergeCell ref="B26:D26"/>
    <mergeCell ref="E26:G26"/>
    <mergeCell ref="B21:C21"/>
    <mergeCell ref="B22:C22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38" fitToWidth="3" fitToHeight="2" orientation="landscape" r:id="rId1"/>
  <headerFooter>
    <oddHeader xml:space="preserve">&amp;CŽSR, dopravný uzol Bratislava - štúdia realizovateľnosti </oddHeader>
    <oddFooter xml:space="preserve">&amp;C
Štúdia realizovateľnosti - Doprava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41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6.140625" defaultRowHeight="14.25" x14ac:dyDescent="0.2"/>
  <cols>
    <col min="1" max="1" width="40.7109375" style="1" customWidth="1"/>
    <col min="2" max="2" width="18.7109375" style="30" customWidth="1"/>
    <col min="3" max="3" width="18.7109375" style="125" customWidth="1"/>
    <col min="4" max="7" width="15.7109375" style="30" customWidth="1"/>
    <col min="8" max="33" width="15.2851562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42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486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130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89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52" t="s">
        <v>403</v>
      </c>
      <c r="B11" s="225"/>
      <c r="C11" s="29"/>
      <c r="D11" s="225"/>
      <c r="E11" s="225"/>
      <c r="F11" s="225"/>
      <c r="G11" s="225"/>
      <c r="H11" s="225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</row>
    <row r="12" spans="1:33" x14ac:dyDescent="0.2">
      <c r="A12" s="52" t="s">
        <v>404</v>
      </c>
      <c r="B12" s="32">
        <f t="shared" ref="B12:B20" si="2">SUM(D12:AG12)</f>
        <v>5253174.7369503155</v>
      </c>
      <c r="C12" s="135"/>
      <c r="D12" s="225"/>
      <c r="E12" s="225"/>
      <c r="F12" s="129">
        <f>'Vstupné dáta'!D52</f>
        <v>11576.9524</v>
      </c>
      <c r="G12" s="129">
        <f>'Vstupné dáta'!E52</f>
        <v>11764</v>
      </c>
      <c r="H12" s="129">
        <f>'Vstupné dáta'!F52</f>
        <v>11941.636399999999</v>
      </c>
      <c r="I12" s="129">
        <f>'Vstupné dáta'!G52</f>
        <v>12121.955109639997</v>
      </c>
      <c r="J12" s="129">
        <f>'Vstupné dáta'!H52</f>
        <v>12304.99663179556</v>
      </c>
      <c r="K12" s="129">
        <f>'Vstupné dáta'!I52</f>
        <v>12490.802080935671</v>
      </c>
      <c r="L12" s="129">
        <f>'Vstupné dáta'!J52</f>
        <v>147497</v>
      </c>
      <c r="M12" s="129">
        <f>'Vstupné dáta'!K52</f>
        <v>149060.4682</v>
      </c>
      <c r="N12" s="129">
        <f>'Vstupné dáta'!L52</f>
        <v>150640.50916292</v>
      </c>
      <c r="O12" s="129">
        <f>'Vstupné dáta'!M52</f>
        <v>152237.29856004694</v>
      </c>
      <c r="P12" s="129">
        <f>'Vstupné dáta'!N52</f>
        <v>153851.01392478342</v>
      </c>
      <c r="Q12" s="129">
        <f>'Vstupné dáta'!O52</f>
        <v>155481.83467238612</v>
      </c>
      <c r="R12" s="129">
        <f>'Vstupné dáta'!P52</f>
        <v>157129.94211991341</v>
      </c>
      <c r="S12" s="129">
        <f>'Vstupné dáta'!Q52</f>
        <v>262719.23403046583</v>
      </c>
      <c r="T12" s="129">
        <f>'Vstupné dáta'!R52</f>
        <v>265533.89329943992</v>
      </c>
      <c r="U12" s="129">
        <f>'Vstupné dáta'!S52</f>
        <v>268378.70759999997</v>
      </c>
      <c r="V12" s="129">
        <f>'Vstupné dáta'!T52</f>
        <v>271254</v>
      </c>
      <c r="W12" s="129">
        <f>'Vstupné dáta'!U52</f>
        <v>272203.38900000002</v>
      </c>
      <c r="X12" s="129">
        <f>'Vstupné dáta'!V52</f>
        <v>273156.10086150002</v>
      </c>
      <c r="Y12" s="129">
        <f>'Vstupné dáta'!W52</f>
        <v>274112.14721451531</v>
      </c>
      <c r="Z12" s="129">
        <f>'Vstupné dáta'!X52</f>
        <v>275071.53972976614</v>
      </c>
      <c r="AA12" s="129">
        <f>'Vstupné dáta'!Y52</f>
        <v>276034.29011882033</v>
      </c>
      <c r="AB12" s="129">
        <f>'Vstupné dáta'!Z52</f>
        <v>277000.41013423621</v>
      </c>
      <c r="AC12" s="129">
        <f>'Vstupné dáta'!AA52</f>
        <v>277969.91156970605</v>
      </c>
      <c r="AD12" s="129">
        <f>'Vstupné dáta'!AB52</f>
        <v>278942.80626020004</v>
      </c>
      <c r="AE12" s="129">
        <f>'Vstupné dáta'!AC52</f>
        <v>279919.10608211078</v>
      </c>
      <c r="AF12" s="129">
        <f>'Vstupné dáta'!AD52</f>
        <v>280898.82295339816</v>
      </c>
      <c r="AG12" s="129">
        <f>'Vstupné dáta'!AE52</f>
        <v>281881.9688337351</v>
      </c>
    </row>
    <row r="13" spans="1:33" x14ac:dyDescent="0.2">
      <c r="A13" s="52" t="s">
        <v>405</v>
      </c>
      <c r="B13" s="32">
        <f t="shared" si="2"/>
        <v>944931.60151687858</v>
      </c>
      <c r="C13" s="135"/>
      <c r="D13" s="225"/>
      <c r="E13" s="225"/>
      <c r="F13" s="32">
        <f>'Vstupné dáta'!D53</f>
        <v>2398.2516999999998</v>
      </c>
      <c r="G13" s="32">
        <f>'Vstupné dáta'!E53</f>
        <v>2437</v>
      </c>
      <c r="H13" s="32">
        <f>'Vstupné dáta'!F53</f>
        <v>2473.7986999999998</v>
      </c>
      <c r="I13" s="32">
        <f>'Vstupné dáta'!G53</f>
        <v>2511.1530603699994</v>
      </c>
      <c r="J13" s="32">
        <f>'Vstupné dáta'!H53</f>
        <v>2549.0714715815861</v>
      </c>
      <c r="K13" s="32">
        <f>'Vstupné dáta'!I53</f>
        <v>2587.562450802468</v>
      </c>
      <c r="L13" s="32">
        <f>'Vstupné dáta'!J53</f>
        <v>26485</v>
      </c>
      <c r="M13" s="32">
        <f>'Vstupné dáta'!K53</f>
        <v>26765.740999999998</v>
      </c>
      <c r="N13" s="32">
        <f>'Vstupné dáta'!L53</f>
        <v>27049.457854599998</v>
      </c>
      <c r="O13" s="32">
        <f>'Vstupné dáta'!M53</f>
        <v>27336.182107858756</v>
      </c>
      <c r="P13" s="32">
        <f>'Vstupné dáta'!N53</f>
        <v>27625.945638202058</v>
      </c>
      <c r="Q13" s="32">
        <f>'Vstupné dáta'!O53</f>
        <v>27918.780661966997</v>
      </c>
      <c r="R13" s="32">
        <f>'Vstupné dáta'!P53</f>
        <v>28214.719736983847</v>
      </c>
      <c r="S13" s="32">
        <f>'Vstupné dáta'!Q53</f>
        <v>47153.169755186034</v>
      </c>
      <c r="T13" s="32">
        <f>'Vstupné dáta'!R53</f>
        <v>47658.348246599999</v>
      </c>
      <c r="U13" s="32">
        <f>'Vstupné dáta'!S53</f>
        <v>48168.938999999998</v>
      </c>
      <c r="V13" s="32">
        <f>'Vstupné dáta'!T53</f>
        <v>48685</v>
      </c>
      <c r="W13" s="32">
        <f>'Vstupné dáta'!U53</f>
        <v>48855.397500000006</v>
      </c>
      <c r="X13" s="32">
        <f>'Vstupné dáta'!V53</f>
        <v>49026.391391250007</v>
      </c>
      <c r="Y13" s="32">
        <f>'Vstupné dáta'!W53</f>
        <v>49197.983761119387</v>
      </c>
      <c r="Z13" s="32">
        <f>'Vstupné dáta'!X53</f>
        <v>49370.176704283309</v>
      </c>
      <c r="AA13" s="32">
        <f>'Vstupné dáta'!Y53</f>
        <v>49542.972322748305</v>
      </c>
      <c r="AB13" s="32">
        <f>'Vstupné dáta'!Z53</f>
        <v>49716.372725877925</v>
      </c>
      <c r="AC13" s="32">
        <f>'Vstupné dáta'!AA53</f>
        <v>49890.380030418499</v>
      </c>
      <c r="AD13" s="32">
        <f>'Vstupné dáta'!AB53</f>
        <v>50064.996360524965</v>
      </c>
      <c r="AE13" s="32">
        <f>'Vstupné dáta'!AC53</f>
        <v>50240.223847786809</v>
      </c>
      <c r="AF13" s="32">
        <f>'Vstupné dáta'!AD53</f>
        <v>50416.064631254063</v>
      </c>
      <c r="AG13" s="32">
        <f>'Vstupné dáta'!AE53</f>
        <v>50592.520857463453</v>
      </c>
    </row>
    <row r="14" spans="1:33" x14ac:dyDescent="0.2">
      <c r="A14" s="7" t="s">
        <v>406</v>
      </c>
      <c r="B14" s="32">
        <f t="shared" si="2"/>
        <v>142908425.23782918</v>
      </c>
      <c r="C14" s="135">
        <f>NPV(Parametre!B$10,D14:AG14)</f>
        <v>59699165.565737821</v>
      </c>
      <c r="D14" s="225"/>
      <c r="E14" s="225"/>
      <c r="F14" s="32">
        <f>F12*Parametre!J47+Parametre!J48*F13</f>
        <v>260194.97430438088</v>
      </c>
      <c r="G14" s="32">
        <f>G12*Parametre!K47+Parametre!K48*G13</f>
        <v>269951.29434485611</v>
      </c>
      <c r="H14" s="32">
        <f>H12*Parametre!L47+Parametre!L48*H13</f>
        <v>279590.31833491952</v>
      </c>
      <c r="I14" s="32">
        <f>I12*Parametre!M47+Parametre!M48*I13</f>
        <v>289374.84993175563</v>
      </c>
      <c r="J14" s="32">
        <f>J12*Parametre!N47+Parametre!N48*J13</f>
        <v>299296.17951785726</v>
      </c>
      <c r="K14" s="32">
        <f>K12*Parametre!O47+Parametre!O48*K13</f>
        <v>309344.99487185694</v>
      </c>
      <c r="L14" s="32">
        <f>L12*Parametre!P47+Parametre!P48*L13</f>
        <v>3646223.1416179813</v>
      </c>
      <c r="M14" s="32">
        <f>M12*Parametre!Q47+Parametre!Q48*M13</f>
        <v>3744199.5639405302</v>
      </c>
      <c r="N14" s="32">
        <f>N12*Parametre!R47+Parametre!R48*N13</f>
        <v>3836862.5124287559</v>
      </c>
      <c r="O14" s="32">
        <f>O12*Parametre!S47+Parametre!S48*O13</f>
        <v>3926390.1740742624</v>
      </c>
      <c r="P14" s="32">
        <f>P12*Parametre!T47+Parametre!T48*P13</f>
        <v>4009674.013973603</v>
      </c>
      <c r="Q14" s="32">
        <f>Q12*Parametre!U47+Parametre!U48*Q13</f>
        <v>4089051.3652042709</v>
      </c>
      <c r="R14" s="32">
        <f>R12*Parametre!V47+Parametre!V48*R13</f>
        <v>4167107.4302767101</v>
      </c>
      <c r="S14" s="32">
        <f>S12*Parametre!W47+Parametre!W48*S13</f>
        <v>7020595.7358801775</v>
      </c>
      <c r="T14" s="32">
        <f>T12*Parametre!X47+Parametre!X48*T13</f>
        <v>7140514.9474592917</v>
      </c>
      <c r="U14" s="32">
        <f>U12*Parametre!Y47+Parametre!Y48*U13</f>
        <v>7257430.5954771228</v>
      </c>
      <c r="V14" s="32">
        <f>V12*Parametre!Z47+Parametre!Z48*V13</f>
        <v>7371125.9403628064</v>
      </c>
      <c r="W14" s="32">
        <f>W12*Parametre!AA47+Parametre!AA48*W13</f>
        <v>7433169.8130717315</v>
      </c>
      <c r="X14" s="32">
        <f>X12*Parametre!AB47+Parametre!AB48*X13</f>
        <v>7495735.9183638263</v>
      </c>
      <c r="Y14" s="32">
        <f>Y12*Parametre!AC47+Parametre!AC48*Y13</f>
        <v>7553563.2722532293</v>
      </c>
      <c r="Z14" s="32">
        <f>Z12*Parametre!AD47+Parametre!AD48*Z13</f>
        <v>7611836.746829682</v>
      </c>
      <c r="AA14" s="32">
        <f>AA12*Parametre!AE47+Parametre!AE48*AA13</f>
        <v>7670559.7837804491</v>
      </c>
      <c r="AB14" s="32">
        <f>AB12*Parametre!AF47+Parametre!AF48*AB13</f>
        <v>7729735.8513443805</v>
      </c>
      <c r="AC14" s="32">
        <f>AC12*Parametre!AG47+Parametre!AG48*AC13</f>
        <v>7789368.4445167463</v>
      </c>
      <c r="AD14" s="32">
        <f>AD12*Parametre!AH47+Parametre!AH48*AD13</f>
        <v>7843989.4433918102</v>
      </c>
      <c r="AE14" s="32">
        <f>AE12*Parametre!AI47+Parametre!AI48*AE13</f>
        <v>7898993.4583662357</v>
      </c>
      <c r="AF14" s="32">
        <f>AF12*Parametre!AJ47+Parametre!AJ48*AF13</f>
        <v>7954383.1752446648</v>
      </c>
      <c r="AG14" s="32">
        <f>AG12*Parametre!AK47+Parametre!AK48*AG13</f>
        <v>8010161.2986652758</v>
      </c>
    </row>
    <row r="15" spans="1:33" s="130" customFormat="1" x14ac:dyDescent="0.2">
      <c r="A15" s="131" t="s">
        <v>395</v>
      </c>
      <c r="B15" s="32"/>
      <c r="C15" s="135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</row>
    <row r="16" spans="1:33" s="130" customFormat="1" x14ac:dyDescent="0.2">
      <c r="A16" s="7" t="s">
        <v>43</v>
      </c>
      <c r="B16" s="32">
        <f t="shared" si="2"/>
        <v>8654273.3277136683</v>
      </c>
      <c r="C16" s="135"/>
      <c r="D16" s="129"/>
      <c r="E16" s="129"/>
      <c r="F16" s="129">
        <f>'Vstupné dáta'!D54</f>
        <v>28368.650699999998</v>
      </c>
      <c r="G16" s="129">
        <f>'Vstupné dáta'!E54</f>
        <v>28827</v>
      </c>
      <c r="H16" s="129">
        <f>'Vstupné dáta'!F54</f>
        <v>29262.287699999997</v>
      </c>
      <c r="I16" s="129">
        <f>'Vstupné dáta'!G54</f>
        <v>29704.148244269993</v>
      </c>
      <c r="J16" s="129">
        <f>'Vstupné dáta'!H54</f>
        <v>30152.680882758465</v>
      </c>
      <c r="K16" s="129">
        <f>'Vstupné dáta'!I54</f>
        <v>30607.986364088116</v>
      </c>
      <c r="L16" s="129">
        <f>'Vstupné dáta'!J54</f>
        <v>297248</v>
      </c>
      <c r="M16" s="129">
        <f>'Vstupné dáta'!K54</f>
        <v>300398.82879999996</v>
      </c>
      <c r="N16" s="129">
        <f>'Vstupné dáta'!L54</f>
        <v>303583.05638527992</v>
      </c>
      <c r="O16" s="129">
        <f>'Vstupné dáta'!M54</f>
        <v>306801.0367829639</v>
      </c>
      <c r="P16" s="129">
        <f>'Vstupné dáta'!N54</f>
        <v>310053.12777286331</v>
      </c>
      <c r="Q16" s="129">
        <f>'Vstupné dáta'!O54</f>
        <v>313339.69092725567</v>
      </c>
      <c r="R16" s="129">
        <f>'Vstupné dáta'!P54</f>
        <v>316661.09165108454</v>
      </c>
      <c r="S16" s="129">
        <f>'Vstupné dáta'!Q54</f>
        <v>404079.95263534761</v>
      </c>
      <c r="T16" s="129">
        <f>'Vstupné dáta'!R54</f>
        <v>408409.08897851995</v>
      </c>
      <c r="U16" s="129">
        <f>'Vstupné dáta'!S54</f>
        <v>412784.60579999996</v>
      </c>
      <c r="V16" s="129">
        <f>'Vstupné dáta'!T54</f>
        <v>417207</v>
      </c>
      <c r="W16" s="129">
        <f>'Vstupné dáta'!U54</f>
        <v>418667.22450000001</v>
      </c>
      <c r="X16" s="129">
        <f>'Vstupné dáta'!V54</f>
        <v>420132.55978575005</v>
      </c>
      <c r="Y16" s="129">
        <f>'Vstupné dáta'!W54</f>
        <v>421603.02374500019</v>
      </c>
      <c r="Z16" s="129">
        <f>'Vstupné dáta'!X54</f>
        <v>423078.6343281077</v>
      </c>
      <c r="AA16" s="129">
        <f>'Vstupné dáta'!Y54</f>
        <v>424559.40954825608</v>
      </c>
      <c r="AB16" s="129">
        <f>'Vstupné dáta'!Z54</f>
        <v>426045.367481675</v>
      </c>
      <c r="AC16" s="129">
        <f>'Vstupné dáta'!AA54</f>
        <v>427536.5262678609</v>
      </c>
      <c r="AD16" s="129">
        <f>'Vstupné dáta'!AB54</f>
        <v>429032.90410979843</v>
      </c>
      <c r="AE16" s="129">
        <f>'Vstupné dáta'!AC54</f>
        <v>430534.51927418273</v>
      </c>
      <c r="AF16" s="129">
        <f>'Vstupné dáta'!AD54</f>
        <v>432041.39009164239</v>
      </c>
      <c r="AG16" s="129">
        <f>'Vstupné dáta'!AE54</f>
        <v>433553.53495696315</v>
      </c>
    </row>
    <row r="17" spans="1:33" s="130" customFormat="1" x14ac:dyDescent="0.2">
      <c r="A17" s="7" t="s">
        <v>407</v>
      </c>
      <c r="B17" s="32">
        <f t="shared" si="2"/>
        <v>7361901.5201565251</v>
      </c>
      <c r="C17" s="135"/>
      <c r="D17" s="129"/>
      <c r="E17" s="129"/>
      <c r="F17" s="129">
        <f>'Vstupné dáta'!D56</f>
        <v>39705.4827</v>
      </c>
      <c r="G17" s="129">
        <f>'Vstupné dáta'!E56</f>
        <v>40347</v>
      </c>
      <c r="H17" s="129">
        <f>'Vstupné dáta'!F56</f>
        <v>40956.239699999998</v>
      </c>
      <c r="I17" s="129">
        <f>'Vstupné dáta'!G56</f>
        <v>41574.678919469996</v>
      </c>
      <c r="J17" s="129">
        <f>'Vstupné dáta'!H56</f>
        <v>42202.456571153991</v>
      </c>
      <c r="K17" s="129">
        <f>'Vstupné dáta'!I56</f>
        <v>42839.713665378411</v>
      </c>
      <c r="L17" s="129">
        <f>'Vstupné dáta'!J56</f>
        <v>215009</v>
      </c>
      <c r="M17" s="129">
        <f>'Vstupné dáta'!K56</f>
        <v>217288.09539999999</v>
      </c>
      <c r="N17" s="129">
        <f>'Vstupné dáta'!L56</f>
        <v>219591.34921123998</v>
      </c>
      <c r="O17" s="129">
        <f>'Vstupné dáta'!M56</f>
        <v>221919.0175128791</v>
      </c>
      <c r="P17" s="129">
        <f>'Vstupné dáta'!N56</f>
        <v>224271.35909851562</v>
      </c>
      <c r="Q17" s="129">
        <f>'Vstupné dáta'!O56</f>
        <v>226648.63550495988</v>
      </c>
      <c r="R17" s="129">
        <f>'Vstupné dáta'!P56</f>
        <v>229051.11104131243</v>
      </c>
      <c r="S17" s="129">
        <f>'Vstupné dáta'!Q56</f>
        <v>354999.39646108344</v>
      </c>
      <c r="T17" s="129">
        <f>'Vstupné dáta'!R56</f>
        <v>358802.70513551997</v>
      </c>
      <c r="U17" s="129">
        <f>'Vstupné dáta'!S56</f>
        <v>362646.76079999999</v>
      </c>
      <c r="V17" s="129">
        <f>'Vstupné dáta'!T56</f>
        <v>366532</v>
      </c>
      <c r="W17" s="129">
        <f>'Vstupné dáta'!U56</f>
        <v>367814.86200000002</v>
      </c>
      <c r="X17" s="129">
        <f>'Vstupné dáta'!V56</f>
        <v>369102.21401700005</v>
      </c>
      <c r="Y17" s="129">
        <f>'Vstupné dáta'!W56</f>
        <v>370394.07176605955</v>
      </c>
      <c r="Z17" s="129">
        <f>'Vstupné dáta'!X56</f>
        <v>371690.45101724076</v>
      </c>
      <c r="AA17" s="129">
        <f>'Vstupné dáta'!Y56</f>
        <v>372991.36759580113</v>
      </c>
      <c r="AB17" s="129">
        <f>'Vstupné dáta'!Z56</f>
        <v>374296.83738238644</v>
      </c>
      <c r="AC17" s="129">
        <f>'Vstupné dáta'!AA56</f>
        <v>375606.87631322478</v>
      </c>
      <c r="AD17" s="129">
        <f>'Vstupné dáta'!AB56</f>
        <v>376921.50038032111</v>
      </c>
      <c r="AE17" s="129">
        <f>'Vstupné dáta'!AC56</f>
        <v>378240.72563165228</v>
      </c>
      <c r="AF17" s="129">
        <f>'Vstupné dáta'!AD56</f>
        <v>379564.56817136309</v>
      </c>
      <c r="AG17" s="129">
        <f>'Vstupné dáta'!AE56</f>
        <v>380893.04415996291</v>
      </c>
    </row>
    <row r="18" spans="1:33" s="130" customFormat="1" x14ac:dyDescent="0.2">
      <c r="A18" s="131" t="s">
        <v>396</v>
      </c>
      <c r="B18" s="32"/>
      <c r="C18" s="135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</row>
    <row r="19" spans="1:33" s="130" customFormat="1" x14ac:dyDescent="0.2">
      <c r="A19" s="7" t="s">
        <v>43</v>
      </c>
      <c r="B19" s="32">
        <f t="shared" si="2"/>
        <v>1573595.7714864325</v>
      </c>
      <c r="C19" s="135"/>
      <c r="D19" s="129"/>
      <c r="E19" s="129"/>
      <c r="F19" s="129">
        <f>'Vstupné dáta'!D55</f>
        <v>3204.2296000000001</v>
      </c>
      <c r="G19" s="129">
        <f>'Vstupné dáta'!E55</f>
        <v>3256</v>
      </c>
      <c r="H19" s="129">
        <f>'Vstupné dáta'!F55</f>
        <v>3305.1655999999998</v>
      </c>
      <c r="I19" s="129">
        <f>'Vstupné dáta'!G55</f>
        <v>3355.0736005599992</v>
      </c>
      <c r="J19" s="129">
        <f>'Vstupné dáta'!H55</f>
        <v>3405.7352119284551</v>
      </c>
      <c r="K19" s="129">
        <f>'Vstupné dáta'!I55</f>
        <v>3457.1618136285742</v>
      </c>
      <c r="L19" s="129">
        <f>'Vstupné dáta'!J55</f>
        <v>46282</v>
      </c>
      <c r="M19" s="129">
        <f>'Vstupné dáta'!K55</f>
        <v>46772.589199999995</v>
      </c>
      <c r="N19" s="129">
        <f>'Vstupné dáta'!L55</f>
        <v>47268.378645519995</v>
      </c>
      <c r="O19" s="129">
        <f>'Vstupné dáta'!M55</f>
        <v>47769.423459162506</v>
      </c>
      <c r="P19" s="129">
        <f>'Vstupné dáta'!N55</f>
        <v>48275.779347829623</v>
      </c>
      <c r="Q19" s="129">
        <f>'Vstupné dáta'!O55</f>
        <v>48787.502608916613</v>
      </c>
      <c r="R19" s="129">
        <f>'Vstupné dáta'!P55</f>
        <v>49304.650136571123</v>
      </c>
      <c r="S19" s="129">
        <f>'Vstupné dáta'!Q55</f>
        <v>77834.449646421184</v>
      </c>
      <c r="T19" s="129">
        <f>'Vstupné dáta'!R55</f>
        <v>78668.333986679994</v>
      </c>
      <c r="U19" s="129">
        <f>'Vstupné dáta'!S55</f>
        <v>79511.152199999997</v>
      </c>
      <c r="V19" s="129">
        <f>'Vstupné dáta'!T55</f>
        <v>80363</v>
      </c>
      <c r="W19" s="129">
        <f>'Vstupné dáta'!U55</f>
        <v>80644.270499999999</v>
      </c>
      <c r="X19" s="129">
        <f>'Vstupné dáta'!V55</f>
        <v>80926.525446750005</v>
      </c>
      <c r="Y19" s="129">
        <f>'Vstupné dáta'!W55</f>
        <v>81209.76828581364</v>
      </c>
      <c r="Z19" s="129">
        <f>'Vstupné dáta'!X55</f>
        <v>81494.002474813999</v>
      </c>
      <c r="AA19" s="129">
        <f>'Vstupné dáta'!Y55</f>
        <v>81779.231483475858</v>
      </c>
      <c r="AB19" s="129">
        <f>'Vstupné dáta'!Z55</f>
        <v>82065.458793668033</v>
      </c>
      <c r="AC19" s="129">
        <f>'Vstupné dáta'!AA55</f>
        <v>82352.687899445882</v>
      </c>
      <c r="AD19" s="129">
        <f>'Vstupné dáta'!AB55</f>
        <v>82640.922307093948</v>
      </c>
      <c r="AE19" s="129">
        <f>'Vstupné dáta'!AC55</f>
        <v>82930.16553516878</v>
      </c>
      <c r="AF19" s="129">
        <f>'Vstupné dáta'!AD55</f>
        <v>83220.421114541881</v>
      </c>
      <c r="AG19" s="129">
        <f>'Vstupné dáta'!AE55</f>
        <v>83511.692588442776</v>
      </c>
    </row>
    <row r="20" spans="1:33" s="130" customFormat="1" x14ac:dyDescent="0.2">
      <c r="A20" s="7" t="s">
        <v>407</v>
      </c>
      <c r="B20" s="32">
        <f t="shared" si="2"/>
        <v>983374.74237051932</v>
      </c>
      <c r="C20" s="135"/>
      <c r="D20" s="129"/>
      <c r="E20" s="129"/>
      <c r="F20" s="129">
        <f>'Vstupné dáta'!D57</f>
        <v>4070.2375999999999</v>
      </c>
      <c r="G20" s="129">
        <f>'Vstupné dáta'!E57</f>
        <v>4136</v>
      </c>
      <c r="H20" s="129">
        <f>'Vstupné dáta'!F57</f>
        <v>4198.4535999999998</v>
      </c>
      <c r="I20" s="129">
        <f>'Vstupné dáta'!G57</f>
        <v>4261.850249359999</v>
      </c>
      <c r="J20" s="129">
        <f>'Vstupné dáta'!H57</f>
        <v>4326.2041881253344</v>
      </c>
      <c r="K20" s="129">
        <f>'Vstupné dáta'!I57</f>
        <v>4391.5298713660268</v>
      </c>
      <c r="L20" s="129">
        <f>'Vstupné dáta'!J57</f>
        <v>28802</v>
      </c>
      <c r="M20" s="129">
        <f>'Vstupné dáta'!K57</f>
        <v>29107.301199999998</v>
      </c>
      <c r="N20" s="129">
        <f>'Vstupné dáta'!L57</f>
        <v>29415.838592719996</v>
      </c>
      <c r="O20" s="129">
        <f>'Vstupné dáta'!M57</f>
        <v>29727.646481802825</v>
      </c>
      <c r="P20" s="129">
        <f>'Vstupné dáta'!N57</f>
        <v>30042.759534509933</v>
      </c>
      <c r="Q20" s="129">
        <f>'Vstupné dáta'!O57</f>
        <v>30361.212785575735</v>
      </c>
      <c r="R20" s="129">
        <f>'Vstupné dáta'!P57</f>
        <v>30683.041641102838</v>
      </c>
      <c r="S20" s="129">
        <f>'Vstupné dáta'!Q57</f>
        <v>47872.791920701144</v>
      </c>
      <c r="T20" s="129">
        <f>'Vstupné dáta'!R57</f>
        <v>48385.680130079993</v>
      </c>
      <c r="U20" s="129">
        <f>'Vstupné dáta'!S57</f>
        <v>48904.063199999997</v>
      </c>
      <c r="V20" s="129">
        <f>'Vstupné dáta'!T57</f>
        <v>49428</v>
      </c>
      <c r="W20" s="129">
        <f>'Vstupné dáta'!U57</f>
        <v>49600.998</v>
      </c>
      <c r="X20" s="129">
        <f>'Vstupné dáta'!V57</f>
        <v>49774.601493000002</v>
      </c>
      <c r="Y20" s="129">
        <f>'Vstupné dáta'!W57</f>
        <v>49948.812598225508</v>
      </c>
      <c r="Z20" s="129">
        <f>'Vstupné dáta'!X57</f>
        <v>50123.633442319297</v>
      </c>
      <c r="AA20" s="129">
        <f>'Vstupné dáta'!Y57</f>
        <v>50299.066159367416</v>
      </c>
      <c r="AB20" s="129">
        <f>'Vstupné dáta'!Z57</f>
        <v>50475.112890925207</v>
      </c>
      <c r="AC20" s="129">
        <f>'Vstupné dáta'!AA57</f>
        <v>50651.77578604345</v>
      </c>
      <c r="AD20" s="129">
        <f>'Vstupné dáta'!AB57</f>
        <v>50829.057001294605</v>
      </c>
      <c r="AE20" s="129">
        <f>'Vstupné dáta'!AC57</f>
        <v>51006.958700799136</v>
      </c>
      <c r="AF20" s="129">
        <f>'Vstupné dáta'!AD57</f>
        <v>51185.483056251935</v>
      </c>
      <c r="AG20" s="129">
        <f>'Vstupné dáta'!AE57</f>
        <v>51364.632246948822</v>
      </c>
    </row>
    <row r="21" spans="1:33" x14ac:dyDescent="0.2">
      <c r="A21" s="7" t="s">
        <v>159</v>
      </c>
      <c r="B21" s="32">
        <f>SUM(D21:AG21)</f>
        <v>167120311.17816454</v>
      </c>
      <c r="C21" s="135">
        <f>NPV(Parametre!B$10,D21:AG21)</f>
        <v>71985560.385634065</v>
      </c>
      <c r="D21" s="32"/>
      <c r="E21" s="32"/>
      <c r="F21" s="32">
        <f>(F16*Parametre!J51+F17*Parametre!J55+F19*Parametre!J52+F20*Parametre!J56)</f>
        <v>578840.95273975632</v>
      </c>
      <c r="G21" s="32">
        <f>(G16*Parametre!K51+G17*Parametre!K55+G19*Parametre!K52+G20*Parametre!K56)</f>
        <v>597016.12339279801</v>
      </c>
      <c r="H21" s="32">
        <f>(H16*Parametre!L51+H17*Parametre!L55+H19*Parametre!L52+H20*Parametre!L56)</f>
        <v>614818.5173254417</v>
      </c>
      <c r="I21" s="32">
        <f>(I16*Parametre!M51+I17*Parametre!M55+I19*Parametre!M52+I20*Parametre!M56)</f>
        <v>632839.70881417464</v>
      </c>
      <c r="J21" s="32">
        <f>(J16*Parametre!N51+J17*Parametre!N55+J19*Parametre!N52+J20*Parametre!N56)</f>
        <v>651067.92886090162</v>
      </c>
      <c r="K21" s="32">
        <f>(K16*Parametre!O51+K17*Parametre!O55+K19*Parametre!O52+K20*Parametre!O56)</f>
        <v>669490.74229632842</v>
      </c>
      <c r="L21" s="32">
        <f>(L16*Parametre!P51+L17*Parametre!P55+L19*Parametre!P52+L20*Parametre!P56)</f>
        <v>4995010.0232384242</v>
      </c>
      <c r="M21" s="32">
        <f>(M16*Parametre!Q51+M17*Parametre!Q55+M19*Parametre!Q52+M20*Parametre!Q56)</f>
        <v>5106008.6364738271</v>
      </c>
      <c r="N21" s="32">
        <f>(N16*Parametre!R51+N17*Parametre!R55+N19*Parametre!R52+N20*Parametre!R56)</f>
        <v>5211733.6513006538</v>
      </c>
      <c r="O21" s="32">
        <f>(O16*Parametre!S51+O17*Parametre!S55+O19*Parametre!S52+O20*Parametre!S56)</f>
        <v>5314380.8302564789</v>
      </c>
      <c r="P21" s="32">
        <f>(P16*Parametre!T51+P17*Parametre!T55+P19*Parametre!T52+P20*Parametre!T56)</f>
        <v>5410993.6165601285</v>
      </c>
      <c r="Q21" s="32">
        <f>(Q16*Parametre!U51+Q17*Parametre!U55+Q19*Parametre!U52+Q20*Parametre!U56)</f>
        <v>5503894.4248634875</v>
      </c>
      <c r="R21" s="32">
        <f>(R16*Parametre!V51+R17*Parametre!V55+R19*Parametre!V52+R20*Parametre!V56)</f>
        <v>5595609.120001642</v>
      </c>
      <c r="S21" s="32">
        <f>(S16*Parametre!W51+S17*Parametre!W55+S19*Parametre!W52+S20*Parametre!W56)</f>
        <v>7865661.7534826901</v>
      </c>
      <c r="T21" s="32">
        <f>(T16*Parametre!X51+T17*Parametre!X55+T19*Parametre!X52+T20*Parametre!X56)</f>
        <v>7985705.711919711</v>
      </c>
      <c r="U21" s="32">
        <f>(U16*Parametre!Y51+U17*Parametre!Y55+U19*Parametre!Y52+U20*Parametre!Y56)</f>
        <v>8103546.1236783816</v>
      </c>
      <c r="V21" s="32">
        <f>(V16*Parametre!Z51+V17*Parametre!Z55+V19*Parametre!Z52+V20*Parametre!Z56)</f>
        <v>8219030.2558229808</v>
      </c>
      <c r="W21" s="32">
        <f>(W16*Parametre!AA51+W17*Parametre!AA55+W19*Parametre!AA52+W20*Parametre!AA56)</f>
        <v>8276664.1507343752</v>
      </c>
      <c r="X21" s="32">
        <f>(X16*Parametre!AB51+X17*Parametre!AB55+X19*Parametre!AB52+X20*Parametre!AB56)</f>
        <v>8334702.1889253641</v>
      </c>
      <c r="Y21" s="32">
        <f>(Y16*Parametre!AC51+Y17*Parametre!AC55+Y19*Parametre!AC52+Y20*Parametre!AC56)</f>
        <v>8388965.2675263621</v>
      </c>
      <c r="Z21" s="32">
        <f>(Z16*Parametre!AD51+Z17*Parametre!AD55+Z19*Parametre!AD52+Z20*Parametre!AD56)</f>
        <v>8443581.6259005908</v>
      </c>
      <c r="AA21" s="32">
        <f>(AA16*Parametre!AE51+AA17*Parametre!AE55+AA19*Parametre!AE52+AA20*Parametre!AE56)</f>
        <v>8498553.5640760176</v>
      </c>
      <c r="AB21" s="32">
        <f>(AB16*Parametre!AF51+AB17*Parametre!AF55+AB19*Parametre!AF52+AB20*Parametre!AF56)</f>
        <v>8553883.397054933</v>
      </c>
      <c r="AC21" s="32">
        <f>(AC16*Parametre!AG51+AC17*Parametre!AG55+AC19*Parametre!AG52+AC20*Parametre!AG56)</f>
        <v>8609573.4549114574</v>
      </c>
      <c r="AD21" s="32">
        <f>(AD16*Parametre!AH51+AD17*Parametre!AH55+AD19*Parametre!AH52+AD20*Parametre!AH56)</f>
        <v>8661306.2294086572</v>
      </c>
      <c r="AE21" s="32">
        <f>(AE16*Parametre!AI51+AE17*Parametre!AI55+AE19*Parametre!AI52+AE20*Parametre!AI56)</f>
        <v>8713349.853214616</v>
      </c>
      <c r="AF21" s="32">
        <f>(AF16*Parametre!AJ51+AF17*Parametre!AJ55+AF19*Parametre!AJ52+AF20*Parametre!AJ56)</f>
        <v>8765706.1941451207</v>
      </c>
      <c r="AG21" s="32">
        <f>(AG16*Parametre!AK51+AG17*Parametre!AK55+AG19*Parametre!AK52+AG20*Parametre!AK56)</f>
        <v>8818377.1312391907</v>
      </c>
    </row>
    <row r="22" spans="1:33" s="130" customFormat="1" x14ac:dyDescent="0.2">
      <c r="A22" s="131" t="s">
        <v>397</v>
      </c>
      <c r="B22" s="32"/>
      <c r="C22" s="135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</row>
    <row r="23" spans="1:33" s="130" customFormat="1" x14ac:dyDescent="0.2">
      <c r="A23" s="7" t="s">
        <v>43</v>
      </c>
      <c r="B23" s="32">
        <f t="shared" ref="B23:B32" si="3">SUM(D23:AG23)</f>
        <v>6741962.6349472022</v>
      </c>
      <c r="C23" s="135"/>
      <c r="D23" s="129"/>
      <c r="E23" s="129"/>
      <c r="F23" s="129">
        <f>'Vstupné dáta'!D58</f>
        <v>73290.847500000003</v>
      </c>
      <c r="G23" s="129">
        <f>'Vstupné dáta'!E58</f>
        <v>74475</v>
      </c>
      <c r="H23" s="129">
        <f>'Vstupné dáta'!F58</f>
        <v>75599.572499999995</v>
      </c>
      <c r="I23" s="129">
        <f>'Vstupné dáta'!G58</f>
        <v>76741.126044749981</v>
      </c>
      <c r="J23" s="129">
        <f>'Vstupné dáta'!H58</f>
        <v>77899.917048025702</v>
      </c>
      <c r="K23" s="129">
        <f>'Vstupné dáta'!I58</f>
        <v>79076.205795450878</v>
      </c>
      <c r="L23" s="129">
        <f>'Vstupné dáta'!J58</f>
        <v>232556</v>
      </c>
      <c r="M23" s="129">
        <f>'Vstupné dáta'!K58</f>
        <v>235021.09359999999</v>
      </c>
      <c r="N23" s="129">
        <f>'Vstupné dáta'!L58</f>
        <v>237512.31719215997</v>
      </c>
      <c r="O23" s="129">
        <f>'Vstupné dáta'!M58</f>
        <v>240029.94775439685</v>
      </c>
      <c r="P23" s="129">
        <f>'Vstupné dáta'!N58</f>
        <v>242574.26520059345</v>
      </c>
      <c r="Q23" s="129">
        <f>'Vstupné dáta'!O58</f>
        <v>245145.55241171972</v>
      </c>
      <c r="R23" s="129">
        <f>'Vstupné dáta'!P58</f>
        <v>247744.09526728393</v>
      </c>
      <c r="S23" s="129">
        <f>'Vstupné dáta'!Q58</f>
        <v>293952.57937842194</v>
      </c>
      <c r="T23" s="129">
        <f>'Vstupné dáta'!R58</f>
        <v>297101.85908471997</v>
      </c>
      <c r="U23" s="129">
        <f>'Vstupné dáta'!S58</f>
        <v>300284.87880000001</v>
      </c>
      <c r="V23" s="129">
        <f>'Vstupné dáta'!T58</f>
        <v>303502</v>
      </c>
      <c r="W23" s="129">
        <f>'Vstupné dáta'!U58</f>
        <v>304564.25700000004</v>
      </c>
      <c r="X23" s="129">
        <f>'Vstupné dáta'!V58</f>
        <v>305630.23189950007</v>
      </c>
      <c r="Y23" s="129">
        <f>'Vstupné dáta'!W58</f>
        <v>306699.93771114835</v>
      </c>
      <c r="Z23" s="129">
        <f>'Vstupné dáta'!X58</f>
        <v>307773.38749313739</v>
      </c>
      <c r="AA23" s="129">
        <f>'Vstupné dáta'!Y58</f>
        <v>308850.59434936341</v>
      </c>
      <c r="AB23" s="129">
        <f>'Vstupné dáta'!Z58</f>
        <v>309931.57142958621</v>
      </c>
      <c r="AC23" s="129">
        <f>'Vstupné dáta'!AA58</f>
        <v>311016.3319295898</v>
      </c>
      <c r="AD23" s="129">
        <f>'Vstupné dáta'!AB58</f>
        <v>312104.88909134339</v>
      </c>
      <c r="AE23" s="129">
        <f>'Vstupné dáta'!AC58</f>
        <v>313197.25620316312</v>
      </c>
      <c r="AF23" s="129">
        <f>'Vstupné dáta'!AD58</f>
        <v>314293.44659987424</v>
      </c>
      <c r="AG23" s="129">
        <f>'Vstupné dáta'!AE58</f>
        <v>315393.47366297379</v>
      </c>
    </row>
    <row r="24" spans="1:33" s="130" customFormat="1" x14ac:dyDescent="0.2">
      <c r="A24" s="7" t="s">
        <v>407</v>
      </c>
      <c r="B24" s="32">
        <f t="shared" si="3"/>
        <v>4514562.8013970163</v>
      </c>
      <c r="C24" s="135"/>
      <c r="D24" s="129"/>
      <c r="E24" s="129"/>
      <c r="F24" s="129">
        <f>'Vstupné dáta'!D60</f>
        <v>59456.369699999996</v>
      </c>
      <c r="G24" s="129">
        <f>'Vstupné dáta'!E60</f>
        <v>60417</v>
      </c>
      <c r="H24" s="129">
        <f>'Vstupné dáta'!F60</f>
        <v>61329.296699999992</v>
      </c>
      <c r="I24" s="129">
        <f>'Vstupné dáta'!G60</f>
        <v>62255.369080169985</v>
      </c>
      <c r="J24" s="129">
        <f>'Vstupné dáta'!H60</f>
        <v>63195.425153280543</v>
      </c>
      <c r="K24" s="129">
        <f>'Vstupné dáta'!I60</f>
        <v>64149.67607309507</v>
      </c>
      <c r="L24" s="129">
        <f>'Vstupné dáta'!J60</f>
        <v>165015</v>
      </c>
      <c r="M24" s="129">
        <f>'Vstupné dáta'!K60</f>
        <v>166764.15899999999</v>
      </c>
      <c r="N24" s="129">
        <f>'Vstupné dáta'!L60</f>
        <v>168531.85908539998</v>
      </c>
      <c r="O24" s="129">
        <f>'Vstupné dáta'!M60</f>
        <v>170318.29679170522</v>
      </c>
      <c r="P24" s="129">
        <f>'Vstupné dáta'!N60</f>
        <v>172123.67073769728</v>
      </c>
      <c r="Q24" s="129">
        <f>'Vstupné dáta'!O60</f>
        <v>173948.18164751685</v>
      </c>
      <c r="R24" s="129">
        <f>'Vstupné dáta'!P60</f>
        <v>175792.03237298052</v>
      </c>
      <c r="S24" s="129">
        <f>'Vstupné dáta'!Q60</f>
        <v>188418.00330705836</v>
      </c>
      <c r="T24" s="129">
        <f>'Vstupné dáta'!R60</f>
        <v>190436.63160204</v>
      </c>
      <c r="U24" s="129">
        <f>'Vstupné dáta'!S60</f>
        <v>192476.8866</v>
      </c>
      <c r="V24" s="129">
        <f>'Vstupné dáta'!T60</f>
        <v>194539</v>
      </c>
      <c r="W24" s="129">
        <f>'Vstupné dáta'!U60</f>
        <v>195219.88650000002</v>
      </c>
      <c r="X24" s="129">
        <f>'Vstupné dáta'!V60</f>
        <v>195903.15610275004</v>
      </c>
      <c r="Y24" s="129">
        <f>'Vstupné dáta'!W60</f>
        <v>196588.81714910967</v>
      </c>
      <c r="Z24" s="129">
        <f>'Vstupné dáta'!X60</f>
        <v>197276.87800913156</v>
      </c>
      <c r="AA24" s="129">
        <f>'Vstupné dáta'!Y60</f>
        <v>197967.34708216353</v>
      </c>
      <c r="AB24" s="129">
        <f>'Vstupné dáta'!Z60</f>
        <v>198660.23279695111</v>
      </c>
      <c r="AC24" s="129">
        <f>'Vstupné dáta'!AA60</f>
        <v>199355.54361174046</v>
      </c>
      <c r="AD24" s="129">
        <f>'Vstupné dáta'!AB60</f>
        <v>200053.28801438157</v>
      </c>
      <c r="AE24" s="129">
        <f>'Vstupné dáta'!AC60</f>
        <v>200753.4745224319</v>
      </c>
      <c r="AF24" s="129">
        <f>'Vstupné dáta'!AD60</f>
        <v>201456.11168326042</v>
      </c>
      <c r="AG24" s="129">
        <f>'Vstupné dáta'!AE60</f>
        <v>202161.20807415183</v>
      </c>
    </row>
    <row r="25" spans="1:33" s="130" customFormat="1" x14ac:dyDescent="0.2">
      <c r="A25" s="131" t="s">
        <v>398</v>
      </c>
      <c r="B25" s="32"/>
      <c r="C25" s="135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</row>
    <row r="26" spans="1:33" s="130" customFormat="1" x14ac:dyDescent="0.2">
      <c r="A26" s="7" t="s">
        <v>43</v>
      </c>
      <c r="B26" s="32">
        <f t="shared" si="3"/>
        <v>2773151.5854271753</v>
      </c>
      <c r="C26" s="135"/>
      <c r="D26" s="129"/>
      <c r="E26" s="129"/>
      <c r="F26" s="129">
        <f>'Vstupné dáta'!D59</f>
        <v>20565.721799999999</v>
      </c>
      <c r="G26" s="129">
        <f>'Vstupné dáta'!E59</f>
        <v>20898</v>
      </c>
      <c r="H26" s="129">
        <f>'Vstupné dáta'!F59</f>
        <v>21213.559799999999</v>
      </c>
      <c r="I26" s="129">
        <f>'Vstupné dáta'!G59</f>
        <v>21533.884552979998</v>
      </c>
      <c r="J26" s="129">
        <f>'Vstupné dáta'!H59</f>
        <v>21859.046209729993</v>
      </c>
      <c r="K26" s="129">
        <f>'Vstupné dáta'!I59</f>
        <v>22189.117807496914</v>
      </c>
      <c r="L26" s="129">
        <f>'Vstupné dáta'!J59</f>
        <v>85824</v>
      </c>
      <c r="M26" s="129">
        <f>'Vstupné dáta'!K59</f>
        <v>86733.734400000001</v>
      </c>
      <c r="N26" s="129">
        <f>'Vstupné dáta'!L59</f>
        <v>87653.111984639996</v>
      </c>
      <c r="O26" s="129">
        <f>'Vstupné dáta'!M59</f>
        <v>88582.234971677171</v>
      </c>
      <c r="P26" s="129">
        <f>'Vstupné dáta'!N59</f>
        <v>89521.20666237695</v>
      </c>
      <c r="Q26" s="129">
        <f>'Vstupné dáta'!O59</f>
        <v>90470.131452998146</v>
      </c>
      <c r="R26" s="129">
        <f>'Vstupné dáta'!P59</f>
        <v>91429.114846399927</v>
      </c>
      <c r="S26" s="129">
        <f>'Vstupné dáta'!Q59</f>
        <v>129261.76827969358</v>
      </c>
      <c r="T26" s="129">
        <f>'Vstupné dáta'!R59</f>
        <v>130646.62247795997</v>
      </c>
      <c r="U26" s="129">
        <f>'Vstupné dáta'!S59</f>
        <v>132046.31339999998</v>
      </c>
      <c r="V26" s="129">
        <f>'Vstupné dáta'!T59</f>
        <v>133461</v>
      </c>
      <c r="W26" s="129">
        <f>'Vstupné dáta'!U59</f>
        <v>133928.11350000001</v>
      </c>
      <c r="X26" s="129">
        <f>'Vstupné dáta'!V59</f>
        <v>134396.86189725003</v>
      </c>
      <c r="Y26" s="129">
        <f>'Vstupné dáta'!W59</f>
        <v>134867.2509138904</v>
      </c>
      <c r="Z26" s="129">
        <f>'Vstupné dáta'!X59</f>
        <v>135339.28629208903</v>
      </c>
      <c r="AA26" s="129">
        <f>'Vstupné dáta'!Y59</f>
        <v>135812.97379411134</v>
      </c>
      <c r="AB26" s="129">
        <f>'Vstupné dáta'!Z59</f>
        <v>136288.31920239073</v>
      </c>
      <c r="AC26" s="129">
        <f>'Vstupné dáta'!AA59</f>
        <v>136765.3283195991</v>
      </c>
      <c r="AD26" s="129">
        <f>'Vstupné dáta'!AB59</f>
        <v>137244.0069687177</v>
      </c>
      <c r="AE26" s="129">
        <f>'Vstupné dáta'!AC59</f>
        <v>137724.36099310822</v>
      </c>
      <c r="AF26" s="129">
        <f>'Vstupné dáta'!AD59</f>
        <v>138206.39625658409</v>
      </c>
      <c r="AG26" s="129">
        <f>'Vstupné dáta'!AE59</f>
        <v>138690.11864348216</v>
      </c>
    </row>
    <row r="27" spans="1:33" s="130" customFormat="1" x14ac:dyDescent="0.2">
      <c r="A27" s="7" t="s">
        <v>407</v>
      </c>
      <c r="B27" s="32">
        <f t="shared" si="3"/>
        <v>1405584.8878432387</v>
      </c>
      <c r="C27" s="135"/>
      <c r="D27" s="129"/>
      <c r="E27" s="129"/>
      <c r="F27" s="129">
        <f>'Vstupné dáta'!D61</f>
        <v>12968.469799999999</v>
      </c>
      <c r="G27" s="129">
        <f>'Vstupné dáta'!E61</f>
        <v>13178</v>
      </c>
      <c r="H27" s="129">
        <f>'Vstupné dáta'!F61</f>
        <v>13376.987799999999</v>
      </c>
      <c r="I27" s="129">
        <f>'Vstupné dáta'!G61</f>
        <v>13578.980315779998</v>
      </c>
      <c r="J27" s="129">
        <f>'Vstupné dáta'!H61</f>
        <v>13784.022918548275</v>
      </c>
      <c r="K27" s="129">
        <f>'Vstupné dáta'!I61</f>
        <v>13992.161664618352</v>
      </c>
      <c r="L27" s="129">
        <f>'Vstupné dáta'!J61</f>
        <v>44393</v>
      </c>
      <c r="M27" s="129">
        <f>'Vstupné dáta'!K61</f>
        <v>44863.565799999997</v>
      </c>
      <c r="N27" s="129">
        <f>'Vstupné dáta'!L61</f>
        <v>45339.119597479992</v>
      </c>
      <c r="O27" s="129">
        <f>'Vstupné dáta'!M61</f>
        <v>45819.714265213275</v>
      </c>
      <c r="P27" s="129">
        <f>'Vstupné dáta'!N61</f>
        <v>46305.403236424536</v>
      </c>
      <c r="Q27" s="129">
        <f>'Vstupné dáta'!O61</f>
        <v>46796.240510730633</v>
      </c>
      <c r="R27" s="129">
        <f>'Vstupné dáta'!P61</f>
        <v>47292.280660144374</v>
      </c>
      <c r="S27" s="129">
        <f>'Vstupné dáta'!Q61</f>
        <v>64091.893917627203</v>
      </c>
      <c r="T27" s="129">
        <f>'Vstupné dáta'!R61</f>
        <v>64778.546510639993</v>
      </c>
      <c r="U27" s="129">
        <f>'Vstupné dáta'!S61</f>
        <v>65472.5556</v>
      </c>
      <c r="V27" s="129">
        <f>'Vstupné dáta'!T61</f>
        <v>66174</v>
      </c>
      <c r="W27" s="129">
        <f>'Vstupné dáta'!U61</f>
        <v>66405.608999999997</v>
      </c>
      <c r="X27" s="129">
        <f>'Vstupné dáta'!V61</f>
        <v>66638.028631499998</v>
      </c>
      <c r="Y27" s="129">
        <f>'Vstupné dáta'!W61</f>
        <v>66871.261731710256</v>
      </c>
      <c r="Z27" s="129">
        <f>'Vstupné dáta'!X61</f>
        <v>67105.311147771252</v>
      </c>
      <c r="AA27" s="129">
        <f>'Vstupné dáta'!Y61</f>
        <v>67340.179736788457</v>
      </c>
      <c r="AB27" s="129">
        <f>'Vstupné dáta'!Z61</f>
        <v>67575.870365867217</v>
      </c>
      <c r="AC27" s="129">
        <f>'Vstupné dáta'!AA61</f>
        <v>67812.385912147758</v>
      </c>
      <c r="AD27" s="129">
        <f>'Vstupné dáta'!AB61</f>
        <v>68049.729262840279</v>
      </c>
      <c r="AE27" s="129">
        <f>'Vstupné dáta'!AC61</f>
        <v>68287.903315260221</v>
      </c>
      <c r="AF27" s="129">
        <f>'Vstupné dáta'!AD61</f>
        <v>68526.910976863641</v>
      </c>
      <c r="AG27" s="129">
        <f>'Vstupné dáta'!AE61</f>
        <v>68766.755165282666</v>
      </c>
    </row>
    <row r="28" spans="1:33" x14ac:dyDescent="0.2">
      <c r="A28" s="7" t="s">
        <v>44</v>
      </c>
      <c r="B28" s="32">
        <f t="shared" si="3"/>
        <v>104300096.98833574</v>
      </c>
      <c r="C28" s="135">
        <f>NPV(Parametre!B$10,D28:AG28)</f>
        <v>47345574.362429738</v>
      </c>
      <c r="D28" s="32"/>
      <c r="E28" s="32"/>
      <c r="F28" s="32">
        <f>(F23*Parametre!J49+F24*Parametre!J53+F26*Parametre!J50+F27*Parametre!J54)</f>
        <v>987261.92141678045</v>
      </c>
      <c r="G28" s="32">
        <f>(G23*Parametre!K49+G24*Parametre!K53+G26*Parametre!K50+G27*Parametre!K54)</f>
        <v>1018261.2033716412</v>
      </c>
      <c r="H28" s="32">
        <f>(H23*Parametre!L49+H24*Parametre!L53+H26*Parametre!L50+H27*Parametre!L54)</f>
        <v>1048624.6832819199</v>
      </c>
      <c r="I28" s="32">
        <f>(I23*Parametre!M49+I24*Parametre!M53+I26*Parametre!M50+I27*Parametre!M54)</f>
        <v>1079361.3408234695</v>
      </c>
      <c r="J28" s="32">
        <f>(J23*Parametre!N49+J24*Parametre!N53+J26*Parametre!N50+J27*Parametre!N54)</f>
        <v>1110451.1029803476</v>
      </c>
      <c r="K28" s="32">
        <f>(K23*Parametre!O49+K24*Parametre!O53+K26*Parametre!O50+K27*Parametre!O54)</f>
        <v>1141872.7605256098</v>
      </c>
      <c r="L28" s="32">
        <f>(L23*Parametre!P49+L24*Parametre!P53+L26*Parametre!P50+L27*Parametre!P54)</f>
        <v>3377494.4311354063</v>
      </c>
      <c r="M28" s="32">
        <f>(M23*Parametre!Q49+M24*Parametre!Q53+M26*Parametre!Q50+M27*Parametre!Q54)</f>
        <v>3452548.7746346546</v>
      </c>
      <c r="N28" s="32">
        <f>(N23*Parametre!R49+N24*Parametre!R53+N26*Parametre!R50+N27*Parametre!R54)</f>
        <v>3524037.2495622393</v>
      </c>
      <c r="O28" s="32">
        <f>(O23*Parametre!S49+O24*Parametre!S53+O26*Parametre!S50+O27*Parametre!S54)</f>
        <v>3593444.5728072673</v>
      </c>
      <c r="P28" s="32">
        <f>(P23*Parametre!T49+P24*Parametre!T53+P26*Parametre!T50+P27*Parametre!T54)</f>
        <v>3658771.5984186167</v>
      </c>
      <c r="Q28" s="32">
        <f>(Q23*Parametre!U49+Q24*Parametre!U53+Q26*Parametre!U50+Q27*Parametre!U54)</f>
        <v>3721588.6821147064</v>
      </c>
      <c r="R28" s="32">
        <f>(R23*Parametre!V49+R24*Parametre!V53+R26*Parametre!V50+R27*Parametre!V54)</f>
        <v>3783603.7472779923</v>
      </c>
      <c r="S28" s="32">
        <f>(S23*Parametre!W49+S24*Parametre!W53+S26*Parametre!W50+S27*Parametre!W54)</f>
        <v>4536187.5918030245</v>
      </c>
      <c r="T28" s="32">
        <f>(T23*Parametre!X49+T24*Parametre!X53+T26*Parametre!X50+T27*Parametre!X54)</f>
        <v>4605417.8653387288</v>
      </c>
      <c r="U28" s="32">
        <f>(U23*Parametre!Y49+U24*Parametre!Y53+U26*Parametre!Y50+U27*Parametre!Y54)</f>
        <v>4673377.3365677018</v>
      </c>
      <c r="V28" s="32">
        <f>(V23*Parametre!Z49+V24*Parametre!Z53+V26*Parametre!Z50+V27*Parametre!Z54)</f>
        <v>4739977.9232319472</v>
      </c>
      <c r="W28" s="32">
        <f>(W23*Parametre!AA49+W24*Parametre!AA53+W26*Parametre!AA50+W27*Parametre!AA54)</f>
        <v>4773215.8334241323</v>
      </c>
      <c r="X28" s="32">
        <f>(X23*Parametre!AB49+X24*Parametre!AB53+X26*Parametre!AB50+X27*Parametre!AB54)</f>
        <v>4806686.8161520613</v>
      </c>
      <c r="Y28" s="32">
        <f>(Y23*Parametre!AC49+Y24*Parametre!AC53+Y26*Parametre!AC50+Y27*Parametre!AC54)</f>
        <v>4837980.7506686179</v>
      </c>
      <c r="Z28" s="32">
        <f>(Z23*Parametre!AD49+Z24*Parametre!AD53+Z26*Parametre!AD50+Z27*Parametre!AD54)</f>
        <v>4869478.4243458472</v>
      </c>
      <c r="AA28" s="32">
        <f>(AA23*Parametre!AE49+AA24*Parametre!AE53+AA26*Parametre!AE50+AA27*Parametre!AE54)</f>
        <v>4901181.1636275509</v>
      </c>
      <c r="AB28" s="32">
        <f>(AB23*Parametre!AF49+AB24*Parametre!AF53+AB26*Parametre!AF50+AB27*Parametre!AF54)</f>
        <v>4933090.3035933468</v>
      </c>
      <c r="AC28" s="32">
        <f>(AC23*Parametre!AG49+AC24*Parametre!AG53+AC26*Parametre!AG50+AC27*Parametre!AG54)</f>
        <v>4965207.188014891</v>
      </c>
      <c r="AD28" s="32">
        <f>(AD23*Parametre!AH49+AD24*Parametre!AH53+AD26*Parametre!AH50+AD27*Parametre!AH54)</f>
        <v>4995041.8767058756</v>
      </c>
      <c r="AE28" s="32">
        <f>(AE23*Parametre!AI49+AE24*Parametre!AI53+AE26*Parametre!AI50+AE27*Parametre!AI54)</f>
        <v>5025055.8345825318</v>
      </c>
      <c r="AF28" s="32">
        <f>(AF23*Parametre!AJ49+AF24*Parametre!AJ53+AF26*Parametre!AJ50+AF27*Parametre!AJ54)</f>
        <v>5055250.1388285803</v>
      </c>
      <c r="AG28" s="32">
        <f>(AG23*Parametre!AK49+AG24*Parametre!AK53+AG26*Parametre!AK50+AG27*Parametre!AK54)</f>
        <v>5085625.8731002659</v>
      </c>
    </row>
    <row r="29" spans="1:33" s="49" customFormat="1" x14ac:dyDescent="0.2">
      <c r="A29" s="52" t="s">
        <v>399</v>
      </c>
      <c r="B29" s="32">
        <f t="shared" si="3"/>
        <v>6388404.0705330735</v>
      </c>
      <c r="C29" s="135"/>
      <c r="D29" s="229"/>
      <c r="E29" s="229"/>
      <c r="F29" s="229">
        <f>'Vstupné dáta'!D62</f>
        <v>62859.387499999997</v>
      </c>
      <c r="G29" s="229">
        <f>'Vstupné dáta'!E62</f>
        <v>63875</v>
      </c>
      <c r="H29" s="229">
        <f>'Vstupné dáta'!F62</f>
        <v>64839.51249999999</v>
      </c>
      <c r="I29" s="229">
        <f>'Vstupné dáta'!G62</f>
        <v>65818.589138749987</v>
      </c>
      <c r="J29" s="229">
        <f>'Vstupné dáta'!H62</f>
        <v>66812.449834745101</v>
      </c>
      <c r="K29" s="229">
        <f>'Vstupné dáta'!I62</f>
        <v>67821.317827249746</v>
      </c>
      <c r="L29" s="229">
        <f>'Vstupné dáta'!J62</f>
        <v>247670.3379175287</v>
      </c>
      <c r="M29" s="229">
        <f>'Vstupné dáta'!K62</f>
        <v>251467.49712410264</v>
      </c>
      <c r="N29" s="229">
        <f>'Vstupné dáta'!L62</f>
        <v>254161.61019213931</v>
      </c>
      <c r="O29" s="229">
        <f>'Vstupné dáta'!M62</f>
        <v>256884.58681235023</v>
      </c>
      <c r="P29" s="229">
        <f>'Vstupné dáta'!N62</f>
        <v>259636.73621624243</v>
      </c>
      <c r="Q29" s="229">
        <f>'Vstupné dáta'!O62</f>
        <v>262418.37094829435</v>
      </c>
      <c r="R29" s="229">
        <f>'Vstupné dáta'!P62</f>
        <v>265229.80690144975</v>
      </c>
      <c r="S29" s="229">
        <f>'Vstupné dáta'!Q62</f>
        <v>268071.36335299147</v>
      </c>
      <c r="T29" s="229">
        <f>'Vstupné dáta'!R62</f>
        <v>270943.36300079996</v>
      </c>
      <c r="U29" s="229">
        <f>'Vstupné dáta'!S62</f>
        <v>273846.13199999998</v>
      </c>
      <c r="V29" s="229">
        <f>'Vstupné dáta'!T62</f>
        <v>276780</v>
      </c>
      <c r="W29" s="229">
        <f>'Vstupné dáta'!U62</f>
        <v>277748.73000000004</v>
      </c>
      <c r="X29" s="229">
        <f>'Vstupné dáta'!V62</f>
        <v>278720.85055500007</v>
      </c>
      <c r="Y29" s="229">
        <f>'Vstupné dáta'!W62</f>
        <v>279696.37353194261</v>
      </c>
      <c r="Z29" s="229">
        <f>'Vstupné dáta'!X62</f>
        <v>280675.31083930441</v>
      </c>
      <c r="AA29" s="229">
        <f>'Vstupné dáta'!Y62</f>
        <v>281657.67442724202</v>
      </c>
      <c r="AB29" s="229">
        <f>'Vstupné dáta'!Z62</f>
        <v>282643.47628773737</v>
      </c>
      <c r="AC29" s="229">
        <f>'Vstupné dáta'!AA62</f>
        <v>283632.72845474444</v>
      </c>
      <c r="AD29" s="229">
        <f>'Vstupné dáta'!AB62</f>
        <v>284625.44300433609</v>
      </c>
      <c r="AE29" s="229">
        <f>'Vstupné dáta'!AC62</f>
        <v>285621.63205485127</v>
      </c>
      <c r="AF29" s="229">
        <f>'Vstupné dáta'!AD62</f>
        <v>286621.3077670433</v>
      </c>
      <c r="AG29" s="229">
        <f>'Vstupné dáta'!AE62</f>
        <v>287624.48234422796</v>
      </c>
    </row>
    <row r="30" spans="1:33" x14ac:dyDescent="0.2">
      <c r="A30" s="7" t="s">
        <v>400</v>
      </c>
      <c r="B30" s="32">
        <f t="shared" si="3"/>
        <v>41778069.742597207</v>
      </c>
      <c r="C30" s="135">
        <f>NPV(Parametre!B$10,D30:AG30)</f>
        <v>19182914.090783741</v>
      </c>
      <c r="D30" s="32"/>
      <c r="E30" s="32"/>
      <c r="F30" s="32">
        <f>F29*Parametre!J57</f>
        <v>357232.66959802073</v>
      </c>
      <c r="G30" s="32">
        <f>G29*Parametre!K57</f>
        <v>368449.50680011284</v>
      </c>
      <c r="H30" s="32">
        <f>H29*Parametre!L57</f>
        <v>379436.28422090999</v>
      </c>
      <c r="I30" s="32">
        <f>I29*Parametre!M57</f>
        <v>390558.0929222228</v>
      </c>
      <c r="J30" s="32">
        <f>J29*Parametre!N57</f>
        <v>401807.66964704049</v>
      </c>
      <c r="K30" s="32">
        <f>K29*Parametre!O57</f>
        <v>413177.34000967396</v>
      </c>
      <c r="L30" s="32">
        <f>L29*Parametre!P57</f>
        <v>1527704.2953769148</v>
      </c>
      <c r="M30" s="32">
        <f>M29*Parametre!Q57</f>
        <v>1568964.2550246213</v>
      </c>
      <c r="N30" s="32">
        <f>N29*Parametre!R57</f>
        <v>1601631.1881694638</v>
      </c>
      <c r="O30" s="32">
        <f>O29*Parametre!S57</f>
        <v>1633359.4793440357</v>
      </c>
      <c r="P30" s="32">
        <f>P29*Parametre!T57</f>
        <v>1663240.0196473785</v>
      </c>
      <c r="Q30" s="32">
        <f>Q29*Parametre!U57</f>
        <v>1691986.132782582</v>
      </c>
      <c r="R30" s="32">
        <f>R29*Parametre!V57</f>
        <v>1720374.0141290454</v>
      </c>
      <c r="S30" s="32">
        <f>S29*Parametre!W57</f>
        <v>1748368.780277699</v>
      </c>
      <c r="T30" s="32">
        <f>T29*Parametre!X57</f>
        <v>1775051.990892408</v>
      </c>
      <c r="U30" s="32">
        <f>U29*Parametre!Y57</f>
        <v>1801245.400097006</v>
      </c>
      <c r="V30" s="32">
        <f>V29*Parametre!Z57</f>
        <v>1826915.0586187041</v>
      </c>
      <c r="W30" s="32">
        <f>W29*Parametre!AA57</f>
        <v>1839725.8437385033</v>
      </c>
      <c r="X30" s="32">
        <f>X29*Parametre!AB57</f>
        <v>1852626.4612862591</v>
      </c>
      <c r="Y30" s="32">
        <f>Y29*Parametre!AC57</f>
        <v>1864687.9858624635</v>
      </c>
      <c r="Z30" s="32">
        <f>Z29*Parametre!AD57</f>
        <v>1876828.0369944207</v>
      </c>
      <c r="AA30" s="32">
        <f>AA29*Parametre!AE57</f>
        <v>1889047.125929273</v>
      </c>
      <c r="AB30" s="32">
        <f>AB29*Parametre!AF57</f>
        <v>1901345.7672426354</v>
      </c>
      <c r="AC30" s="32">
        <f>AC29*Parametre!AG57</f>
        <v>1913724.4788602681</v>
      </c>
      <c r="AD30" s="32">
        <f>AD29*Parametre!AH57</f>
        <v>1925223.5708226201</v>
      </c>
      <c r="AE30" s="32">
        <f>AE29*Parametre!AI57</f>
        <v>1936791.7579538005</v>
      </c>
      <c r="AF30" s="32">
        <f>AF29*Parametre!AJ57</f>
        <v>1948429.4554294057</v>
      </c>
      <c r="AG30" s="32">
        <f>AG29*Parametre!AK57</f>
        <v>1960137.0809197172</v>
      </c>
    </row>
    <row r="31" spans="1:33" s="49" customFormat="1" x14ac:dyDescent="0.2">
      <c r="A31" s="52" t="s">
        <v>401</v>
      </c>
      <c r="B31" s="32">
        <f t="shared" si="3"/>
        <v>2182043.8073686711</v>
      </c>
      <c r="C31" s="135"/>
      <c r="D31" s="229"/>
      <c r="E31" s="229"/>
      <c r="F31" s="229">
        <f>'Vstupné dáta'!D63</f>
        <v>0</v>
      </c>
      <c r="G31" s="229">
        <f>'Vstupné dáta'!E63</f>
        <v>0</v>
      </c>
      <c r="H31" s="229">
        <f>'Vstupné dáta'!F63</f>
        <v>9855</v>
      </c>
      <c r="I31" s="229">
        <f>'Vstupné dáta'!G63</f>
        <v>9953.5499999999993</v>
      </c>
      <c r="J31" s="229">
        <f>'Vstupné dáta'!H63</f>
        <v>10053.085499999999</v>
      </c>
      <c r="K31" s="229">
        <f>'Vstupné dáta'!I63</f>
        <v>10153.616355</v>
      </c>
      <c r="L31" s="229">
        <f>'Vstupné dáta'!J63</f>
        <v>58493.15251855</v>
      </c>
      <c r="M31" s="229">
        <f>'Vstupné dáta'!K63</f>
        <v>82175.084043735493</v>
      </c>
      <c r="N31" s="229">
        <f>'Vstupné dáta'!L63</f>
        <v>82996.834884172844</v>
      </c>
      <c r="O31" s="229">
        <f>'Vstupné dáta'!M63</f>
        <v>83826.80323301458</v>
      </c>
      <c r="P31" s="229">
        <f>'Vstupné dáta'!N63</f>
        <v>84665.071265344726</v>
      </c>
      <c r="Q31" s="229">
        <f>'Vstupné dáta'!O63</f>
        <v>85511.721977998168</v>
      </c>
      <c r="R31" s="229">
        <f>'Vstupné dáta'!P63</f>
        <v>100579.83919777816</v>
      </c>
      <c r="S31" s="229">
        <f>'Vstupné dáta'!Q63</f>
        <v>101585.63758975593</v>
      </c>
      <c r="T31" s="229">
        <f>'Vstupné dáta'!R63</f>
        <v>102601.4939656535</v>
      </c>
      <c r="U31" s="229">
        <f>'Vstupné dáta'!S63</f>
        <v>103627.50890531004</v>
      </c>
      <c r="V31" s="229">
        <f>'Vstupné dáta'!T63</f>
        <v>104663.78399436314</v>
      </c>
      <c r="W31" s="229">
        <f>'Vstupné dáta'!U63</f>
        <v>104663.78399436314</v>
      </c>
      <c r="X31" s="229">
        <f>'Vstupné dáta'!V63</f>
        <v>104663.78399436314</v>
      </c>
      <c r="Y31" s="229">
        <f>'Vstupné dáta'!W63</f>
        <v>104663.78399436314</v>
      </c>
      <c r="Z31" s="229">
        <f>'Vstupné dáta'!X63</f>
        <v>104663.78399436314</v>
      </c>
      <c r="AA31" s="229">
        <f>'Vstupné dáta'!Y63</f>
        <v>104663.78399436314</v>
      </c>
      <c r="AB31" s="229">
        <f>'Vstupné dáta'!Z63</f>
        <v>104663.78399436314</v>
      </c>
      <c r="AC31" s="229">
        <f>'Vstupné dáta'!AA63</f>
        <v>104663.78399436314</v>
      </c>
      <c r="AD31" s="229">
        <f>'Vstupné dáta'!AB63</f>
        <v>104663.78399436314</v>
      </c>
      <c r="AE31" s="229">
        <f>'Vstupné dáta'!AC63</f>
        <v>104663.78399436314</v>
      </c>
      <c r="AF31" s="229">
        <f>'Vstupné dáta'!AD63</f>
        <v>104663.78399436314</v>
      </c>
      <c r="AG31" s="229">
        <f>'Vstupné dáta'!AE63</f>
        <v>104663.78399436314</v>
      </c>
    </row>
    <row r="32" spans="1:33" x14ac:dyDescent="0.2">
      <c r="A32" s="7" t="s">
        <v>402</v>
      </c>
      <c r="B32" s="32">
        <f t="shared" si="3"/>
        <v>14363148.971341267</v>
      </c>
      <c r="C32" s="135">
        <f>NPV(Parametre!B$10,D32:AG32)</f>
        <v>6248384.0301061645</v>
      </c>
      <c r="D32" s="32"/>
      <c r="E32" s="32"/>
      <c r="F32" s="32">
        <f>F31*Parametre!J58</f>
        <v>0</v>
      </c>
      <c r="G32" s="32">
        <f>G31*Parametre!K58</f>
        <v>0</v>
      </c>
      <c r="H32" s="32">
        <f>H31*Parametre!L58</f>
        <v>57670.769517230234</v>
      </c>
      <c r="I32" s="32">
        <f>I31*Parametre!M58</f>
        <v>59062.94189337617</v>
      </c>
      <c r="J32" s="32">
        <f>J31*Parametre!N58</f>
        <v>60458.894525026117</v>
      </c>
      <c r="K32" s="32">
        <f>K31*Parametre!O58</f>
        <v>61857.308755389968</v>
      </c>
      <c r="L32" s="32">
        <f>L31*Parametre!P58</f>
        <v>360803.15916749689</v>
      </c>
      <c r="M32" s="32">
        <f>M31*Parametre!Q58</f>
        <v>512709.47932740784</v>
      </c>
      <c r="N32" s="32">
        <f>N31*Parametre!R58</f>
        <v>523014.93986188876</v>
      </c>
      <c r="O32" s="32">
        <f>O31*Parametre!S58</f>
        <v>532999.29506385222</v>
      </c>
      <c r="P32" s="32">
        <f>P31*Parametre!T58</f>
        <v>542366.75767459953</v>
      </c>
      <c r="Q32" s="32">
        <f>Q31*Parametre!U58</f>
        <v>551351.06301547925</v>
      </c>
      <c r="R32" s="32">
        <f>R31*Parametre!V58</f>
        <v>652396.28879807366</v>
      </c>
      <c r="S32" s="32">
        <f>S31*Parametre!W58</f>
        <v>662544.31307032774</v>
      </c>
      <c r="T32" s="32">
        <f>T31*Parametre!X58</f>
        <v>672181.02010393562</v>
      </c>
      <c r="U32" s="32">
        <f>U31*Parametre!Y58</f>
        <v>681618.44162619486</v>
      </c>
      <c r="V32" s="32">
        <f>V31*Parametre!Z58</f>
        <v>690844.1472336055</v>
      </c>
      <c r="W32" s="32">
        <f>W31*Parametre!AA58</f>
        <v>693262.10174892307</v>
      </c>
      <c r="X32" s="32">
        <f>X31*Parametre!AB58</f>
        <v>695688.51910504443</v>
      </c>
      <c r="Y32" s="32">
        <f>Y31*Parametre!AC58</f>
        <v>697775.58466235944</v>
      </c>
      <c r="Z32" s="32">
        <f>Z31*Parametre!AD58</f>
        <v>699868.91141634644</v>
      </c>
      <c r="AA32" s="32">
        <f>AA31*Parametre!AE58</f>
        <v>701968.51815059548</v>
      </c>
      <c r="AB32" s="32">
        <f>AB31*Parametre!AF58</f>
        <v>704074.42370504711</v>
      </c>
      <c r="AC32" s="32">
        <f>AC31*Parametre!AG58</f>
        <v>706186.64697616221</v>
      </c>
      <c r="AD32" s="32">
        <f>AD31*Parametre!AH58</f>
        <v>707952.11359360255</v>
      </c>
      <c r="AE32" s="32">
        <f>AE31*Parametre!AI58</f>
        <v>709721.99387758656</v>
      </c>
      <c r="AF32" s="32">
        <f>AF31*Parametre!AJ58</f>
        <v>711496.29886228056</v>
      </c>
      <c r="AG32" s="32">
        <f>AG31*Parametre!AK58</f>
        <v>713275.03960943618</v>
      </c>
    </row>
    <row r="33" spans="1:33" x14ac:dyDescent="0.2">
      <c r="A33" s="275" t="s">
        <v>467</v>
      </c>
      <c r="B33" s="32">
        <f t="shared" ref="B33:B34" si="4">SUM(D33:AG33)</f>
        <v>2908256.90335157</v>
      </c>
      <c r="C33" s="135"/>
      <c r="D33" s="32"/>
      <c r="E33" s="32"/>
      <c r="F33" s="32">
        <f>'Vstupné dáta'!D64</f>
        <v>43453.862839293943</v>
      </c>
      <c r="G33" s="32">
        <f>'Vstupné dáta'!E64</f>
        <v>44155.94232221719</v>
      </c>
      <c r="H33" s="32">
        <f>'Vstupné dáta'!F64</f>
        <v>44822.697051282667</v>
      </c>
      <c r="I33" s="32">
        <f>'Vstupné dáta'!G64</f>
        <v>45499.519776757021</v>
      </c>
      <c r="J33" s="32">
        <f>'Vstupné dáta'!H64</f>
        <v>46186.562525386049</v>
      </c>
      <c r="K33" s="32">
        <f>'Vstupné dáta'!I64</f>
        <v>46883.979619519378</v>
      </c>
      <c r="L33" s="32">
        <f>'Vstupné dáta'!J64</f>
        <v>109399.96779210005</v>
      </c>
      <c r="M33" s="32">
        <f>'Vstupné dáta'!K64</f>
        <v>110559.60745069631</v>
      </c>
      <c r="N33" s="32">
        <f>'Vstupné dáta'!L64</f>
        <v>111731.53928967369</v>
      </c>
      <c r="O33" s="32">
        <f>'Vstupné dáta'!M64</f>
        <v>112915.89360614422</v>
      </c>
      <c r="P33" s="32">
        <f>'Vstupné dáta'!N64</f>
        <v>114112.80207836934</v>
      </c>
      <c r="Q33" s="32">
        <f>'Vstupné dáta'!O64</f>
        <v>115322.39778040003</v>
      </c>
      <c r="R33" s="32">
        <f>'Vstupné dáta'!P64</f>
        <v>116544.81519687228</v>
      </c>
      <c r="S33" s="32">
        <f>'Vstupné dáta'!Q64</f>
        <v>117896.96815835536</v>
      </c>
      <c r="T33" s="32">
        <f>'Vstupné dáta'!R64</f>
        <v>119160.06484572</v>
      </c>
      <c r="U33" s="32">
        <f>'Vstupné dáta'!S64</f>
        <v>120436.69379999998</v>
      </c>
      <c r="V33" s="32">
        <f>'Vstupné dáta'!T64</f>
        <v>121727</v>
      </c>
      <c r="W33" s="32">
        <f>'Vstupné dáta'!U64</f>
        <v>122153.04450000002</v>
      </c>
      <c r="X33" s="32">
        <f>'Vstupné dáta'!V64</f>
        <v>122580.58015575002</v>
      </c>
      <c r="Y33" s="32">
        <f>'Vstupné dáta'!W64</f>
        <v>123009.61218629513</v>
      </c>
      <c r="Z33" s="32">
        <f>'Vstupné dáta'!X64</f>
        <v>123440.14582894718</v>
      </c>
      <c r="AA33" s="32">
        <f>'Vstupné dáta'!Y64</f>
        <v>123872.18633934851</v>
      </c>
      <c r="AB33" s="32">
        <f>'Vstupné dáta'!Z64</f>
        <v>124305.73899153623</v>
      </c>
      <c r="AC33" s="32">
        <f>'Vstupné dáta'!AA64</f>
        <v>124740.80907800664</v>
      </c>
      <c r="AD33" s="32">
        <f>'Vstupné dáta'!AB64</f>
        <v>125177.40190977966</v>
      </c>
      <c r="AE33" s="32">
        <f>'Vstupné dáta'!AC64</f>
        <v>125615.52281646391</v>
      </c>
      <c r="AF33" s="32">
        <f>'Vstupné dáta'!AD64</f>
        <v>126055.17714632154</v>
      </c>
      <c r="AG33" s="32">
        <f>'Vstupné dáta'!AE64</f>
        <v>126496.37026633369</v>
      </c>
    </row>
    <row r="34" spans="1:33" x14ac:dyDescent="0.2">
      <c r="A34" s="7" t="s">
        <v>466</v>
      </c>
      <c r="B34" s="32">
        <f t="shared" si="4"/>
        <v>18955285.025292527</v>
      </c>
      <c r="C34" s="135">
        <f>NPV(Parametre!B$10,D34:AG34)</f>
        <v>8926701.6846185867</v>
      </c>
      <c r="D34" s="32"/>
      <c r="E34" s="32"/>
      <c r="F34" s="32">
        <f>F33*Parametre!J53</f>
        <v>246950.21768112527</v>
      </c>
      <c r="G34" s="32">
        <f>G33*Parametre!K53</f>
        <v>254704.2688205895</v>
      </c>
      <c r="H34" s="32">
        <f>H33*Parametre!L53</f>
        <v>262299.28267733718</v>
      </c>
      <c r="I34" s="32">
        <f>I33*Parametre!M53</f>
        <v>269987.64187160559</v>
      </c>
      <c r="J34" s="32">
        <f>J33*Parametre!N53</f>
        <v>277764.32540992904</v>
      </c>
      <c r="K34" s="32">
        <f>K33*Parametre!O53</f>
        <v>285624.028091026</v>
      </c>
      <c r="L34" s="32">
        <f>L33*Parametre!P53</f>
        <v>674811.53421666496</v>
      </c>
      <c r="M34" s="32">
        <f>M33*Parametre!Q53</f>
        <v>689807.12864887423</v>
      </c>
      <c r="N34" s="32">
        <f>N33*Parametre!R53</f>
        <v>704090.27505467797</v>
      </c>
      <c r="O34" s="32">
        <f>O33*Parametre!S53</f>
        <v>717957.6146579897</v>
      </c>
      <c r="P34" s="32">
        <f>P33*Parametre!T53</f>
        <v>731009.72511366464</v>
      </c>
      <c r="Q34" s="32">
        <f>Q33*Parametre!U53</f>
        <v>743560.35798316856</v>
      </c>
      <c r="R34" s="32">
        <f>R33*Parametre!V53</f>
        <v>755950.75036445691</v>
      </c>
      <c r="S34" s="32">
        <f>S33*Parametre!W53</f>
        <v>768927.25817206257</v>
      </c>
      <c r="T34" s="32">
        <f>T33*Parametre!X53</f>
        <v>780662.4528338759</v>
      </c>
      <c r="U34" s="32">
        <f>U33*Parametre!Y53</f>
        <v>792182.23432909977</v>
      </c>
      <c r="V34" s="32">
        <f>V33*Parametre!Z53</f>
        <v>803471.6718710853</v>
      </c>
      <c r="W34" s="32">
        <f>W33*Parametre!AA53</f>
        <v>809105.8161021634</v>
      </c>
      <c r="X34" s="32">
        <f>X33*Parametre!AB53</f>
        <v>814779.46836112603</v>
      </c>
      <c r="Y34" s="32">
        <f>Y33*Parametre!AC53</f>
        <v>820084.09008989087</v>
      </c>
      <c r="Z34" s="32">
        <f>Z33*Parametre!AD53</f>
        <v>825423.24755842111</v>
      </c>
      <c r="AA34" s="32">
        <f>AA33*Parametre!AE53</f>
        <v>830797.16561165021</v>
      </c>
      <c r="AB34" s="32">
        <f>AB33*Parametre!AF53</f>
        <v>836206.07055836474</v>
      </c>
      <c r="AC34" s="32">
        <f>AC33*Parametre!AG53</f>
        <v>841650.1901807352</v>
      </c>
      <c r="AD34" s="32">
        <f>AD33*Parametre!AH53</f>
        <v>846707.45576098363</v>
      </c>
      <c r="AE34" s="32">
        <f>AE33*Parametre!AI53</f>
        <v>851795.1091857875</v>
      </c>
      <c r="AF34" s="32">
        <f>AF33*Parametre!AJ53</f>
        <v>856913.33304810768</v>
      </c>
      <c r="AG34" s="32">
        <f>AG33*Parametre!AK53</f>
        <v>862062.31103806058</v>
      </c>
    </row>
    <row r="35" spans="1:33" x14ac:dyDescent="0.2">
      <c r="A35" s="7" t="s">
        <v>15</v>
      </c>
      <c r="B35" s="32">
        <f>SUM(D35:AG35)</f>
        <v>489425337.14356041</v>
      </c>
      <c r="C35" s="135">
        <f>NPV(Parametre!B$10,D35:AG35)</f>
        <v>193549478.56626767</v>
      </c>
      <c r="D35" s="32">
        <v>0</v>
      </c>
      <c r="E35" s="32">
        <v>0</v>
      </c>
      <c r="F35" s="32">
        <f>SUM(F14,F21,F28,F30,F32,F34)</f>
        <v>2430480.7357400637</v>
      </c>
      <c r="G35" s="32">
        <f t="shared" ref="G35:AG35" si="5">SUM(G14,G21,G28,G30,G32,G34)</f>
        <v>2508382.3967299978</v>
      </c>
      <c r="H35" s="32">
        <f t="shared" si="5"/>
        <v>2642439.8553577587</v>
      </c>
      <c r="I35" s="32">
        <f t="shared" si="5"/>
        <v>2721184.5762566039</v>
      </c>
      <c r="J35" s="32">
        <f t="shared" si="5"/>
        <v>2800846.100941102</v>
      </c>
      <c r="K35" s="32">
        <f t="shared" si="5"/>
        <v>2881367.1745498851</v>
      </c>
      <c r="L35" s="32">
        <f t="shared" si="5"/>
        <v>14582046.584752889</v>
      </c>
      <c r="M35" s="32">
        <f t="shared" si="5"/>
        <v>15074237.838049915</v>
      </c>
      <c r="N35" s="32">
        <f t="shared" si="5"/>
        <v>15401369.816377681</v>
      </c>
      <c r="O35" s="32">
        <f t="shared" si="5"/>
        <v>15718531.966203887</v>
      </c>
      <c r="P35" s="32">
        <f t="shared" si="5"/>
        <v>16016055.73138799</v>
      </c>
      <c r="Q35" s="32">
        <f t="shared" si="5"/>
        <v>16301432.025963694</v>
      </c>
      <c r="R35" s="32">
        <f t="shared" si="5"/>
        <v>16675041.35084792</v>
      </c>
      <c r="S35" s="32">
        <f t="shared" si="5"/>
        <v>22602285.432685979</v>
      </c>
      <c r="T35" s="32">
        <f t="shared" si="5"/>
        <v>22959533.988547947</v>
      </c>
      <c r="U35" s="32">
        <f t="shared" si="5"/>
        <v>23309400.131775506</v>
      </c>
      <c r="V35" s="32">
        <f t="shared" si="5"/>
        <v>23651364.99714113</v>
      </c>
      <c r="W35" s="32">
        <f t="shared" si="5"/>
        <v>23825143.55881983</v>
      </c>
      <c r="X35" s="32">
        <f t="shared" si="5"/>
        <v>24000219.372193679</v>
      </c>
      <c r="Y35" s="32">
        <f t="shared" si="5"/>
        <v>24163056.951062925</v>
      </c>
      <c r="Z35" s="32">
        <f t="shared" si="5"/>
        <v>24327016.993045311</v>
      </c>
      <c r="AA35" s="32">
        <f t="shared" si="5"/>
        <v>24492107.321175534</v>
      </c>
      <c r="AB35" s="32">
        <f t="shared" si="5"/>
        <v>24658335.813498713</v>
      </c>
      <c r="AC35" s="32">
        <f t="shared" si="5"/>
        <v>24825710.403460257</v>
      </c>
      <c r="AD35" s="32">
        <f t="shared" si="5"/>
        <v>24980220.689683545</v>
      </c>
      <c r="AE35" s="32">
        <f t="shared" si="5"/>
        <v>25135708.007180557</v>
      </c>
      <c r="AF35" s="32">
        <f t="shared" si="5"/>
        <v>25292178.595558163</v>
      </c>
      <c r="AG35" s="32">
        <f t="shared" si="5"/>
        <v>25449638.734571949</v>
      </c>
    </row>
    <row r="36" spans="1:33" x14ac:dyDescent="0.2">
      <c r="C36" s="127"/>
    </row>
    <row r="37" spans="1:33" x14ac:dyDescent="0.2">
      <c r="A37" s="26" t="s">
        <v>131</v>
      </c>
      <c r="L37" s="26"/>
      <c r="W37" s="26"/>
    </row>
    <row r="38" spans="1:33" x14ac:dyDescent="0.2">
      <c r="A38" s="6" t="s">
        <v>32</v>
      </c>
      <c r="B38" s="17" t="s">
        <v>21</v>
      </c>
      <c r="C38" s="29" t="s">
        <v>89</v>
      </c>
      <c r="D38" s="17">
        <f>Parametre!B12</f>
        <v>2022</v>
      </c>
      <c r="E38" s="17">
        <f>D38+1</f>
        <v>2023</v>
      </c>
      <c r="F38" s="17">
        <f t="shared" ref="F38:AG38" si="6">E38+1</f>
        <v>2024</v>
      </c>
      <c r="G38" s="17">
        <f t="shared" si="6"/>
        <v>2025</v>
      </c>
      <c r="H38" s="17">
        <f t="shared" si="6"/>
        <v>2026</v>
      </c>
      <c r="I38" s="17">
        <f t="shared" si="6"/>
        <v>2027</v>
      </c>
      <c r="J38" s="17">
        <f t="shared" si="6"/>
        <v>2028</v>
      </c>
      <c r="K38" s="17">
        <f t="shared" si="6"/>
        <v>2029</v>
      </c>
      <c r="L38" s="17">
        <f t="shared" si="6"/>
        <v>2030</v>
      </c>
      <c r="M38" s="17">
        <f t="shared" si="6"/>
        <v>2031</v>
      </c>
      <c r="N38" s="17">
        <f t="shared" si="6"/>
        <v>2032</v>
      </c>
      <c r="O38" s="17">
        <f t="shared" si="6"/>
        <v>2033</v>
      </c>
      <c r="P38" s="17">
        <f t="shared" si="6"/>
        <v>2034</v>
      </c>
      <c r="Q38" s="17">
        <f t="shared" si="6"/>
        <v>2035</v>
      </c>
      <c r="R38" s="17">
        <f t="shared" si="6"/>
        <v>2036</v>
      </c>
      <c r="S38" s="17">
        <f t="shared" si="6"/>
        <v>2037</v>
      </c>
      <c r="T38" s="17">
        <f t="shared" si="6"/>
        <v>2038</v>
      </c>
      <c r="U38" s="17">
        <f t="shared" si="6"/>
        <v>2039</v>
      </c>
      <c r="V38" s="17">
        <f t="shared" si="6"/>
        <v>2040</v>
      </c>
      <c r="W38" s="17">
        <f t="shared" si="6"/>
        <v>2041</v>
      </c>
      <c r="X38" s="17">
        <f t="shared" si="6"/>
        <v>2042</v>
      </c>
      <c r="Y38" s="17">
        <f t="shared" si="6"/>
        <v>2043</v>
      </c>
      <c r="Z38" s="17">
        <f t="shared" si="6"/>
        <v>2044</v>
      </c>
      <c r="AA38" s="17">
        <f t="shared" si="6"/>
        <v>2045</v>
      </c>
      <c r="AB38" s="17">
        <f t="shared" si="6"/>
        <v>2046</v>
      </c>
      <c r="AC38" s="17">
        <f t="shared" si="6"/>
        <v>2047</v>
      </c>
      <c r="AD38" s="17">
        <f t="shared" si="6"/>
        <v>2048</v>
      </c>
      <c r="AE38" s="17">
        <f t="shared" si="6"/>
        <v>2049</v>
      </c>
      <c r="AF38" s="17">
        <f t="shared" si="6"/>
        <v>2050</v>
      </c>
      <c r="AG38" s="17">
        <f t="shared" si="6"/>
        <v>2051</v>
      </c>
    </row>
    <row r="39" spans="1:33" s="130" customFormat="1" x14ac:dyDescent="0.2">
      <c r="A39" s="128" t="s">
        <v>69</v>
      </c>
      <c r="B39" s="129"/>
      <c r="C39" s="136"/>
      <c r="D39" s="129">
        <f>'Vstupné dáta'!B68</f>
        <v>0</v>
      </c>
      <c r="E39" s="129">
        <f>'Vstupné dáta'!C68</f>
        <v>0</v>
      </c>
      <c r="F39" s="129">
        <f>'Vstupné dáta'!D68</f>
        <v>0</v>
      </c>
      <c r="G39" s="129">
        <f>'Vstupné dáta'!E68</f>
        <v>0</v>
      </c>
      <c r="H39" s="129">
        <f>'Vstupné dáta'!F68</f>
        <v>6253997.6160576753</v>
      </c>
      <c r="I39" s="129">
        <f>'Vstupné dáta'!G68</f>
        <v>6402848.419046198</v>
      </c>
      <c r="J39" s="129">
        <f>'Vstupné dáta'!H68</f>
        <v>6551699.2220347188</v>
      </c>
      <c r="K39" s="129">
        <f>'Vstupné dáta'!I68</f>
        <v>6700550.0250232415</v>
      </c>
      <c r="L39" s="129">
        <f>'Vstupné dáta'!J68</f>
        <v>6849400.8280117624</v>
      </c>
      <c r="M39" s="129">
        <f>'Vstupné dáta'!K68</f>
        <v>6998251.631000285</v>
      </c>
      <c r="N39" s="129">
        <f>'Vstupné dáta'!L68</f>
        <v>7147102.4339888068</v>
      </c>
      <c r="O39" s="129">
        <f>'Vstupné dáta'!M68</f>
        <v>7295953.2369773285</v>
      </c>
      <c r="P39" s="129">
        <f>'Vstupné dáta'!N68</f>
        <v>7444804.0399658494</v>
      </c>
      <c r="Q39" s="129">
        <f>'Vstupné dáta'!O68</f>
        <v>7593654.8429543721</v>
      </c>
      <c r="R39" s="129">
        <f>'Vstupné dáta'!P68</f>
        <v>7742505.6459428957</v>
      </c>
      <c r="S39" s="129">
        <f>'Vstupné dáta'!Q68</f>
        <v>7891356.4489314174</v>
      </c>
      <c r="T39" s="129">
        <f>'Vstupné dáta'!R68</f>
        <v>8040207.251919941</v>
      </c>
      <c r="U39" s="129">
        <f>'Vstupné dáta'!S68</f>
        <v>8189058.0549084628</v>
      </c>
      <c r="V39" s="129">
        <f>'Vstupné dáta'!T68</f>
        <v>8337816.666666666</v>
      </c>
      <c r="W39" s="129">
        <f>'Vstupné dáta'!U68</f>
        <v>8421194.8333333321</v>
      </c>
      <c r="X39" s="129">
        <f>'Vstupné dáta'!V68</f>
        <v>8505406.7816666663</v>
      </c>
      <c r="Y39" s="129">
        <f>'Vstupné dáta'!W68</f>
        <v>8590460.8494833335</v>
      </c>
      <c r="Z39" s="129">
        <f>'Vstupné dáta'!X68</f>
        <v>8676365.4579781666</v>
      </c>
      <c r="AA39" s="129">
        <f>'Vstupné dáta'!Y68</f>
        <v>8763129.1125579495</v>
      </c>
      <c r="AB39" s="129">
        <f>'Vstupné dáta'!Z68</f>
        <v>8850760.4036835283</v>
      </c>
      <c r="AC39" s="129">
        <f>'Vstupné dáta'!AA68</f>
        <v>8939268.0077203624</v>
      </c>
      <c r="AD39" s="129">
        <f>'Vstupné dáta'!AB68</f>
        <v>9028660.6877975669</v>
      </c>
      <c r="AE39" s="129">
        <f>'Vstupné dáta'!AC68</f>
        <v>9118947.294675542</v>
      </c>
      <c r="AF39" s="129">
        <f>'Vstupné dáta'!AD68</f>
        <v>9210136.7676222976</v>
      </c>
      <c r="AG39" s="129">
        <f>'Vstupné dáta'!AE68</f>
        <v>9302238.1352985222</v>
      </c>
    </row>
    <row r="40" spans="1:33" x14ac:dyDescent="0.2">
      <c r="A40" s="6" t="s">
        <v>70</v>
      </c>
      <c r="B40" s="32">
        <f>SUM(D40:AG40)</f>
        <v>46333453.531735301</v>
      </c>
      <c r="C40" s="135">
        <f>NPV(Parametre!B$10,D40:AG40)</f>
        <v>20187540.022715196</v>
      </c>
      <c r="D40" s="32">
        <f>D39*Parametre!H59</f>
        <v>0</v>
      </c>
      <c r="E40" s="32">
        <f>E39*Parametre!I59</f>
        <v>0</v>
      </c>
      <c r="F40" s="32">
        <f>F39*Parametre!J59</f>
        <v>0</v>
      </c>
      <c r="G40" s="32">
        <f>G39*Parametre!K59</f>
        <v>0</v>
      </c>
      <c r="H40" s="32">
        <f>H39*Parametre!L59</f>
        <v>1400895.4659969192</v>
      </c>
      <c r="I40" s="32">
        <f>I39*Parametre!M59</f>
        <v>1434238.0458663483</v>
      </c>
      <c r="J40" s="32">
        <f>J39*Parametre!N59</f>
        <v>1467580.625735777</v>
      </c>
      <c r="K40" s="32">
        <f>K39*Parametre!O59</f>
        <v>1500923.2056052061</v>
      </c>
      <c r="L40" s="32">
        <f>L39*Parametre!P59</f>
        <v>1534265.7854746347</v>
      </c>
      <c r="M40" s="32">
        <f>M39*Parametre!Q59</f>
        <v>1567608.3653440638</v>
      </c>
      <c r="N40" s="32">
        <f>N39*Parametre!R59</f>
        <v>1600950.9452134927</v>
      </c>
      <c r="O40" s="32">
        <f>O39*Parametre!S59</f>
        <v>1634293.5250829216</v>
      </c>
      <c r="P40" s="32">
        <f>P39*Parametre!T59</f>
        <v>1667636.1049523503</v>
      </c>
      <c r="Q40" s="32">
        <f>Q39*Parametre!U59</f>
        <v>1700978.6848217794</v>
      </c>
      <c r="R40" s="32">
        <f>R39*Parametre!V59</f>
        <v>1734321.2646912087</v>
      </c>
      <c r="S40" s="32">
        <f>S39*Parametre!W59</f>
        <v>1767663.8445606376</v>
      </c>
      <c r="T40" s="32">
        <f>T39*Parametre!X59</f>
        <v>1801006.4244300667</v>
      </c>
      <c r="U40" s="32">
        <f>U39*Parametre!Y59</f>
        <v>1834349.0042994956</v>
      </c>
      <c r="V40" s="32">
        <f>V39*Parametre!Z59</f>
        <v>1867670.9333333333</v>
      </c>
      <c r="W40" s="32">
        <f>W39*Parametre!AA59</f>
        <v>1886347.6426666665</v>
      </c>
      <c r="X40" s="32">
        <f>X39*Parametre!AB59</f>
        <v>1905211.1190933334</v>
      </c>
      <c r="Y40" s="32">
        <f>Y39*Parametre!AC59</f>
        <v>1924263.2302842666</v>
      </c>
      <c r="Z40" s="32">
        <f>Z39*Parametre!AD59</f>
        <v>1943505.8625871094</v>
      </c>
      <c r="AA40" s="32">
        <f>AA39*Parametre!AE59</f>
        <v>1962940.9212129808</v>
      </c>
      <c r="AB40" s="32">
        <f>AB39*Parametre!AF59</f>
        <v>1982570.3304251104</v>
      </c>
      <c r="AC40" s="32">
        <f>AC39*Parametre!AG59</f>
        <v>2002396.0337293611</v>
      </c>
      <c r="AD40" s="32">
        <f>AD39*Parametre!AH59</f>
        <v>2022419.9940666549</v>
      </c>
      <c r="AE40" s="32">
        <f>AE39*Parametre!AI59</f>
        <v>2042644.1940073215</v>
      </c>
      <c r="AF40" s="32">
        <f>AF39*Parametre!AJ59</f>
        <v>2063070.6359473947</v>
      </c>
      <c r="AG40" s="32">
        <f>AG39*Parametre!AK59</f>
        <v>2083701.3423068691</v>
      </c>
    </row>
    <row r="41" spans="1:33" x14ac:dyDescent="0.2">
      <c r="C41" s="137"/>
    </row>
  </sheetData>
  <phoneticPr fontId="14" type="noConversion"/>
  <pageMargins left="0.7" right="0.7" top="0.75" bottom="0.75" header="0.3" footer="0.3"/>
  <pageSetup paperSize="9" scale="24" orientation="landscape" r:id="rId1"/>
  <headerFooter>
    <oddHeader xml:space="preserve">&amp;CŽSR, dopravný uzol Bratislava - štúdia realizovateľnosti </oddHeader>
    <oddFooter xml:space="preserve">&amp;CŠtúdia realizovateľnosti - Ocenenie času
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24"/>
  <sheetViews>
    <sheetView zoomScale="85" zoomScaleNormal="85" workbookViewId="0">
      <pane xSplit="1" topLeftCell="B1" activePane="topRight" state="frozen"/>
      <selection pane="topRight" activeCell="C19" sqref="C19"/>
    </sheetView>
  </sheetViews>
  <sheetFormatPr defaultColWidth="4.140625" defaultRowHeight="14.25" x14ac:dyDescent="0.2"/>
  <cols>
    <col min="1" max="1" width="44.5703125" style="1" bestFit="1" customWidth="1"/>
    <col min="2" max="2" width="18.7109375" style="30" customWidth="1"/>
    <col min="3" max="3" width="18.7109375" style="125" customWidth="1"/>
    <col min="4" max="33" width="15.7109375" style="30" customWidth="1"/>
    <col min="34" max="43" width="15.7109375" style="1" customWidth="1"/>
    <col min="44" max="16384" width="4.140625" style="1"/>
  </cols>
  <sheetData>
    <row r="2" spans="1:33" ht="15.75" x14ac:dyDescent="0.25">
      <c r="A2" s="2" t="s">
        <v>45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486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273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89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272</v>
      </c>
      <c r="B11" s="32">
        <f t="shared" ref="B11:B16" si="2">SUM(D11:AG11)</f>
        <v>111334553.43999998</v>
      </c>
      <c r="C11" s="135">
        <f>NPV(Parametre!B$10,D11:AG11)</f>
        <v>45086639.272628963</v>
      </c>
      <c r="D11" s="32">
        <f>(Doprava!B186+Doprava!D20)*Parametre!$C$84</f>
        <v>0</v>
      </c>
      <c r="E11" s="32">
        <f>(Doprava!C186+Doprava!E20)*Parametre!$C$84</f>
        <v>0</v>
      </c>
      <c r="F11" s="32">
        <f>(Doprava!D186+Doprava!F20)*Parametre!$C$84</f>
        <v>0</v>
      </c>
      <c r="G11" s="32">
        <f>(Doprava!E186+Doprava!G20)*Parametre!$C$84</f>
        <v>0</v>
      </c>
      <c r="H11" s="32">
        <f>(Doprava!F186+Doprava!H20)*Parametre!$C$84</f>
        <v>0</v>
      </c>
      <c r="I11" s="32">
        <f>(Doprava!G186+Doprava!I20)*Parametre!$C$84</f>
        <v>0</v>
      </c>
      <c r="J11" s="32">
        <f>(Doprava!H186+Doprava!J20)*Parametre!$C$84</f>
        <v>0</v>
      </c>
      <c r="K11" s="32">
        <f>(Doprava!I186+Doprava!K20)*Parametre!$C$84</f>
        <v>0</v>
      </c>
      <c r="L11" s="32">
        <f>(Doprava!J186+Doprava!L20)*Parametre!$C$84</f>
        <v>5060661.5200000005</v>
      </c>
      <c r="M11" s="32">
        <f>(Doprava!K186+Doprava!M20)*Parametre!$C$84</f>
        <v>5060661.5200000005</v>
      </c>
      <c r="N11" s="32">
        <f>(Doprava!L186+Doprava!N20)*Parametre!$C$84</f>
        <v>5060661.5200000005</v>
      </c>
      <c r="O11" s="32">
        <f>(Doprava!M186+Doprava!O20)*Parametre!$C$84</f>
        <v>5060661.5200000005</v>
      </c>
      <c r="P11" s="32">
        <f>(Doprava!N186+Doprava!P20)*Parametre!$C$84</f>
        <v>5060661.5200000005</v>
      </c>
      <c r="Q11" s="32">
        <f>(Doprava!O186+Doprava!Q20)*Parametre!$C$84</f>
        <v>5060661.5200000005</v>
      </c>
      <c r="R11" s="32">
        <f>(Doprava!P186+Doprava!R20)*Parametre!$C$84</f>
        <v>5060661.5200000005</v>
      </c>
      <c r="S11" s="32">
        <f>(Doprava!Q186+Doprava!S20)*Parametre!$C$84</f>
        <v>5060661.5200000005</v>
      </c>
      <c r="T11" s="32">
        <f>(Doprava!R186+Doprava!T20)*Parametre!$C$84</f>
        <v>5060661.5200000005</v>
      </c>
      <c r="U11" s="32">
        <f>(Doprava!S186+Doprava!U20)*Parametre!$C$84</f>
        <v>5060661.5200000005</v>
      </c>
      <c r="V11" s="32">
        <f>(Doprava!T186+Doprava!V20)*Parametre!$C$84</f>
        <v>5060661.5200000005</v>
      </c>
      <c r="W11" s="32">
        <f>(Doprava!U186+Doprava!W20)*Parametre!$C$84</f>
        <v>5060661.5200000005</v>
      </c>
      <c r="X11" s="32">
        <f>(Doprava!V186+Doprava!X20)*Parametre!$C$84</f>
        <v>5060661.5200000005</v>
      </c>
      <c r="Y11" s="32">
        <f>(Doprava!W186+Doprava!Y20)*Parametre!$C$84</f>
        <v>5060661.5200000005</v>
      </c>
      <c r="Z11" s="32">
        <f>(Doprava!X186+Doprava!Z20)*Parametre!$C$84</f>
        <v>5060661.5200000005</v>
      </c>
      <c r="AA11" s="32">
        <f>(Doprava!Y186+Doprava!AA20)*Parametre!$C$84</f>
        <v>5060661.5200000005</v>
      </c>
      <c r="AB11" s="32">
        <f>(Doprava!Z186+Doprava!AB20)*Parametre!$C$84</f>
        <v>5060661.5200000005</v>
      </c>
      <c r="AC11" s="32">
        <f>(Doprava!AA186+Doprava!AC20)*Parametre!$C$84</f>
        <v>5060661.5200000005</v>
      </c>
      <c r="AD11" s="32">
        <f>(Doprava!AB186+Doprava!AD20)*Parametre!$C$84</f>
        <v>5060661.5200000005</v>
      </c>
      <c r="AE11" s="32">
        <f>(Doprava!AC186+Doprava!AE20)*Parametre!$C$84</f>
        <v>5060661.5200000005</v>
      </c>
      <c r="AF11" s="32">
        <f>(Doprava!AD186+Doprava!AF20)*Parametre!$C$84</f>
        <v>5060661.5200000005</v>
      </c>
      <c r="AG11" s="32">
        <f>(Doprava!AE186+Doprava!AG20)*Parametre!$C$84</f>
        <v>5060661.5200000005</v>
      </c>
    </row>
    <row r="12" spans="1:33" x14ac:dyDescent="0.2">
      <c r="A12" s="7" t="s">
        <v>517</v>
      </c>
      <c r="B12" s="32">
        <f t="shared" si="2"/>
        <v>-9648046.9458833393</v>
      </c>
      <c r="C12" s="135">
        <f>NPV(Parametre!B$10,D12:AG12)</f>
        <v>-4203665.3651912753</v>
      </c>
      <c r="D12" s="32">
        <f>(Doprava!D21-Doprava!D13)*Parametre!C87+(Doprava!D22-Doprava!D14)*Parametre!C88</f>
        <v>0</v>
      </c>
      <c r="E12" s="32">
        <f>(Doprava!E21-Doprava!E13)*Parametre!C87+(Doprava!E22-Doprava!E14)*Parametre!C88</f>
        <v>0</v>
      </c>
      <c r="F12" s="32">
        <f>(Doprava!F21-Doprava!F13)*Parametre!C87+(Doprava!F22-Doprava!F14)*Parametre!C88</f>
        <v>0</v>
      </c>
      <c r="G12" s="32">
        <f>(Doprava!G21-Doprava!G13)*Parametre!C87+(Doprava!G22-Doprava!G14)*Parametre!C88</f>
        <v>0</v>
      </c>
      <c r="H12" s="32">
        <f>(Doprava!H21-Doprava!H13)*Parametre!C87+(Doprava!H22-Doprava!H14)*Parametre!C88</f>
        <v>-291709.42789653956</v>
      </c>
      <c r="I12" s="32">
        <f>(Doprava!I21-Doprava!I13)*Parametre!C87+(Doprava!I22-Doprava!I14)*Parametre!C88</f>
        <v>-298652.37627090979</v>
      </c>
      <c r="J12" s="32">
        <f>(Doprava!J21-Doprava!J13)*Parametre!C87+(Doprava!J22-Doprava!J14)*Parametre!C88</f>
        <v>-305595.32464528002</v>
      </c>
      <c r="K12" s="32">
        <f>(Doprava!K21-Doprava!K13)*Parametre!C87+(Doprava!K22-Doprava!K14)*Parametre!C88</f>
        <v>-312538.27301964944</v>
      </c>
      <c r="L12" s="32">
        <f>(Doprava!L21-Doprava!L13)*Parametre!C87+(Doprava!L22-Doprava!L14)*Parametre!C88</f>
        <v>-319481.22139402048</v>
      </c>
      <c r="M12" s="32">
        <f>(Doprava!M21-Doprava!M13)*Parametre!C87+(Doprava!M22-Doprava!M14)*Parametre!C88</f>
        <v>-326424.1697683899</v>
      </c>
      <c r="N12" s="32">
        <f>(Doprava!N21-Doprava!N13)*Parametre!C87+(Doprava!N22-Doprava!N14)*Parametre!C88</f>
        <v>-333367.11814276013</v>
      </c>
      <c r="O12" s="32">
        <f>(Doprava!O21-Doprava!O13)*Parametre!C87+(Doprava!O22-Doprava!O14)*Parametre!C88</f>
        <v>-340310.06651712954</v>
      </c>
      <c r="P12" s="32">
        <f>(Doprava!P21-Doprava!P13)*Parametre!C87+(Doprava!P22-Doprava!P14)*Parametre!C88</f>
        <v>-347253.01489150058</v>
      </c>
      <c r="Q12" s="32">
        <f>(Doprava!Q21-Doprava!Q13)*Parametre!C87+(Doprava!Q22-Doprava!Q14)*Parametre!C88</f>
        <v>-354195.96326587</v>
      </c>
      <c r="R12" s="32">
        <f>(Doprava!R21-Doprava!R13)*Parametre!C87+(Doprava!R22-Doprava!R14)*Parametre!C88</f>
        <v>-361138.91164024023</v>
      </c>
      <c r="S12" s="32">
        <f>(Doprava!S21-Doprava!S13)*Parametre!C87+(Doprava!S22-Doprava!S14)*Parametre!C88</f>
        <v>-368081.86001461127</v>
      </c>
      <c r="T12" s="32">
        <f>(Doprava!T21-Doprava!T13)*Parametre!C87+(Doprava!T22-Doprava!T14)*Parametre!C88</f>
        <v>-375024.80838898069</v>
      </c>
      <c r="U12" s="32">
        <f>(Doprava!U21-Doprava!U13)*Parametre!C87+(Doprava!U22-Doprava!U14)*Parametre!C88</f>
        <v>-381967.75676335092</v>
      </c>
      <c r="V12" s="32">
        <f>(Doprava!V21-Doprava!V13)*Parametre!C87+(Doprava!V22-Doprava!V14)*Parametre!C88</f>
        <v>-388906.40500000003</v>
      </c>
      <c r="W12" s="32">
        <f>(Doprava!W21-Doprava!W13)*Parametre!C87+(Doprava!W22-Doprava!W14)*Parametre!C88</f>
        <v>-392795.46905000071</v>
      </c>
      <c r="X12" s="32">
        <f>(Doprava!X21-Doprava!X13)*Parametre!C87+(Doprava!X22-Doprava!X14)*Parametre!C88</f>
        <v>-396723.42374050093</v>
      </c>
      <c r="Y12" s="32">
        <f>(Doprava!Y21-Doprava!Y13)*Parametre!C87+(Doprava!Y22-Doprava!Y14)*Parametre!C88</f>
        <v>-400690.65797790559</v>
      </c>
      <c r="Z12" s="32">
        <f>(Doprava!Z21-Doprava!Z13)*Parametre!C87+(Doprava!Z22-Doprava!Z14)*Parametre!C88</f>
        <v>-404697.564557684</v>
      </c>
      <c r="AA12" s="32">
        <f>(Doprava!AA21-Doprava!AA13)*Parametre!C87+(Doprava!AA22-Doprava!AA14)*Parametre!C88</f>
        <v>-408744.54020326125</v>
      </c>
      <c r="AB12" s="32">
        <f>(Doprava!AB21-Doprava!AB13)*Parametre!C87+(Doprava!AB22-Doprava!AB14)*Parametre!C88</f>
        <v>-412831.98560529359</v>
      </c>
      <c r="AC12" s="32">
        <f>(Doprava!AC21-Doprava!AC13)*Parametre!C87+(Doprava!AC22-Doprava!AC14)*Parametre!C88</f>
        <v>-416960.30546134623</v>
      </c>
      <c r="AD12" s="32">
        <f>(Doprava!AD21-Doprava!AD13)*Parametre!C87+(Doprava!AD22-Doprava!AD14)*Parametre!C88</f>
        <v>-421129.90851596073</v>
      </c>
      <c r="AE12" s="32">
        <f>(Doprava!AE21-Doprava!AE13)*Parametre!C87+(Doprava!AE22-Doprava!AE14)*Parametre!C88</f>
        <v>-425341.20760112052</v>
      </c>
      <c r="AF12" s="32">
        <f>(Doprava!AF21-Doprava!AF13)*Parametre!C87+(Doprava!AF22-Doprava!AF14)*Parametre!C88</f>
        <v>-429594.61967713095</v>
      </c>
      <c r="AG12" s="32">
        <f>(Doprava!AG21-Doprava!AG13)*Parametre!C87+(Doprava!AG22-Doprava!AG14)*Parametre!C88</f>
        <v>-433890.56587390165</v>
      </c>
    </row>
    <row r="13" spans="1:33" x14ac:dyDescent="0.2">
      <c r="A13" s="7" t="s">
        <v>518</v>
      </c>
      <c r="B13" s="32">
        <f t="shared" ref="B13" si="3">SUM(D13:AG13)</f>
        <v>-109221541.36857446</v>
      </c>
      <c r="C13" s="135">
        <f>NPV(Parametre!B$10,D13:AG13)</f>
        <v>-47587953.619958915</v>
      </c>
      <c r="D13" s="32">
        <f>-1*'Vstupné dáta'!B69*Parametre!H60</f>
        <v>0</v>
      </c>
      <c r="E13" s="32">
        <f>-1*'Vstupné dáta'!C69*Parametre!I60</f>
        <v>0</v>
      </c>
      <c r="F13" s="32">
        <f>-1*'Vstupné dáta'!D69*Parametre!J60</f>
        <v>0</v>
      </c>
      <c r="G13" s="32">
        <f>-1*'Vstupné dáta'!E69*Parametre!K60</f>
        <v>0</v>
      </c>
      <c r="H13" s="32">
        <f>-1*'Vstupné dáta'!F69*Parametre!L60</f>
        <v>-3302321.5501868585</v>
      </c>
      <c r="I13" s="32">
        <f>-1*'Vstupné dáta'!G69*Parametre!M60</f>
        <v>-3380919.7916075964</v>
      </c>
      <c r="J13" s="32">
        <f>-1*'Vstupné dáta'!H69*Parametre!N60</f>
        <v>-3459518.033028333</v>
      </c>
      <c r="K13" s="32">
        <f>-1*'Vstupné dáta'!I69*Parametre!O60</f>
        <v>-3538116.27444907</v>
      </c>
      <c r="L13" s="32">
        <f>-1*'Vstupné dáta'!J69*Parametre!P60</f>
        <v>-3616714.5158698065</v>
      </c>
      <c r="M13" s="32">
        <f>-1*'Vstupné dáta'!K69*Parametre!Q60</f>
        <v>-3695312.7572905435</v>
      </c>
      <c r="N13" s="32">
        <f>-1*'Vstupné dáta'!L69*Parametre!R60</f>
        <v>-3773910.9987112805</v>
      </c>
      <c r="O13" s="32">
        <f>-1*'Vstupné dáta'!M69*Parametre!S60</f>
        <v>-3852509.2401320171</v>
      </c>
      <c r="P13" s="32">
        <f>-1*'Vstupné dáta'!N69*Parametre!T60</f>
        <v>-3931107.4815527536</v>
      </c>
      <c r="Q13" s="32">
        <f>-1*'Vstupné dáta'!O69*Parametre!U60</f>
        <v>-4009705.7229734911</v>
      </c>
      <c r="R13" s="32">
        <f>-1*'Vstupné dáta'!P69*Parametre!V60</f>
        <v>-4088303.964394229</v>
      </c>
      <c r="S13" s="32">
        <f>-1*'Vstupné dáta'!Q69*Parametre!W60</f>
        <v>-4166902.2058149655</v>
      </c>
      <c r="T13" s="32">
        <f>-1*'Vstupné dáta'!R69*Parametre!X60</f>
        <v>-4245500.4472357035</v>
      </c>
      <c r="U13" s="32">
        <f>-1*'Vstupné dáta'!S69*Parametre!Y60</f>
        <v>-4324098.68865644</v>
      </c>
      <c r="V13" s="32">
        <f>-1*'Vstupné dáta'!T69*Parametre!Z60</f>
        <v>-4402648.2499999991</v>
      </c>
      <c r="W13" s="32">
        <f>-1*'Vstupné dáta'!U69*Parametre!AA60</f>
        <v>-4446674.732499999</v>
      </c>
      <c r="X13" s="32">
        <f>-1*'Vstupné dáta'!V69*Parametre!AB60</f>
        <v>-4491141.4798249993</v>
      </c>
      <c r="Y13" s="32">
        <f>-1*'Vstupné dáta'!W69*Parametre!AC60</f>
        <v>-4536052.8946232498</v>
      </c>
      <c r="Z13" s="32">
        <f>-1*'Vstupné dáta'!X69*Parametre!AD60</f>
        <v>-4581413.4235694828</v>
      </c>
      <c r="AA13" s="32">
        <f>-1*'Vstupné dáta'!Y69*Parametre!AE60</f>
        <v>-4627227.5578051778</v>
      </c>
      <c r="AB13" s="32">
        <f>-1*'Vstupné dáta'!Z69*Parametre!AF60</f>
        <v>-4673499.8333832296</v>
      </c>
      <c r="AC13" s="32">
        <f>-1*'Vstupné dáta'!AA69*Parametre!AG60</f>
        <v>-4720234.8317170609</v>
      </c>
      <c r="AD13" s="32">
        <f>-1*'Vstupné dáta'!AB69*Parametre!AH60</f>
        <v>-4767437.1800342323</v>
      </c>
      <c r="AE13" s="32">
        <f>-1*'Vstupné dáta'!AC69*Parametre!AI60</f>
        <v>-4815111.551834574</v>
      </c>
      <c r="AF13" s="32">
        <f>-1*'Vstupné dáta'!AD69*Parametre!AJ60</f>
        <v>-4863262.6673529204</v>
      </c>
      <c r="AG13" s="32">
        <f>-1*'Vstupné dáta'!AE69*Parametre!AK60</f>
        <v>-4911895.2940264493</v>
      </c>
    </row>
    <row r="14" spans="1:33" x14ac:dyDescent="0.2">
      <c r="A14" s="7" t="s">
        <v>48</v>
      </c>
      <c r="B14" s="32">
        <f t="shared" si="2"/>
        <v>-86305382.838228688</v>
      </c>
      <c r="C14" s="135">
        <f>NPV(Parametre!B$10,D14:AG14)</f>
        <v>-37423439.644020006</v>
      </c>
      <c r="D14" s="32">
        <f>Doprava!B183*Parametre!$C$86</f>
        <v>0</v>
      </c>
      <c r="E14" s="32">
        <f>Doprava!C183*Parametre!$C$86</f>
        <v>0</v>
      </c>
      <c r="F14" s="32">
        <f>Doprava!D183*Parametre!$C$86</f>
        <v>-1289536.1011000001</v>
      </c>
      <c r="G14" s="32">
        <f>Doprava!E183*Parametre!$C$86</f>
        <v>-1310371</v>
      </c>
      <c r="H14" s="32">
        <f>Doprava!F183*Parametre!$C$86</f>
        <v>-1330157.6020999998</v>
      </c>
      <c r="I14" s="32">
        <f>Doprava!G183*Parametre!$C$86</f>
        <v>-1350242.9818917096</v>
      </c>
      <c r="J14" s="32">
        <f>Doprava!H183*Parametre!$C$86</f>
        <v>-1370631.6509182742</v>
      </c>
      <c r="K14" s="32">
        <f>Doprava!I183*Parametre!$C$86</f>
        <v>-1391328.1888471402</v>
      </c>
      <c r="L14" s="32">
        <f>Doprava!J183*Parametre!$C$86</f>
        <v>-3246551.6</v>
      </c>
      <c r="M14" s="32">
        <f>Doprava!K183*Parametre!$C$86</f>
        <v>-3280965.0469599999</v>
      </c>
      <c r="N14" s="32">
        <f>Doprava!L183*Parametre!$C$86</f>
        <v>-3315743.2764577758</v>
      </c>
      <c r="O14" s="32">
        <f>Doprava!M183*Parametre!$C$86</f>
        <v>-3350890.155188228</v>
      </c>
      <c r="P14" s="32">
        <f>Doprava!N183*Parametre!$C$86</f>
        <v>-3386409.590833223</v>
      </c>
      <c r="Q14" s="32">
        <f>Doprava!O183*Parametre!$C$86</f>
        <v>-3422305.5324960547</v>
      </c>
      <c r="R14" s="32">
        <f>Doprava!P183*Parametre!$C$86</f>
        <v>-3458581.9711405132</v>
      </c>
      <c r="S14" s="32">
        <f>Doprava!Q183*Parametre!$C$86</f>
        <v>-3498708.4396317098</v>
      </c>
      <c r="T14" s="32">
        <f>Doprava!R183*Parametre!$C$86</f>
        <v>-3536192.0756334239</v>
      </c>
      <c r="U14" s="32">
        <f>Doprava!S183*Parametre!$C$86</f>
        <v>-3574077.2949599996</v>
      </c>
      <c r="V14" s="32">
        <f>Doprava!T183*Parametre!$C$86</f>
        <v>-3612368.4000000004</v>
      </c>
      <c r="W14" s="32">
        <f>Doprava!U183*Parametre!$C$86</f>
        <v>-3625011.6894000005</v>
      </c>
      <c r="X14" s="32">
        <f>Doprava!V183*Parametre!$C$86</f>
        <v>-3637699.2303129006</v>
      </c>
      <c r="Y14" s="32">
        <f>Doprava!W183*Parametre!$C$86</f>
        <v>-3650431.1776189953</v>
      </c>
      <c r="Z14" s="32">
        <f>Doprava!X183*Parametre!$C$86</f>
        <v>-3663207.6867406624</v>
      </c>
      <c r="AA14" s="32">
        <f>Doprava!Y183*Parametre!$C$86</f>
        <v>-3676028.9136442551</v>
      </c>
      <c r="AB14" s="32">
        <f>Doprava!Z183*Parametre!$C$86</f>
        <v>-3688895.0148420106</v>
      </c>
      <c r="AC14" s="32">
        <f>Doprava!AA183*Parametre!$C$86</f>
        <v>-3701806.1473939577</v>
      </c>
      <c r="AD14" s="32">
        <f>Doprava!AB183*Parametre!$C$86</f>
        <v>-3714762.4689098368</v>
      </c>
      <c r="AE14" s="32">
        <f>Doprava!AC183*Parametre!$C$86</f>
        <v>-3727764.1375510218</v>
      </c>
      <c r="AF14" s="32">
        <f>Doprava!AD183*Parametre!$C$86</f>
        <v>-3740811.3120324509</v>
      </c>
      <c r="AG14" s="32">
        <f>Doprava!AE183*Parametre!$C$86</f>
        <v>-3753904.151624565</v>
      </c>
    </row>
    <row r="15" spans="1:33" x14ac:dyDescent="0.2">
      <c r="A15" s="7" t="s">
        <v>47</v>
      </c>
      <c r="B15" s="32">
        <f t="shared" si="2"/>
        <v>-13034121.816751996</v>
      </c>
      <c r="C15" s="135">
        <f>NPV(Parametre!B$10,D15:AG15)</f>
        <v>-5376920.7848727405</v>
      </c>
      <c r="D15" s="32">
        <f>Doprava!B184*Parametre!$C$85</f>
        <v>0</v>
      </c>
      <c r="E15" s="32">
        <f>Doprava!C184*Parametre!$C$85</f>
        <v>0</v>
      </c>
      <c r="F15" s="32">
        <f>Doprava!D184*Parametre!$C$85</f>
        <v>-68895.699443999998</v>
      </c>
      <c r="G15" s="32">
        <f>Doprava!E184*Parametre!$C$85</f>
        <v>-70008.84</v>
      </c>
      <c r="H15" s="32">
        <f>Doprava!F184*Parametre!$C$85</f>
        <v>-71065.973484000002</v>
      </c>
      <c r="I15" s="32">
        <f>Doprava!G184*Parametre!$C$85</f>
        <v>-72139.069683608381</v>
      </c>
      <c r="J15" s="32">
        <f>Doprava!H184*Parametre!$C$85</f>
        <v>-73228.369635830866</v>
      </c>
      <c r="K15" s="32">
        <f>Doprava!I184*Parametre!$C$85</f>
        <v>-74334.118017331915</v>
      </c>
      <c r="L15" s="32">
        <f>Doprava!J184*Parametre!$C$85</f>
        <v>-530491.5</v>
      </c>
      <c r="M15" s="32">
        <f>Doprava!K184*Parametre!$C$85</f>
        <v>-536114.7098999999</v>
      </c>
      <c r="N15" s="32">
        <f>Doprava!L184*Parametre!$C$85</f>
        <v>-541797.52582493995</v>
      </c>
      <c r="O15" s="32">
        <f>Doprava!M184*Parametre!$C$85</f>
        <v>-547540.57959868433</v>
      </c>
      <c r="P15" s="32">
        <f>Doprava!N184*Parametre!$C$85</f>
        <v>-553344.50974243029</v>
      </c>
      <c r="Q15" s="32">
        <f>Doprava!O184*Parametre!$C$85</f>
        <v>-559209.96154569997</v>
      </c>
      <c r="R15" s="32">
        <f>Doprava!P184*Parametre!$C$85</f>
        <v>-565137.58713808446</v>
      </c>
      <c r="S15" s="32">
        <f>Doprava!Q184*Parametre!$C$85</f>
        <v>-559955.92490125482</v>
      </c>
      <c r="T15" s="32">
        <f>Doprava!R184*Parametre!$C$85</f>
        <v>-565955.04841444793</v>
      </c>
      <c r="U15" s="32">
        <f>Doprava!S184*Parametre!$C$85</f>
        <v>-572018.44391999999</v>
      </c>
      <c r="V15" s="32">
        <f>Doprava!T184*Parametre!$C$85</f>
        <v>-578146.80000000005</v>
      </c>
      <c r="W15" s="32">
        <f>Doprava!U184*Parametre!$C$85</f>
        <v>-580170.3138</v>
      </c>
      <c r="X15" s="32">
        <f>Doprava!V184*Parametre!$C$85</f>
        <v>-582200.90989830007</v>
      </c>
      <c r="Y15" s="32">
        <f>Doprava!W184*Parametre!$C$85</f>
        <v>-584238.61308294418</v>
      </c>
      <c r="Z15" s="32">
        <f>Doprava!X184*Parametre!$C$85</f>
        <v>-586283.44822873455</v>
      </c>
      <c r="AA15" s="32">
        <f>Doprava!Y184*Parametre!$C$85</f>
        <v>-588335.44029753515</v>
      </c>
      <c r="AB15" s="32">
        <f>Doprava!Z184*Parametre!$C$85</f>
        <v>-590394.61433857656</v>
      </c>
      <c r="AC15" s="32">
        <f>Doprava!AA184*Parametre!$C$85</f>
        <v>-592460.99548876157</v>
      </c>
      <c r="AD15" s="32">
        <f>Doprava!AB184*Parametre!$C$85</f>
        <v>-594534.60897297238</v>
      </c>
      <c r="AE15" s="32">
        <f>Doprava!AC184*Parametre!$C$85</f>
        <v>-596615.48010437784</v>
      </c>
      <c r="AF15" s="32">
        <f>Doprava!AD184*Parametre!$C$85</f>
        <v>-598703.63428474311</v>
      </c>
      <c r="AG15" s="32">
        <f>Doprava!AE184*Parametre!$C$85</f>
        <v>-600799.0970047398</v>
      </c>
    </row>
    <row r="16" spans="1:33" x14ac:dyDescent="0.2">
      <c r="A16" s="7" t="s">
        <v>15</v>
      </c>
      <c r="B16" s="32">
        <f t="shared" si="2"/>
        <v>-106874539.5294385</v>
      </c>
      <c r="C16" s="135">
        <f>NPV(Parametre!B$10,D16:AG16)</f>
        <v>-49505340.141413949</v>
      </c>
      <c r="D16" s="32">
        <f t="shared" ref="D16:F16" si="4">SUM(D11:D15)</f>
        <v>0</v>
      </c>
      <c r="E16" s="32">
        <f t="shared" si="4"/>
        <v>0</v>
      </c>
      <c r="F16" s="32">
        <f t="shared" si="4"/>
        <v>-1358431.800544</v>
      </c>
      <c r="G16" s="32">
        <f t="shared" ref="G16:AG16" si="5">SUM(G11:G15)</f>
        <v>-1380379.84</v>
      </c>
      <c r="H16" s="32">
        <f t="shared" si="5"/>
        <v>-4995254.5536673982</v>
      </c>
      <c r="I16" s="32">
        <f t="shared" si="5"/>
        <v>-5101954.2194538247</v>
      </c>
      <c r="J16" s="32">
        <f t="shared" si="5"/>
        <v>-5208973.3782277172</v>
      </c>
      <c r="K16" s="32">
        <f t="shared" si="5"/>
        <v>-5316316.8543331912</v>
      </c>
      <c r="L16" s="32">
        <f t="shared" si="5"/>
        <v>-2652577.3172638263</v>
      </c>
      <c r="M16" s="32">
        <f t="shared" si="5"/>
        <v>-2778155.1639189329</v>
      </c>
      <c r="N16" s="32">
        <f t="shared" si="5"/>
        <v>-2904157.3991367561</v>
      </c>
      <c r="O16" s="32">
        <f t="shared" si="5"/>
        <v>-3030588.5214360585</v>
      </c>
      <c r="P16" s="32">
        <f t="shared" si="5"/>
        <v>-3157453.0770199071</v>
      </c>
      <c r="Q16" s="32">
        <f t="shared" si="5"/>
        <v>-3284755.6602811152</v>
      </c>
      <c r="R16" s="32">
        <f t="shared" si="5"/>
        <v>-3412500.9143130658</v>
      </c>
      <c r="S16" s="32">
        <f t="shared" si="5"/>
        <v>-3532986.9103625407</v>
      </c>
      <c r="T16" s="32">
        <f t="shared" si="5"/>
        <v>-3662010.8596725557</v>
      </c>
      <c r="U16" s="32">
        <f t="shared" si="5"/>
        <v>-3791500.6642997903</v>
      </c>
      <c r="V16" s="32">
        <f t="shared" si="5"/>
        <v>-3921408.334999999</v>
      </c>
      <c r="W16" s="32">
        <f t="shared" si="5"/>
        <v>-3983990.6847499995</v>
      </c>
      <c r="X16" s="32">
        <f t="shared" si="5"/>
        <v>-4047103.5237767003</v>
      </c>
      <c r="Y16" s="32">
        <f t="shared" si="5"/>
        <v>-4110751.8233030951</v>
      </c>
      <c r="Z16" s="32">
        <f t="shared" si="5"/>
        <v>-4174940.6030965629</v>
      </c>
      <c r="AA16" s="32">
        <f t="shared" si="5"/>
        <v>-4239674.9319502283</v>
      </c>
      <c r="AB16" s="32">
        <f t="shared" si="5"/>
        <v>-4304959.9281691099</v>
      </c>
      <c r="AC16" s="32">
        <f t="shared" si="5"/>
        <v>-4370800.7600611262</v>
      </c>
      <c r="AD16" s="32">
        <f t="shared" si="5"/>
        <v>-4437202.6464330023</v>
      </c>
      <c r="AE16" s="32">
        <f t="shared" si="5"/>
        <v>-4504170.8570910934</v>
      </c>
      <c r="AF16" s="32">
        <f t="shared" si="5"/>
        <v>-4571710.713347245</v>
      </c>
      <c r="AG16" s="32">
        <f t="shared" si="5"/>
        <v>-4639827.5885296548</v>
      </c>
    </row>
    <row r="17" spans="1:33" x14ac:dyDescent="0.2">
      <c r="C17" s="127"/>
    </row>
    <row r="18" spans="1:33" x14ac:dyDescent="0.2">
      <c r="A18" s="26" t="s">
        <v>274</v>
      </c>
      <c r="L18" s="51"/>
    </row>
    <row r="19" spans="1:33" x14ac:dyDescent="0.2">
      <c r="A19" s="26" t="s">
        <v>275</v>
      </c>
      <c r="C19" s="328"/>
    </row>
    <row r="20" spans="1:33" x14ac:dyDescent="0.2">
      <c r="A20" s="26"/>
      <c r="B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</row>
    <row r="21" spans="1:33" customFormat="1" ht="15" x14ac:dyDescent="0.25">
      <c r="C21" s="138"/>
    </row>
    <row r="22" spans="1:33" customFormat="1" ht="15" x14ac:dyDescent="0.25">
      <c r="C22" s="138"/>
    </row>
    <row r="23" spans="1:33" customFormat="1" ht="15" x14ac:dyDescent="0.25">
      <c r="C23" s="138"/>
    </row>
    <row r="24" spans="1:33" customFormat="1" ht="15" x14ac:dyDescent="0.25">
      <c r="C24" s="138"/>
    </row>
  </sheetData>
  <phoneticPr fontId="14" type="noConversion"/>
  <pageMargins left="0.7" right="0.7" top="0.75" bottom="0.75" header="0.3" footer="0.3"/>
  <pageSetup paperSize="9" scale="23" orientation="landscape" r:id="rId1"/>
  <headerFooter>
    <oddHeader xml:space="preserve">&amp;CŽSR, dopravný uzol Bratislava - štúdia realizovateľnosti </oddHeader>
    <oddFooter xml:space="preserve">&amp;CŠtúdia realizovateľnosti - Prevádzkové náklady vozidiel
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G17"/>
  <sheetViews>
    <sheetView zoomScale="85" zoomScaleNormal="85" workbookViewId="0">
      <pane xSplit="1" topLeftCell="B1" activePane="topRight" state="frozen"/>
      <selection pane="topRight" activeCell="F13" sqref="F13"/>
    </sheetView>
  </sheetViews>
  <sheetFormatPr defaultColWidth="6.140625" defaultRowHeight="14.25" x14ac:dyDescent="0.2"/>
  <cols>
    <col min="1" max="1" width="30.7109375" style="1" customWidth="1"/>
    <col min="2" max="2" width="15.7109375" style="30" customWidth="1"/>
    <col min="3" max="3" width="15.7109375" style="125" customWidth="1"/>
    <col min="4" max="33" width="15.7109375" style="30" customWidth="1"/>
    <col min="34" max="43" width="15.7109375" style="1" customWidth="1"/>
    <col min="44" max="16384" width="6.140625" style="1"/>
  </cols>
  <sheetData>
    <row r="2" spans="1:33" ht="15.75" x14ac:dyDescent="0.25">
      <c r="A2" s="2" t="s">
        <v>50</v>
      </c>
    </row>
    <row r="3" spans="1:33" x14ac:dyDescent="0.2">
      <c r="A3" s="1" t="s">
        <v>0</v>
      </c>
    </row>
    <row r="4" spans="1:33" x14ac:dyDescent="0.2">
      <c r="A4" s="3"/>
    </row>
    <row r="5" spans="1:33" x14ac:dyDescent="0.2">
      <c r="A5" s="40" t="s">
        <v>486</v>
      </c>
    </row>
    <row r="6" spans="1:33" x14ac:dyDescent="0.2">
      <c r="A6" s="40"/>
    </row>
    <row r="7" spans="1:33" x14ac:dyDescent="0.2">
      <c r="A7" s="3"/>
    </row>
    <row r="8" spans="1:33" x14ac:dyDescent="0.2">
      <c r="A8" s="3"/>
    </row>
    <row r="9" spans="1:33" x14ac:dyDescent="0.2">
      <c r="A9" s="1" t="s">
        <v>129</v>
      </c>
      <c r="L9" s="1"/>
      <c r="W9" s="1"/>
    </row>
    <row r="10" spans="1:33" x14ac:dyDescent="0.2">
      <c r="A10" s="7" t="s">
        <v>32</v>
      </c>
      <c r="B10" s="17" t="s">
        <v>21</v>
      </c>
      <c r="C10" s="29" t="s">
        <v>89</v>
      </c>
      <c r="D10" s="17">
        <f>Parametre!B12</f>
        <v>2022</v>
      </c>
      <c r="E10" s="17">
        <f>(D10+1)</f>
        <v>2023</v>
      </c>
      <c r="F10" s="17">
        <f t="shared" ref="F10:V10" si="0">(E10+1)</f>
        <v>2024</v>
      </c>
      <c r="G10" s="17">
        <f t="shared" si="0"/>
        <v>2025</v>
      </c>
      <c r="H10" s="17">
        <f t="shared" si="0"/>
        <v>2026</v>
      </c>
      <c r="I10" s="17">
        <f t="shared" si="0"/>
        <v>2027</v>
      </c>
      <c r="J10" s="17">
        <f t="shared" si="0"/>
        <v>2028</v>
      </c>
      <c r="K10" s="17">
        <f t="shared" si="0"/>
        <v>2029</v>
      </c>
      <c r="L10" s="17">
        <f t="shared" si="0"/>
        <v>2030</v>
      </c>
      <c r="M10" s="17">
        <f t="shared" si="0"/>
        <v>2031</v>
      </c>
      <c r="N10" s="17">
        <f t="shared" si="0"/>
        <v>2032</v>
      </c>
      <c r="O10" s="17">
        <f t="shared" si="0"/>
        <v>2033</v>
      </c>
      <c r="P10" s="17">
        <f t="shared" si="0"/>
        <v>2034</v>
      </c>
      <c r="Q10" s="17">
        <f t="shared" si="0"/>
        <v>2035</v>
      </c>
      <c r="R10" s="17">
        <f t="shared" si="0"/>
        <v>2036</v>
      </c>
      <c r="S10" s="17">
        <f t="shared" si="0"/>
        <v>2037</v>
      </c>
      <c r="T10" s="17">
        <f t="shared" si="0"/>
        <v>2038</v>
      </c>
      <c r="U10" s="17">
        <f t="shared" si="0"/>
        <v>2039</v>
      </c>
      <c r="V10" s="17">
        <f t="shared" si="0"/>
        <v>2040</v>
      </c>
      <c r="W10" s="17">
        <f>(V10+1)</f>
        <v>2041</v>
      </c>
      <c r="X10" s="17">
        <f t="shared" ref="X10:AG10" si="1">(W10+1)</f>
        <v>2042</v>
      </c>
      <c r="Y10" s="17">
        <f t="shared" si="1"/>
        <v>2043</v>
      </c>
      <c r="Z10" s="17">
        <f t="shared" si="1"/>
        <v>2044</v>
      </c>
      <c r="AA10" s="17">
        <f t="shared" si="1"/>
        <v>2045</v>
      </c>
      <c r="AB10" s="17">
        <f t="shared" si="1"/>
        <v>2046</v>
      </c>
      <c r="AC10" s="17">
        <f t="shared" si="1"/>
        <v>2047</v>
      </c>
      <c r="AD10" s="17">
        <f t="shared" si="1"/>
        <v>2048</v>
      </c>
      <c r="AE10" s="17">
        <f t="shared" si="1"/>
        <v>2049</v>
      </c>
      <c r="AF10" s="17">
        <f t="shared" si="1"/>
        <v>2050</v>
      </c>
      <c r="AG10" s="17">
        <f t="shared" si="1"/>
        <v>2051</v>
      </c>
    </row>
    <row r="11" spans="1:33" x14ac:dyDescent="0.2">
      <c r="A11" s="7" t="s">
        <v>149</v>
      </c>
      <c r="B11" s="32">
        <f>SUM(D11:AG11)</f>
        <v>1408692.969634363</v>
      </c>
      <c r="C11" s="135">
        <f>NPV(Parametre!B10,D11:AG11)</f>
        <v>582497.92084299622</v>
      </c>
      <c r="D11" s="32">
        <f>Doprava!B179/1000*Parametre!$B$65*Parametre!H40</f>
        <v>0</v>
      </c>
      <c r="E11" s="32">
        <f>Doprava!C179/1000*Parametre!$B$65*Parametre!I40</f>
        <v>0</v>
      </c>
      <c r="F11" s="32">
        <f>Doprava!D179/1000*Parametre!$B$65*Parametre!J40</f>
        <v>10842.741580747375</v>
      </c>
      <c r="G11" s="32">
        <f>Doprava!E179/1000*Parametre!$B$65*Parametre!K40</f>
        <v>11249.303072800598</v>
      </c>
      <c r="H11" s="32">
        <f>Doprava!F179/1000*Parametre!$B$65*Parametre!L40</f>
        <v>11650.976650448647</v>
      </c>
      <c r="I11" s="32">
        <f>Doprava!G179/1000*Parametre!$B$65*Parametre!M40</f>
        <v>12058.713763268679</v>
      </c>
      <c r="J11" s="32">
        <f>Doprava!H179/1000*Parametre!$B$65*Parametre!N40</f>
        <v>12472.151467540712</v>
      </c>
      <c r="K11" s="32">
        <f>Doprava!I179/1000*Parametre!$B$65*Parametre!O40</f>
        <v>12890.901708076126</v>
      </c>
      <c r="L11" s="32">
        <f>Doprava!J179/1000*Parametre!$B$65*Parametre!P40</f>
        <v>50706.986856229458</v>
      </c>
      <c r="M11" s="32">
        <f>Doprava!K179/1000*Parametre!$B$65*Parametre!Q40</f>
        <v>52069.517059667669</v>
      </c>
      <c r="N11" s="32">
        <f>Doprava!L179/1000*Parametre!$B$65*Parametre!R40</f>
        <v>53358.154295667133</v>
      </c>
      <c r="O11" s="32">
        <f>Doprava!M179/1000*Parametre!$B$65*Parametre!S40</f>
        <v>54603.189990414328</v>
      </c>
      <c r="P11" s="32">
        <f>Doprava!N179/1000*Parametre!$B$65*Parametre!T40</f>
        <v>55761.394634258002</v>
      </c>
      <c r="Q11" s="32">
        <f>Doprava!O179/1000*Parametre!$B$65*Parametre!U40</f>
        <v>56865.272852679322</v>
      </c>
      <c r="R11" s="32">
        <f>Doprava!P179/1000*Parametre!$B$65*Parametre!V40</f>
        <v>57950.776320775025</v>
      </c>
      <c r="S11" s="32">
        <f>Doprava!Q179/1000*Parametre!$B$65*Parametre!W40</f>
        <v>59000.838739105064</v>
      </c>
      <c r="T11" s="32">
        <f>Doprava!R179/1000*Parametre!$B$65*Parametre!X40</f>
        <v>60008.635560098483</v>
      </c>
      <c r="U11" s="32">
        <f>Doprava!S179/1000*Parametre!$B$65*Parametre!Y40</f>
        <v>60991.190538947885</v>
      </c>
      <c r="V11" s="32">
        <f>Doprava!T179/1000*Parametre!$B$65*Parametre!Z40</f>
        <v>61946.682203950601</v>
      </c>
      <c r="W11" s="32">
        <f>Doprava!U179/1000*Parametre!$B$65*Parametre!AA40</f>
        <v>62468.096720063579</v>
      </c>
      <c r="X11" s="32">
        <f>Doprava!V179/1000*Parametre!$B$65*Parametre!AB40</f>
        <v>62993.900060370848</v>
      </c>
      <c r="Y11" s="32">
        <f>Doprava!W179/1000*Parametre!$B$65*Parametre!AC40</f>
        <v>63479.879101166604</v>
      </c>
      <c r="Z11" s="32">
        <f>Doprava!X179/1000*Parametre!$B$65*Parametre!AD40</f>
        <v>63969.607324468372</v>
      </c>
      <c r="AA11" s="32">
        <f>Doprava!Y179/1000*Parametre!$B$65*Parametre!AE40</f>
        <v>64463.113654094464</v>
      </c>
      <c r="AB11" s="32">
        <f>Doprava!Z179/1000*Parametre!$B$65*Parametre!AF40</f>
        <v>64960.427237001699</v>
      </c>
      <c r="AC11" s="32">
        <f>Doprava!AA179/1000*Parametre!$B$65*Parametre!AG40</f>
        <v>65461.577445007002</v>
      </c>
      <c r="AD11" s="32">
        <f>Doprava!AB179/1000*Parametre!$B$65*Parametre!AH40</f>
        <v>65920.610391445764</v>
      </c>
      <c r="AE11" s="32">
        <f>Doprava!AC179/1000*Parametre!$B$65*Parametre!AI40</f>
        <v>66382.862191663182</v>
      </c>
      <c r="AF11" s="32">
        <f>Doprava!AD179/1000*Parametre!$B$65*Parametre!AJ40</f>
        <v>66848.35541706669</v>
      </c>
      <c r="AG11" s="32">
        <f>Doprava!AE179/1000*Parametre!$B$65*Parametre!AK40</f>
        <v>67317.112797340014</v>
      </c>
    </row>
    <row r="12" spans="1:33" x14ac:dyDescent="0.2">
      <c r="A12" s="7" t="s">
        <v>46</v>
      </c>
      <c r="B12" s="32">
        <f>SUM(D12:AG12)</f>
        <v>-699828.17730665149</v>
      </c>
      <c r="C12" s="135">
        <f>NPV(Parametre!B10,D12:AG12)</f>
        <v>-298674.80699663964</v>
      </c>
      <c r="D12" s="32">
        <f>Doprava!B180/1000*Parametre!$B$66*Parametre!H40</f>
        <v>0</v>
      </c>
      <c r="E12" s="32">
        <f>Doprava!C180/1000*Parametre!$B$66*Parametre!I40</f>
        <v>0</v>
      </c>
      <c r="F12" s="32">
        <f>Doprava!D180/1000*Parametre!$B$66*Parametre!J40</f>
        <v>0</v>
      </c>
      <c r="G12" s="32">
        <f>Doprava!E180/1000*Parametre!$B$66*Parametre!K40</f>
        <v>0</v>
      </c>
      <c r="H12" s="32">
        <f>Doprava!F180/1000*Parametre!$B$66*Parametre!L40</f>
        <v>-18211.469305172734</v>
      </c>
      <c r="I12" s="32">
        <f>Doprava!G180/1000*Parametre!$B$66*Parametre!M40</f>
        <v>-19010.359163213376</v>
      </c>
      <c r="J12" s="32">
        <f>Doprava!H180/1000*Parametre!$B$66*Parametre!N40</f>
        <v>-19819.952772684926</v>
      </c>
      <c r="K12" s="32">
        <f>Doprava!I180/1000*Parametre!$B$66*Parametre!O40</f>
        <v>-20639.169154781976</v>
      </c>
      <c r="L12" s="32">
        <f>Doprava!J180/1000*Parametre!$B$66*Parametre!P40</f>
        <v>-21466.871488353554</v>
      </c>
      <c r="M12" s="32">
        <f>Doprava!K180/1000*Parametre!$B$66*Parametre!Q40</f>
        <v>-22286.515914339969</v>
      </c>
      <c r="N12" s="32">
        <f>Doprava!L180/1000*Parametre!$B$66*Parametre!R40</f>
        <v>-23079.191321295046</v>
      </c>
      <c r="O12" s="32">
        <f>Doprava!M180/1000*Parametre!$B$66*Parametre!S40</f>
        <v>-23856.709684817957</v>
      </c>
      <c r="P12" s="32">
        <f>Doprava!N180/1000*Parametre!$B$66*Parametre!T40</f>
        <v>-24599.03625518845</v>
      </c>
      <c r="Q12" s="32">
        <f>Doprava!O180/1000*Parametre!$B$66*Parametre!U40</f>
        <v>-25319.19426697044</v>
      </c>
      <c r="R12" s="32">
        <f>Doprava!P180/1000*Parametre!$B$66*Parametre!V40</f>
        <v>-26032.35125764045</v>
      </c>
      <c r="S12" s="32">
        <f>Doprava!Q180/1000*Parametre!$B$66*Parametre!W40</f>
        <v>-26737.129784494755</v>
      </c>
      <c r="T12" s="32">
        <f>Doprava!R180/1000*Parametre!$B$66*Parametre!X40</f>
        <v>-27413.080399667117</v>
      </c>
      <c r="U12" s="32">
        <f>Doprava!S180/1000*Parametre!$B$66*Parametre!Y40</f>
        <v>-28076.942384941518</v>
      </c>
      <c r="V12" s="32">
        <f>Doprava!T180/1000*Parametre!$B$66*Parametre!Z40</f>
        <v>-28727.051211489892</v>
      </c>
      <c r="W12" s="32">
        <f>Doprava!U180/1000*Parametre!$B$66*Parametre!AA40</f>
        <v>-29156.491900050507</v>
      </c>
      <c r="X12" s="32">
        <f>Doprava!V180/1000*Parametre!$B$66*Parametre!AB40</f>
        <v>-29592.352297464371</v>
      </c>
      <c r="Y12" s="32">
        <f>Doprava!W180/1000*Parametre!$B$66*Parametre!AC40</f>
        <v>-30013.806578884829</v>
      </c>
      <c r="Z12" s="32">
        <f>Doprava!X180/1000*Parametre!$B$66*Parametre!AD40</f>
        <v>-30441.263212181264</v>
      </c>
      <c r="AA12" s="32">
        <f>Doprava!Y180/1000*Parametre!$B$66*Parametre!AE40</f>
        <v>-30874.807682849179</v>
      </c>
      <c r="AB12" s="32">
        <f>Doprava!Z180/1000*Parametre!$B$66*Parametre!AF40</f>
        <v>-31314.526693868294</v>
      </c>
      <c r="AC12" s="32">
        <f>Doprava!AA180/1000*Parametre!$B$66*Parametre!AG40</f>
        <v>-31760.508183042344</v>
      </c>
      <c r="AD12" s="32">
        <f>Doprava!AB180/1000*Parametre!$B$66*Parametre!AH40</f>
        <v>-32190.386661299905</v>
      </c>
      <c r="AE12" s="32">
        <f>Doprava!AC180/1000*Parametre!$B$66*Parametre!AI40</f>
        <v>-32626.083544760608</v>
      </c>
      <c r="AF12" s="32">
        <f>Doprava!AD180/1000*Parametre!$B$66*Parametre!AJ40</f>
        <v>-33067.677585538884</v>
      </c>
      <c r="AG12" s="32">
        <f>Doprava!AE180/1000*Parametre!$B$66*Parametre!AK40</f>
        <v>-33515.248601659114</v>
      </c>
    </row>
    <row r="13" spans="1:33" x14ac:dyDescent="0.2">
      <c r="A13" s="7" t="s">
        <v>268</v>
      </c>
      <c r="B13" s="32">
        <f>SUM(D13:AG13)</f>
        <v>-27206680.734986831</v>
      </c>
      <c r="C13" s="135">
        <f>NPV(Parametre!B10,D13:AG13)</f>
        <v>-11531608.43811674</v>
      </c>
      <c r="D13" s="32">
        <f>(Doprava!B176/1000+Doprava!B177/1000)*Parametre!$B$64*Parametre!H40</f>
        <v>0</v>
      </c>
      <c r="E13" s="32">
        <f>(Doprava!C176/1000+Doprava!C177/1000)*Parametre!$B$64*Parametre!I40</f>
        <v>0</v>
      </c>
      <c r="F13" s="32">
        <f>(Doprava!D183/1000+Doprava!D184/1000)*Parametre!$B$64*Parametre!J40</f>
        <v>-325915.73416272714</v>
      </c>
      <c r="G13" s="32">
        <f>(Doprava!E183/1000+Doprava!E184/1000)*Parametre!$B$64*Parametre!K40</f>
        <v>-338136.33226312802</v>
      </c>
      <c r="H13" s="32">
        <f>(Doprava!F183/1000+Doprava!F184/1000)*Parametre!$B$64*Parametre!L40</f>
        <v>-350210.00735517143</v>
      </c>
      <c r="I13" s="32">
        <f>(Doprava!G183/1000+Doprava!G184/1000)*Parametre!$B$64*Parametre!M40</f>
        <v>-362465.94276417256</v>
      </c>
      <c r="J13" s="32">
        <f>(Doprava!H183/1000+Doprava!H184/1000)*Parametre!$B$64*Parametre!N40</f>
        <v>-374893.2289735598</v>
      </c>
      <c r="K13" s="32">
        <f>(Doprava!I183/1000+Doprava!I184/1000)*Parametre!$B$64*Parametre!O40</f>
        <v>-387480.20165556588</v>
      </c>
      <c r="L13" s="32">
        <f>(Doprava!J183/1000+Doprava!J184/1000)*Parametre!$B$64*Parametre!P40</f>
        <v>-950146.74122504971</v>
      </c>
      <c r="M13" s="32">
        <f>(Doprava!K183/1000+Doprava!K184/1000)*Parametre!$B$64*Parametre!Q40</f>
        <v>-975677.81125861581</v>
      </c>
      <c r="N13" s="32">
        <f>(Doprava!L183/1000+Doprava!L184/1000)*Parametre!$B$64*Parametre!R40</f>
        <v>-999824.27600276854</v>
      </c>
      <c r="O13" s="32">
        <f>(Doprava!M183/1000+Doprava!M184/1000)*Parametre!$B$64*Parametre!S40</f>
        <v>-1023153.7357363356</v>
      </c>
      <c r="P13" s="32">
        <f>(Doprava!N183/1000+Doprava!N184/1000)*Parametre!$B$64*Parametre!T40</f>
        <v>-1044856.1565711596</v>
      </c>
      <c r="Q13" s="32">
        <f>(Doprava!O183/1000+Doprava!O184/1000)*Parametre!$B$64*Parametre!U40</f>
        <v>-1065540.6096804743</v>
      </c>
      <c r="R13" s="32">
        <f>(Doprava!P183/1000+Doprava!P184/1000)*Parametre!$B$64*Parametre!V40</f>
        <v>-1085880.7570002892</v>
      </c>
      <c r="S13" s="32">
        <f>(Doprava!Q183/1000+Doprava!Q184/1000)*Parametre!$B$64*Parametre!W40</f>
        <v>-1105865.1236175322</v>
      </c>
      <c r="T13" s="32">
        <f>(Doprava!R183/1000+Doprava!R184/1000)*Parametre!$B$64*Parametre!X40</f>
        <v>-1124754.4712920182</v>
      </c>
      <c r="U13" s="32">
        <f>(Doprava!S183/1000+Doprava!S184/1000)*Parametre!$B$64*Parametre!Y40</f>
        <v>-1143170.7058128698</v>
      </c>
      <c r="V13" s="32">
        <f>(Doprava!T183/1000+Doprava!T184/1000)*Parametre!$B$64*Parametre!Z40</f>
        <v>-1161079.6869530552</v>
      </c>
      <c r="W13" s="32">
        <f>(Doprava!U183/1000+Doprava!U184/1000)*Parametre!$B$64*Parametre!AA40</f>
        <v>-1170852.6688400921</v>
      </c>
      <c r="X13" s="32">
        <f>(Doprava!V183/1000+Doprava!V184/1000)*Parametre!$B$64*Parametre!AB40</f>
        <v>-1180707.9113816193</v>
      </c>
      <c r="Y13" s="32">
        <f>(Doprava!W183/1000+Doprava!W184/1000)*Parametre!$B$64*Parametre!AC40</f>
        <v>-1189816.7187055552</v>
      </c>
      <c r="Z13" s="32">
        <f>(Doprava!X183/1000+Doprava!X184/1000)*Parametre!$B$64*Parametre!AD40</f>
        <v>-1198995.7977453526</v>
      </c>
      <c r="AA13" s="32">
        <f>(Doprava!Y183/1000+Doprava!Y184/1000)*Parametre!$B$64*Parametre!AE40</f>
        <v>-1208245.6906262194</v>
      </c>
      <c r="AB13" s="32">
        <f>(Doprava!Z183/1000+Doprava!Z184/1000)*Parametre!$B$64*Parametre!AF40</f>
        <v>-1217566.9436556934</v>
      </c>
      <c r="AC13" s="32">
        <f>(Doprava!AA183/1000+Doprava!AA184/1000)*Parametre!$B$64*Parametre!AG40</f>
        <v>-1226960.1073559141</v>
      </c>
      <c r="AD13" s="32">
        <f>(Doprava!AB183/1000+Doprava!AB184/1000)*Parametre!$B$64*Parametre!AH40</f>
        <v>-1235563.8583687206</v>
      </c>
      <c r="AE13" s="32">
        <f>(Doprava!AC183/1000+Doprava!AC184/1000)*Parametre!$B$64*Parametre!AI40</f>
        <v>-1244227.9410345668</v>
      </c>
      <c r="AF13" s="32">
        <f>(Doprava!AD183/1000+Doprava!AD184/1000)*Parametre!$B$64*Parametre!AJ40</f>
        <v>-1252952.7784140869</v>
      </c>
      <c r="AG13" s="32">
        <f>(Doprava!AE183/1000+Doprava!AE184/1000)*Parametre!$B$64*Parametre!AK40</f>
        <v>-1261738.7965345213</v>
      </c>
    </row>
    <row r="14" spans="1:33" x14ac:dyDescent="0.2">
      <c r="A14" s="7" t="s">
        <v>15</v>
      </c>
      <c r="B14" s="32">
        <f>SUM(D14:AG14)</f>
        <v>-26497815.942659125</v>
      </c>
      <c r="C14" s="135">
        <f>NPV(Parametre!B10,D14:AG14)</f>
        <v>-11247785.324270388</v>
      </c>
      <c r="D14" s="32">
        <f t="shared" ref="D14:F14" si="2">SUM(D11:D13)</f>
        <v>0</v>
      </c>
      <c r="E14" s="32">
        <f t="shared" si="2"/>
        <v>0</v>
      </c>
      <c r="F14" s="32">
        <f t="shared" si="2"/>
        <v>-315072.99258197978</v>
      </c>
      <c r="G14" s="32">
        <f>SUM(G11:G13)</f>
        <v>-326887.02919032739</v>
      </c>
      <c r="H14" s="32">
        <f t="shared" ref="H14:K14" si="3">SUM(H11:H13)</f>
        <v>-356770.50000989554</v>
      </c>
      <c r="I14" s="32">
        <f t="shared" si="3"/>
        <v>-369417.58816411725</v>
      </c>
      <c r="J14" s="32">
        <f t="shared" si="3"/>
        <v>-382241.03027870401</v>
      </c>
      <c r="K14" s="32">
        <f t="shared" si="3"/>
        <v>-395228.46910227172</v>
      </c>
      <c r="L14" s="32">
        <f t="shared" ref="L14:AG14" si="4">SUM(L11:L13)</f>
        <v>-920906.62585717381</v>
      </c>
      <c r="M14" s="32">
        <f t="shared" si="4"/>
        <v>-945894.81011328811</v>
      </c>
      <c r="N14" s="32">
        <f t="shared" si="4"/>
        <v>-969545.31302839646</v>
      </c>
      <c r="O14" s="32">
        <f t="shared" si="4"/>
        <v>-992407.25543073926</v>
      </c>
      <c r="P14" s="32">
        <f t="shared" si="4"/>
        <v>-1013693.79819209</v>
      </c>
      <c r="Q14" s="32">
        <f t="shared" si="4"/>
        <v>-1033994.5310947654</v>
      </c>
      <c r="R14" s="32">
        <f t="shared" si="4"/>
        <v>-1053962.3319371545</v>
      </c>
      <c r="S14" s="32">
        <f t="shared" si="4"/>
        <v>-1073601.4146629218</v>
      </c>
      <c r="T14" s="32">
        <f t="shared" si="4"/>
        <v>-1092158.9161315868</v>
      </c>
      <c r="U14" s="32">
        <f t="shared" si="4"/>
        <v>-1110256.4576588634</v>
      </c>
      <c r="V14" s="32">
        <f t="shared" si="4"/>
        <v>-1127860.0559605944</v>
      </c>
      <c r="W14" s="32">
        <f t="shared" si="4"/>
        <v>-1137541.0640200791</v>
      </c>
      <c r="X14" s="32">
        <f t="shared" si="4"/>
        <v>-1147306.3636187129</v>
      </c>
      <c r="Y14" s="32">
        <f t="shared" si="4"/>
        <v>-1156350.6461832735</v>
      </c>
      <c r="Z14" s="32">
        <f t="shared" si="4"/>
        <v>-1165467.4536330656</v>
      </c>
      <c r="AA14" s="32">
        <f t="shared" si="4"/>
        <v>-1174657.3846549741</v>
      </c>
      <c r="AB14" s="32">
        <f t="shared" si="4"/>
        <v>-1183921.0431125599</v>
      </c>
      <c r="AC14" s="32">
        <f t="shared" si="4"/>
        <v>-1193259.0380939494</v>
      </c>
      <c r="AD14" s="32">
        <f t="shared" si="4"/>
        <v>-1201833.6346385747</v>
      </c>
      <c r="AE14" s="32">
        <f t="shared" si="4"/>
        <v>-1210471.1623876642</v>
      </c>
      <c r="AF14" s="32">
        <f t="shared" si="4"/>
        <v>-1219172.1005825591</v>
      </c>
      <c r="AG14" s="32">
        <f t="shared" si="4"/>
        <v>-1227936.9323388403</v>
      </c>
    </row>
    <row r="16" spans="1:33" x14ac:dyDescent="0.2">
      <c r="A16" s="26" t="s">
        <v>315</v>
      </c>
    </row>
    <row r="17" spans="1:1" x14ac:dyDescent="0.2">
      <c r="A17" s="26" t="s">
        <v>316</v>
      </c>
    </row>
  </sheetData>
  <phoneticPr fontId="14" type="noConversion"/>
  <pageMargins left="0.7" right="0.7" top="0.75" bottom="0.75" header="0.3" footer="0.3"/>
  <pageSetup paperSize="9" scale="69" fitToWidth="3" orientation="landscape" r:id="rId1"/>
  <headerFooter>
    <oddHeader xml:space="preserve">&amp;CŽSR, dopravný uzol Bratislava - štúdia realizovateľnosti </oddHeader>
    <oddFooter xml:space="preserve">&amp;CŠtúdia realizovateľnosti - Nehodovosť
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2:AQ76"/>
  <sheetViews>
    <sheetView zoomScale="85" zoomScaleNormal="85" workbookViewId="0">
      <selection activeCell="E25" sqref="E25"/>
    </sheetView>
  </sheetViews>
  <sheetFormatPr defaultRowHeight="14.25" x14ac:dyDescent="0.2"/>
  <cols>
    <col min="1" max="1" width="30.7109375" style="1" customWidth="1"/>
    <col min="2" max="33" width="15.7109375" style="50" customWidth="1"/>
    <col min="34" max="43" width="15.7109375" style="1" customWidth="1"/>
    <col min="44" max="16384" width="9.140625" style="1"/>
  </cols>
  <sheetData>
    <row r="2" spans="1:43" ht="15.75" x14ac:dyDescent="0.25">
      <c r="A2" s="2" t="s">
        <v>321</v>
      </c>
    </row>
    <row r="3" spans="1:43" x14ac:dyDescent="0.2">
      <c r="A3" s="1" t="s">
        <v>0</v>
      </c>
    </row>
    <row r="4" spans="1:43" x14ac:dyDescent="0.2">
      <c r="A4" s="3"/>
    </row>
    <row r="5" spans="1:43" x14ac:dyDescent="0.2">
      <c r="A5" s="40" t="s">
        <v>486</v>
      </c>
    </row>
    <row r="6" spans="1:43" x14ac:dyDescent="0.2">
      <c r="A6" s="40"/>
    </row>
    <row r="7" spans="1:43" x14ac:dyDescent="0.2">
      <c r="A7" s="3"/>
    </row>
    <row r="8" spans="1:43" x14ac:dyDescent="0.2">
      <c r="A8" s="3"/>
    </row>
    <row r="9" spans="1:43" x14ac:dyDescent="0.2">
      <c r="A9" s="1" t="s">
        <v>128</v>
      </c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</row>
    <row r="10" spans="1:43" x14ac:dyDescent="0.2">
      <c r="A10" s="7" t="s">
        <v>32</v>
      </c>
      <c r="B10" s="32" t="s">
        <v>21</v>
      </c>
      <c r="C10" s="121" t="s">
        <v>89</v>
      </c>
      <c r="D10" s="32">
        <f>Parametre!B12</f>
        <v>2022</v>
      </c>
      <c r="E10" s="32">
        <f t="shared" ref="E10:AG10" si="0">(D10+1)</f>
        <v>2023</v>
      </c>
      <c r="F10" s="32">
        <f t="shared" si="0"/>
        <v>2024</v>
      </c>
      <c r="G10" s="32">
        <f t="shared" si="0"/>
        <v>2025</v>
      </c>
      <c r="H10" s="32">
        <f t="shared" si="0"/>
        <v>2026</v>
      </c>
      <c r="I10" s="32">
        <f t="shared" si="0"/>
        <v>2027</v>
      </c>
      <c r="J10" s="32">
        <f t="shared" si="0"/>
        <v>2028</v>
      </c>
      <c r="K10" s="32">
        <f t="shared" si="0"/>
        <v>2029</v>
      </c>
      <c r="L10" s="32">
        <f t="shared" si="0"/>
        <v>2030</v>
      </c>
      <c r="M10" s="32">
        <f t="shared" si="0"/>
        <v>2031</v>
      </c>
      <c r="N10" s="32">
        <f t="shared" si="0"/>
        <v>2032</v>
      </c>
      <c r="O10" s="32">
        <f t="shared" si="0"/>
        <v>2033</v>
      </c>
      <c r="P10" s="32">
        <f t="shared" si="0"/>
        <v>2034</v>
      </c>
      <c r="Q10" s="32">
        <f t="shared" si="0"/>
        <v>2035</v>
      </c>
      <c r="R10" s="32">
        <f t="shared" si="0"/>
        <v>2036</v>
      </c>
      <c r="S10" s="32">
        <f t="shared" si="0"/>
        <v>2037</v>
      </c>
      <c r="T10" s="32">
        <f t="shared" si="0"/>
        <v>2038</v>
      </c>
      <c r="U10" s="32">
        <f t="shared" si="0"/>
        <v>2039</v>
      </c>
      <c r="V10" s="32">
        <f t="shared" si="0"/>
        <v>2040</v>
      </c>
      <c r="W10" s="32">
        <f t="shared" si="0"/>
        <v>2041</v>
      </c>
      <c r="X10" s="32">
        <f t="shared" si="0"/>
        <v>2042</v>
      </c>
      <c r="Y10" s="32">
        <f t="shared" si="0"/>
        <v>2043</v>
      </c>
      <c r="Z10" s="32">
        <f t="shared" si="0"/>
        <v>2044</v>
      </c>
      <c r="AA10" s="32">
        <f t="shared" si="0"/>
        <v>2045</v>
      </c>
      <c r="AB10" s="32">
        <f t="shared" si="0"/>
        <v>2046</v>
      </c>
      <c r="AC10" s="32">
        <f t="shared" si="0"/>
        <v>2047</v>
      </c>
      <c r="AD10" s="32">
        <f t="shared" si="0"/>
        <v>2048</v>
      </c>
      <c r="AE10" s="32">
        <f t="shared" si="0"/>
        <v>2049</v>
      </c>
      <c r="AF10" s="32">
        <f t="shared" si="0"/>
        <v>2050</v>
      </c>
      <c r="AG10" s="32">
        <f t="shared" si="0"/>
        <v>2051</v>
      </c>
    </row>
    <row r="11" spans="1:43" x14ac:dyDescent="0.2">
      <c r="A11" s="7" t="s">
        <v>149</v>
      </c>
      <c r="B11" s="32">
        <f>SUM(D11:AG11)</f>
        <v>16334585.7224981</v>
      </c>
      <c r="C11" s="32">
        <f>NPV(Parametre!B$10,D11:AG11)</f>
        <v>6536461.6551579908</v>
      </c>
      <c r="D11" s="32">
        <f>Doprava!B186*Parametre!$D$72/100*Parametre!H40</f>
        <v>0</v>
      </c>
      <c r="E11" s="32">
        <f>Doprava!C186*Parametre!$D$72/100*Parametre!I40</f>
        <v>0</v>
      </c>
      <c r="F11" s="32">
        <f>Doprava!D186*Parametre!$D$72/100*Parametre!J40</f>
        <v>0</v>
      </c>
      <c r="G11" s="32">
        <f>Doprava!E186*Parametre!$D$72/100*Parametre!K40</f>
        <v>0</v>
      </c>
      <c r="H11" s="32">
        <f>Doprava!F186*Parametre!$D$72/100*Parametre!L40</f>
        <v>0</v>
      </c>
      <c r="I11" s="32">
        <f>Doprava!G186*Parametre!$D$72/100*Parametre!M40</f>
        <v>0</v>
      </c>
      <c r="J11" s="32">
        <f>Doprava!H186*Parametre!$D$72/100*Parametre!N40</f>
        <v>0</v>
      </c>
      <c r="K11" s="32">
        <f>Doprava!I186*Parametre!$D$72/100*Parametre!O40</f>
        <v>0</v>
      </c>
      <c r="L11" s="32">
        <f>Doprava!J186*Parametre!$D$72/100*Parametre!P40</f>
        <v>679111.62464717554</v>
      </c>
      <c r="M11" s="32">
        <f>Doprava!K186*Parametre!$D$72/100*Parametre!Q40</f>
        <v>690045.32180399506</v>
      </c>
      <c r="N11" s="32">
        <f>Doprava!L186*Parametre!$D$72/100*Parametre!R40</f>
        <v>699705.95630925102</v>
      </c>
      <c r="O11" s="32">
        <f>Doprava!M186*Parametre!$D$72/100*Parametre!S40</f>
        <v>708522.25135874748</v>
      </c>
      <c r="P11" s="32">
        <f>Doprava!N186*Parametre!$D$72/100*Parametre!T40</f>
        <v>715961.73499801429</v>
      </c>
      <c r="Q11" s="32">
        <f>Doprava!O186*Parametre!$D$72/100*Parametre!U40</f>
        <v>722476.98678649636</v>
      </c>
      <c r="R11" s="32">
        <f>Doprava!P186*Parametre!$D$72/100*Parametre!V40</f>
        <v>728545.79347550299</v>
      </c>
      <c r="S11" s="32">
        <f>Doprava!Q186*Parametre!$D$72/100*Parametre!W40</f>
        <v>734155.59608526435</v>
      </c>
      <c r="T11" s="32">
        <f>Doprava!R186*Parametre!$D$72/100*Parametre!X40</f>
        <v>738780.7763406015</v>
      </c>
      <c r="U11" s="32">
        <f>Doprava!S186*Parametre!$D$72/100*Parametre!Y40</f>
        <v>742917.94868810894</v>
      </c>
      <c r="V11" s="32">
        <f>Doprava!T186*Parametre!$D$72/100*Parametre!Z40</f>
        <v>746558.24663668056</v>
      </c>
      <c r="W11" s="32">
        <f>Doprava!U186*Parametre!$D$72/100*Parametre!AA40</f>
        <v>750216.38204520009</v>
      </c>
      <c r="X11" s="32">
        <f>Doprava!V186*Parametre!$D$72/100*Parametre!AB40</f>
        <v>753892.44231722155</v>
      </c>
      <c r="Y11" s="32">
        <f>Doprava!W186*Parametre!$D$72/100*Parametre!AC40</f>
        <v>757058.79057495389</v>
      </c>
      <c r="Z11" s="32">
        <f>Doprava!X186*Parametre!$D$72/100*Parametre!AD40</f>
        <v>760238.43749536865</v>
      </c>
      <c r="AA11" s="32">
        <f>Doprava!Y186*Parametre!$D$72/100*Parametre!AE40</f>
        <v>763431.43893284921</v>
      </c>
      <c r="AB11" s="32">
        <f>Doprava!Z186*Parametre!$D$72/100*Parametre!AF40</f>
        <v>766637.85097636713</v>
      </c>
      <c r="AC11" s="32">
        <f>Doprava!AA186*Parametre!$D$72/100*Parametre!AG40</f>
        <v>769857.72995046782</v>
      </c>
      <c r="AD11" s="32">
        <f>Doprava!AB186*Parametre!$D$72/100*Parametre!AH40</f>
        <v>772552.23200529453</v>
      </c>
      <c r="AE11" s="32">
        <f>Doprava!AC186*Parametre!$D$72/100*Parametre!AI40</f>
        <v>775256.16481731308</v>
      </c>
      <c r="AF11" s="32">
        <f>Doprava!AD186*Parametre!$D$72/100*Parametre!AJ40</f>
        <v>777969.56139417365</v>
      </c>
      <c r="AG11" s="32">
        <f>Doprava!AE186*Parametre!$D$72/100*Parametre!AK40</f>
        <v>780692.45485905337</v>
      </c>
    </row>
    <row r="12" spans="1:43" x14ac:dyDescent="0.2">
      <c r="A12" s="7" t="s">
        <v>47</v>
      </c>
      <c r="B12" s="32">
        <f>SUM(D12:AG12)</f>
        <v>-1323629.9023050247</v>
      </c>
      <c r="C12" s="32">
        <f>NPV(Parametre!B$10,D12:AG12)</f>
        <v>-537693.15458850632</v>
      </c>
      <c r="D12" s="32">
        <f>Doprava!B184*Parametre!$D$71/100*Parametre!H40</f>
        <v>0</v>
      </c>
      <c r="E12" s="32">
        <f>Doprava!C184*Parametre!$D$71/100*Parametre!I40</f>
        <v>0</v>
      </c>
      <c r="F12" s="32">
        <f>Doprava!D184*Parametre!$D$71/100*Parametre!J40</f>
        <v>-5726.4982684502302</v>
      </c>
      <c r="G12" s="32">
        <f>Doprava!E184*Parametre!$D$71/100*Parametre!K40</f>
        <v>-5941.2201321894963</v>
      </c>
      <c r="H12" s="32">
        <f>Doprava!F184*Parametre!$D$71/100*Parametre!L40</f>
        <v>-6153.3604870761255</v>
      </c>
      <c r="I12" s="32">
        <f>Doprava!G184*Parametre!$D$71/100*Parametre!M40</f>
        <v>-6368.7032445474206</v>
      </c>
      <c r="J12" s="32">
        <f>Doprava!H184*Parametre!$D$71/100*Parametre!N40</f>
        <v>-6587.0567190809925</v>
      </c>
      <c r="K12" s="32">
        <f>Doprava!I184*Parametre!$D$71/100*Parametre!O40</f>
        <v>-6808.2159627539268</v>
      </c>
      <c r="L12" s="32">
        <f>Doprava!J184*Parametre!$D$71/100*Parametre!P40</f>
        <v>-49437.668175070277</v>
      </c>
      <c r="M12" s="32">
        <f>Doprava!K184*Parametre!$D$71/100*Parametre!Q40</f>
        <v>-50766.090947795405</v>
      </c>
      <c r="N12" s="32">
        <f>Doprava!L184*Parametre!$D$71/100*Parametre!R40</f>
        <v>-52022.470473007816</v>
      </c>
      <c r="O12" s="32">
        <f>Doprava!M184*Parametre!$D$71/100*Parametre!S40</f>
        <v>-53236.339909137969</v>
      </c>
      <c r="P12" s="32">
        <f>Doprava!N184*Parametre!$D$71/100*Parametre!T40</f>
        <v>-54365.551885852663</v>
      </c>
      <c r="Q12" s="32">
        <f>Doprava!O184*Parametre!$D$71/100*Parametre!U40</f>
        <v>-55441.79735913888</v>
      </c>
      <c r="R12" s="32">
        <f>Doprava!P184*Parametre!$D$71/100*Parametre!V40</f>
        <v>-56500.128046599377</v>
      </c>
      <c r="S12" s="32">
        <f>Doprava!Q184*Parametre!$D$71/100*Parametre!W40</f>
        <v>-56413.148868834433</v>
      </c>
      <c r="T12" s="32">
        <f>Doprava!R184*Parametre!$D$71/100*Parametre!X40</f>
        <v>-57376.745205890533</v>
      </c>
      <c r="U12" s="32">
        <f>Doprava!S184*Parametre!$D$71/100*Parametre!Y40</f>
        <v>-58316.206770814155</v>
      </c>
      <c r="V12" s="32">
        <f>Doprava!T184*Parametre!$D$71/100*Parametre!Z40</f>
        <v>-59229.791978968191</v>
      </c>
      <c r="W12" s="32">
        <f>Doprava!U184*Parametre!$D$71/100*Parametre!AA40</f>
        <v>-59728.338022523967</v>
      </c>
      <c r="X12" s="32">
        <f>Doprava!V184*Parametre!$D$71/100*Parametre!AB40</f>
        <v>-60231.080402910251</v>
      </c>
      <c r="Y12" s="32">
        <f>Doprava!W184*Parametre!$D$71/100*Parametre!AC40</f>
        <v>-60695.745118894592</v>
      </c>
      <c r="Z12" s="32">
        <f>Doprava!X184*Parametre!$D$71/100*Parametre!AD40</f>
        <v>-61163.99458376332</v>
      </c>
      <c r="AA12" s="32">
        <f>Doprava!Y184*Parametre!$D$71/100*Parametre!AE40</f>
        <v>-61635.85645277868</v>
      </c>
      <c r="AB12" s="32">
        <f>Doprava!Z184*Parametre!$D$71/100*Parametre!AF40</f>
        <v>-62111.358594554942</v>
      </c>
      <c r="AC12" s="32">
        <f>Doprava!AA184*Parametre!$D$71/100*Parametre!AG40</f>
        <v>-62590.529092704361</v>
      </c>
      <c r="AD12" s="32">
        <f>Doprava!AB184*Parametre!$D$71/100*Parametre!AH40</f>
        <v>-63029.429530334681</v>
      </c>
      <c r="AE12" s="32">
        <f>Doprava!AC184*Parametre!$D$71/100*Parametre!AI40</f>
        <v>-63471.407647558779</v>
      </c>
      <c r="AF12" s="32">
        <f>Doprava!AD184*Parametre!$D$71/100*Parametre!AJ40</f>
        <v>-63916.485025835384</v>
      </c>
      <c r="AG12" s="32">
        <f>Doprava!AE184*Parametre!$D$71/100*Parametre!AK40</f>
        <v>-64364.683397957793</v>
      </c>
    </row>
    <row r="13" spans="1:43" x14ac:dyDescent="0.2">
      <c r="A13" s="7" t="s">
        <v>48</v>
      </c>
      <c r="B13" s="32">
        <f>SUM(D13:AG13)</f>
        <v>-5748715.250211074</v>
      </c>
      <c r="C13" s="32">
        <f>NPV(Parametre!B$10,D13:AG13)</f>
        <v>-2441281.1566383047</v>
      </c>
      <c r="D13" s="32">
        <f>Doprava!B183*Parametre!$D$70/100*Parametre!H40</f>
        <v>0</v>
      </c>
      <c r="E13" s="32">
        <f>Doprava!C183*Parametre!$D$70/100*Parametre!I40</f>
        <v>0</v>
      </c>
      <c r="F13" s="32">
        <f>Doprava!D183*Parametre!$D$70/100*Parametre!J40</f>
        <v>-70895.652957911661</v>
      </c>
      <c r="G13" s="32">
        <f>Doprava!E183*Parametre!$D$70/100*Parametre!K40</f>
        <v>-73553.969789683775</v>
      </c>
      <c r="H13" s="32">
        <f>Doprava!F183*Parametre!$D$70/100*Parametre!L40</f>
        <v>-76180.326818598187</v>
      </c>
      <c r="I13" s="32">
        <f>Doprava!G183*Parametre!$D$70/100*Parametre!M40</f>
        <v>-78846.330488728781</v>
      </c>
      <c r="J13" s="32">
        <f>Doprava!H183*Parametre!$D$70/100*Parametre!N40</f>
        <v>-81549.607679603709</v>
      </c>
      <c r="K13" s="32">
        <f>Doprava!I183*Parametre!$D$70/100*Parametre!O40</f>
        <v>-84287.621078517011</v>
      </c>
      <c r="L13" s="32">
        <f>Doprava!J183*Parametre!$D$70/100*Parametre!P40</f>
        <v>-200120.20546147003</v>
      </c>
      <c r="M13" s="32">
        <f>Doprava!K183*Parametre!$D$70/100*Parametre!Q40</f>
        <v>-205497.5674615553</v>
      </c>
      <c r="N13" s="32">
        <f>Doprava!L183*Parametre!$D$70/100*Parametre!R40</f>
        <v>-210583.30346012083</v>
      </c>
      <c r="O13" s="32">
        <f>Doprava!M183*Parametre!$D$70/100*Parametre!S40</f>
        <v>-215496.96160640573</v>
      </c>
      <c r="P13" s="32">
        <f>Doprava!N183*Parametre!$D$70/100*Parametre!T40</f>
        <v>-220067.93230812767</v>
      </c>
      <c r="Q13" s="32">
        <f>Doprava!O183*Parametre!$D$70/100*Parametre!U40</f>
        <v>-224424.49832734821</v>
      </c>
      <c r="R13" s="32">
        <f>Doprava!P183*Parametre!$D$70/100*Parametre!V40</f>
        <v>-228708.54655289889</v>
      </c>
      <c r="S13" s="32">
        <f>Doprava!Q183*Parametre!$D$70/100*Parametre!W40</f>
        <v>-233143.51071874064</v>
      </c>
      <c r="T13" s="32">
        <f>Doprava!R183*Parametre!$D$70/100*Parametre!X40</f>
        <v>-237125.84883390815</v>
      </c>
      <c r="U13" s="32">
        <f>Doprava!S183*Parametre!$D$70/100*Parametre!Y40</f>
        <v>-241008.44308406915</v>
      </c>
      <c r="V13" s="32">
        <f>Doprava!T183*Parametre!$D$70/100*Parametre!Z40</f>
        <v>-244784.0958714181</v>
      </c>
      <c r="W13" s="32">
        <f>Doprava!U183*Parametre!$D$70/100*Parametre!AA40</f>
        <v>-246844.48032398219</v>
      </c>
      <c r="X13" s="32">
        <f>Doprava!V183*Parametre!$D$70/100*Parametre!AB40</f>
        <v>-248922.20734154113</v>
      </c>
      <c r="Y13" s="32">
        <f>Doprava!W183*Parametre!$D$70/100*Parametre!AC40</f>
        <v>-250842.56749451891</v>
      </c>
      <c r="Z13" s="32">
        <f>Doprava!X183*Parametre!$D$70/100*Parametre!AD40</f>
        <v>-252777.74264996889</v>
      </c>
      <c r="AA13" s="32">
        <f>Doprava!Y183*Parametre!$D$70/100*Parametre!AE40</f>
        <v>-254727.84710119065</v>
      </c>
      <c r="AB13" s="32">
        <f>Doprava!Z183*Parametre!$D$70/100*Parametre!AF40</f>
        <v>-256692.99602322222</v>
      </c>
      <c r="AC13" s="32">
        <f>Doprava!AA183*Parametre!$D$70/100*Parametre!AG40</f>
        <v>-258673.30547964261</v>
      </c>
      <c r="AD13" s="32">
        <f>Doprava!AB183*Parametre!$D$70/100*Parametre!AH40</f>
        <v>-260487.18736599223</v>
      </c>
      <c r="AE13" s="32">
        <f>Doprava!AC183*Parametre!$D$70/100*Parametre!AI40</f>
        <v>-262313.78864559944</v>
      </c>
      <c r="AF13" s="32">
        <f>Doprava!AD183*Parametre!$D$70/100*Parametre!AJ40</f>
        <v>-264153.19851002964</v>
      </c>
      <c r="AG13" s="32">
        <f>Doprava!AE183*Parametre!$D$70/100*Parametre!AK40</f>
        <v>-266005.50677628163</v>
      </c>
    </row>
    <row r="14" spans="1:43" x14ac:dyDescent="0.2">
      <c r="A14" s="7" t="s">
        <v>46</v>
      </c>
      <c r="B14" s="32">
        <f>SUM(D14:AG14)</f>
        <v>-36160321.872342482</v>
      </c>
      <c r="C14" s="32">
        <f>NPV(Parametre!B$10,D14:AG14)</f>
        <v>-15432612.613175515</v>
      </c>
      <c r="D14" s="32">
        <f>Doprava!B187*Parametre!$D$74/100*Parametre!H40</f>
        <v>0</v>
      </c>
      <c r="E14" s="32">
        <f>Doprava!C187*Parametre!$D$74/100*Parametre!I40</f>
        <v>0</v>
      </c>
      <c r="F14" s="32">
        <f>Doprava!D187*Parametre!$D$74/100*Parametre!J40</f>
        <v>0</v>
      </c>
      <c r="G14" s="32">
        <f>Doprava!E187*Parametre!$D$74/100*Parametre!K40</f>
        <v>0</v>
      </c>
      <c r="H14" s="32">
        <f>Doprava!F187*Parametre!$D$74/100*Parametre!L40</f>
        <v>-940991.82227521949</v>
      </c>
      <c r="I14" s="32">
        <f>Doprava!G187*Parametre!$D$74/100*Parametre!M40</f>
        <v>-982270.68949442473</v>
      </c>
      <c r="J14" s="32">
        <f>Doprava!H187*Parametre!$D$74/100*Parametre!N40</f>
        <v>-1024102.6226082793</v>
      </c>
      <c r="K14" s="32">
        <f>Doprava!I187*Parametre!$D$74/100*Parametre!O40</f>
        <v>-1066431.7671330576</v>
      </c>
      <c r="L14" s="32">
        <f>Doprava!J187*Parametre!$D$74/100*Parametre!P40</f>
        <v>-1109199.383195082</v>
      </c>
      <c r="M14" s="32">
        <f>Doprava!K187*Parametre!$D$74/100*Parametre!Q40</f>
        <v>-1151550.6448699217</v>
      </c>
      <c r="N14" s="32">
        <f>Doprava!L187*Parametre!$D$74/100*Parametre!R40</f>
        <v>-1192508.4096259782</v>
      </c>
      <c r="O14" s="32">
        <f>Doprava!M187*Parametre!$D$74/100*Parametre!S40</f>
        <v>-1232683.0056173112</v>
      </c>
      <c r="P14" s="32">
        <f>Doprava!N187*Parametre!$D$74/100*Parametre!T40</f>
        <v>-1271039.2316016601</v>
      </c>
      <c r="Q14" s="32">
        <f>Doprava!O187*Parametre!$D$74/100*Parametre!U40</f>
        <v>-1308250.0018298675</v>
      </c>
      <c r="R14" s="32">
        <f>Doprava!P187*Parametre!$D$74/100*Parametre!V40</f>
        <v>-1345099.0272969268</v>
      </c>
      <c r="S14" s="32">
        <f>Doprava!Q187*Parametre!$D$74/100*Parametre!W40</f>
        <v>-1381515.1351447825</v>
      </c>
      <c r="T14" s="32">
        <f>Doprava!R187*Parametre!$D$74/100*Parametre!X40</f>
        <v>-1416441.6965594855</v>
      </c>
      <c r="U14" s="32">
        <f>Doprava!S187*Parametre!$D$74/100*Parametre!Y40</f>
        <v>-1450743.6350134667</v>
      </c>
      <c r="V14" s="32">
        <f>Doprava!T187*Parametre!$D$74/100*Parametre!Z40</f>
        <v>-1484334.9438266004</v>
      </c>
      <c r="W14" s="32">
        <f>Doprava!U187*Parametre!$D$74/100*Parametre!AA40</f>
        <v>-1506524.2669018668</v>
      </c>
      <c r="X14" s="32">
        <f>Doprava!V187*Parametre!$D$74/100*Parametre!AB40</f>
        <v>-1529045.2981677835</v>
      </c>
      <c r="Y14" s="32">
        <f>Doprava!W187*Parametre!$D$74/100*Parametre!AC40</f>
        <v>-1550821.9613042872</v>
      </c>
      <c r="Z14" s="32">
        <f>Doprava!X187*Parametre!$D$74/100*Parametre!AD40</f>
        <v>-1572908.7676771807</v>
      </c>
      <c r="AA14" s="32">
        <f>Doprava!Y187*Parametre!$D$74/100*Parametre!AE40</f>
        <v>-1595310.1343464407</v>
      </c>
      <c r="AB14" s="32">
        <f>Doprava!Z187*Parametre!$D$74/100*Parametre!AF40</f>
        <v>-1618030.5412798016</v>
      </c>
      <c r="AC14" s="32">
        <f>Doprava!AA187*Parametre!$D$74/100*Parametre!AG40</f>
        <v>-1641074.532248707</v>
      </c>
      <c r="AD14" s="32">
        <f>Doprava!AB187*Parametre!$D$74/100*Parametre!AH40</f>
        <v>-1663286.4760426979</v>
      </c>
      <c r="AE14" s="32">
        <f>Doprava!AC187*Parametre!$D$74/100*Parametre!AI40</f>
        <v>-1685799.0584959364</v>
      </c>
      <c r="AF14" s="32">
        <f>Doprava!AD187*Parametre!$D$74/100*Parametre!AJ40</f>
        <v>-1708616.3487526758</v>
      </c>
      <c r="AG14" s="32">
        <f>Doprava!AE187*Parametre!$D$74/100*Parametre!AK40</f>
        <v>-1731742.4710330409</v>
      </c>
    </row>
    <row r="15" spans="1:43" x14ac:dyDescent="0.2">
      <c r="A15" s="7" t="s">
        <v>15</v>
      </c>
      <c r="B15" s="32">
        <f>SUM(D15:AG15)</f>
        <v>-26898081.302360483</v>
      </c>
      <c r="C15" s="32">
        <f>NPV(Parametre!B$10,D15:AG15)</f>
        <v>-11875125.269244334</v>
      </c>
      <c r="D15" s="32">
        <f t="shared" ref="D15:AG15" si="1">SUM(D11:D14)</f>
        <v>0</v>
      </c>
      <c r="E15" s="32">
        <f t="shared" si="1"/>
        <v>0</v>
      </c>
      <c r="F15" s="32">
        <f t="shared" si="1"/>
        <v>-76622.151226361893</v>
      </c>
      <c r="G15" s="32">
        <f t="shared" si="1"/>
        <v>-79495.189921873272</v>
      </c>
      <c r="H15" s="32">
        <f t="shared" si="1"/>
        <v>-1023325.5095808938</v>
      </c>
      <c r="I15" s="32">
        <f t="shared" si="1"/>
        <v>-1067485.7232277009</v>
      </c>
      <c r="J15" s="32">
        <f t="shared" si="1"/>
        <v>-1112239.287006964</v>
      </c>
      <c r="K15" s="32">
        <f t="shared" si="1"/>
        <v>-1157527.6041743285</v>
      </c>
      <c r="L15" s="32">
        <f t="shared" si="1"/>
        <v>-679645.63218444679</v>
      </c>
      <c r="M15" s="32">
        <f t="shared" si="1"/>
        <v>-717768.98147527734</v>
      </c>
      <c r="N15" s="32">
        <f t="shared" si="1"/>
        <v>-755408.22724985576</v>
      </c>
      <c r="O15" s="32">
        <f t="shared" si="1"/>
        <v>-792894.05577410734</v>
      </c>
      <c r="P15" s="32">
        <f t="shared" si="1"/>
        <v>-829510.98079762619</v>
      </c>
      <c r="Q15" s="32">
        <f t="shared" si="1"/>
        <v>-865639.31072985823</v>
      </c>
      <c r="R15" s="32">
        <f t="shared" si="1"/>
        <v>-901761.908420922</v>
      </c>
      <c r="S15" s="32">
        <f t="shared" si="1"/>
        <v>-936916.19864709326</v>
      </c>
      <c r="T15" s="32">
        <f t="shared" si="1"/>
        <v>-972163.51425868273</v>
      </c>
      <c r="U15" s="32">
        <f t="shared" si="1"/>
        <v>-1007150.3361802411</v>
      </c>
      <c r="V15" s="32">
        <f t="shared" si="1"/>
        <v>-1041790.5850403062</v>
      </c>
      <c r="W15" s="32">
        <f t="shared" si="1"/>
        <v>-1062880.7032031729</v>
      </c>
      <c r="X15" s="32">
        <f t="shared" si="1"/>
        <v>-1084306.1435950133</v>
      </c>
      <c r="Y15" s="32">
        <f t="shared" si="1"/>
        <v>-1105301.4833427467</v>
      </c>
      <c r="Z15" s="32">
        <f t="shared" si="1"/>
        <v>-1126612.0674155443</v>
      </c>
      <c r="AA15" s="32">
        <f t="shared" si="1"/>
        <v>-1148242.3989675608</v>
      </c>
      <c r="AB15" s="32">
        <f t="shared" si="1"/>
        <v>-1170197.0449212117</v>
      </c>
      <c r="AC15" s="32">
        <f t="shared" si="1"/>
        <v>-1192480.6368705863</v>
      </c>
      <c r="AD15" s="32">
        <f t="shared" si="1"/>
        <v>-1214250.8609337304</v>
      </c>
      <c r="AE15" s="32">
        <f t="shared" si="1"/>
        <v>-1236328.0899717817</v>
      </c>
      <c r="AF15" s="32">
        <f t="shared" si="1"/>
        <v>-1258716.4708943672</v>
      </c>
      <c r="AG15" s="32">
        <f t="shared" si="1"/>
        <v>-1281420.2063482269</v>
      </c>
    </row>
    <row r="16" spans="1:43" x14ac:dyDescent="0.2">
      <c r="C16" s="139"/>
      <c r="D16" s="123"/>
    </row>
    <row r="17" spans="1:33" x14ac:dyDescent="0.2">
      <c r="A17" s="1" t="s">
        <v>154</v>
      </c>
      <c r="L17" s="1"/>
      <c r="W17" s="1"/>
    </row>
    <row r="18" spans="1:33" x14ac:dyDescent="0.2">
      <c r="A18" s="7" t="s">
        <v>32</v>
      </c>
      <c r="B18" s="32" t="s">
        <v>21</v>
      </c>
      <c r="C18" s="121" t="s">
        <v>89</v>
      </c>
      <c r="D18" s="32">
        <f>Parametre!B12</f>
        <v>2022</v>
      </c>
      <c r="E18" s="32">
        <f t="shared" ref="E18:AG18" si="2">(D18+1)</f>
        <v>2023</v>
      </c>
      <c r="F18" s="32">
        <f t="shared" si="2"/>
        <v>2024</v>
      </c>
      <c r="G18" s="32">
        <f t="shared" si="2"/>
        <v>2025</v>
      </c>
      <c r="H18" s="32">
        <f t="shared" si="2"/>
        <v>2026</v>
      </c>
      <c r="I18" s="32">
        <f t="shared" si="2"/>
        <v>2027</v>
      </c>
      <c r="J18" s="32">
        <f t="shared" si="2"/>
        <v>2028</v>
      </c>
      <c r="K18" s="32">
        <f t="shared" si="2"/>
        <v>2029</v>
      </c>
      <c r="L18" s="32">
        <f t="shared" si="2"/>
        <v>2030</v>
      </c>
      <c r="M18" s="32">
        <f t="shared" si="2"/>
        <v>2031</v>
      </c>
      <c r="N18" s="32">
        <f t="shared" si="2"/>
        <v>2032</v>
      </c>
      <c r="O18" s="32">
        <f t="shared" si="2"/>
        <v>2033</v>
      </c>
      <c r="P18" s="32">
        <f t="shared" si="2"/>
        <v>2034</v>
      </c>
      <c r="Q18" s="32">
        <f t="shared" si="2"/>
        <v>2035</v>
      </c>
      <c r="R18" s="32">
        <f t="shared" si="2"/>
        <v>2036</v>
      </c>
      <c r="S18" s="32">
        <f t="shared" si="2"/>
        <v>2037</v>
      </c>
      <c r="T18" s="32">
        <f t="shared" si="2"/>
        <v>2038</v>
      </c>
      <c r="U18" s="32">
        <f t="shared" si="2"/>
        <v>2039</v>
      </c>
      <c r="V18" s="32">
        <f t="shared" si="2"/>
        <v>2040</v>
      </c>
      <c r="W18" s="32">
        <f t="shared" si="2"/>
        <v>2041</v>
      </c>
      <c r="X18" s="32">
        <f t="shared" si="2"/>
        <v>2042</v>
      </c>
      <c r="Y18" s="32">
        <f t="shared" si="2"/>
        <v>2043</v>
      </c>
      <c r="Z18" s="32">
        <f t="shared" si="2"/>
        <v>2044</v>
      </c>
      <c r="AA18" s="32">
        <f t="shared" si="2"/>
        <v>2045</v>
      </c>
      <c r="AB18" s="32">
        <f t="shared" si="2"/>
        <v>2046</v>
      </c>
      <c r="AC18" s="32">
        <f t="shared" si="2"/>
        <v>2047</v>
      </c>
      <c r="AD18" s="32">
        <f t="shared" si="2"/>
        <v>2048</v>
      </c>
      <c r="AE18" s="32">
        <f t="shared" si="2"/>
        <v>2049</v>
      </c>
      <c r="AF18" s="32">
        <f t="shared" si="2"/>
        <v>2050</v>
      </c>
      <c r="AG18" s="32">
        <f t="shared" si="2"/>
        <v>2051</v>
      </c>
    </row>
    <row r="19" spans="1:33" x14ac:dyDescent="0.2">
      <c r="A19" s="7" t="s">
        <v>149</v>
      </c>
      <c r="B19" s="32">
        <f>SUM(D19:AG19)</f>
        <v>9991284.2599834837</v>
      </c>
      <c r="C19" s="32">
        <f>NPV(Parametre!B$10,D19:AG19)</f>
        <v>3998120.7702877647</v>
      </c>
      <c r="D19" s="32">
        <f>Doprava!B186*Parametre!$B$72/100*Parametre!H40</f>
        <v>0</v>
      </c>
      <c r="E19" s="32">
        <f>Doprava!C186*Parametre!$B$72/100*Parametre!I40</f>
        <v>0</v>
      </c>
      <c r="F19" s="32">
        <f>Doprava!D186*Parametre!$B$72/100*Parametre!J40</f>
        <v>0</v>
      </c>
      <c r="G19" s="32">
        <f>Doprava!E186*Parametre!$B$72/100*Parametre!K40</f>
        <v>0</v>
      </c>
      <c r="H19" s="32">
        <f>Doprava!F186*Parametre!$B$72/100*Parametre!L40</f>
        <v>0</v>
      </c>
      <c r="I19" s="32">
        <f>Doprava!G186*Parametre!$B$72/100*Parametre!M40</f>
        <v>0</v>
      </c>
      <c r="J19" s="32">
        <f>Doprava!H186*Parametre!$B$72/100*Parametre!N40</f>
        <v>0</v>
      </c>
      <c r="K19" s="32">
        <f>Doprava!I186*Parametre!$B$72/100*Parametre!O40</f>
        <v>0</v>
      </c>
      <c r="L19" s="32">
        <f>Doprava!J186*Parametre!$B$72/100*Parametre!P40</f>
        <v>415388.39131767431</v>
      </c>
      <c r="M19" s="32">
        <f>Doprava!K186*Parametre!$B$72/100*Parametre!Q40</f>
        <v>422076.14441788883</v>
      </c>
      <c r="N19" s="32">
        <f>Doprava!L186*Parametre!$B$72/100*Parametre!R40</f>
        <v>427985.21043973928</v>
      </c>
      <c r="O19" s="32">
        <f>Doprava!M186*Parametre!$B$72/100*Parametre!S40</f>
        <v>433377.82409127994</v>
      </c>
      <c r="P19" s="32">
        <f>Doprava!N186*Parametre!$B$72/100*Parametre!T40</f>
        <v>437928.29124423838</v>
      </c>
      <c r="Q19" s="32">
        <f>Doprava!O186*Parametre!$B$72/100*Parametre!U40</f>
        <v>441913.43869456102</v>
      </c>
      <c r="R19" s="32">
        <f>Doprava!P186*Parametre!$B$72/100*Parametre!V40</f>
        <v>445625.51157959533</v>
      </c>
      <c r="S19" s="32">
        <f>Doprava!Q186*Parametre!$B$72/100*Parametre!W40</f>
        <v>449056.82801875821</v>
      </c>
      <c r="T19" s="32">
        <f>Doprava!R186*Parametre!$B$72/100*Parametre!X40</f>
        <v>451885.8860352764</v>
      </c>
      <c r="U19" s="32">
        <f>Doprava!S186*Parametre!$B$72/100*Parametre!Y40</f>
        <v>454416.44699707394</v>
      </c>
      <c r="V19" s="32">
        <f>Doprava!T186*Parametre!$B$72/100*Parametre!Z40</f>
        <v>456643.08758735954</v>
      </c>
      <c r="W19" s="32">
        <f>Doprava!U186*Parametre!$B$72/100*Parametre!AA40</f>
        <v>458880.63871653756</v>
      </c>
      <c r="X19" s="32">
        <f>Doprava!V186*Parametre!$B$72/100*Parametre!AB40</f>
        <v>461129.15384624852</v>
      </c>
      <c r="Y19" s="32">
        <f>Doprava!W186*Parametre!$B$72/100*Parametre!AC40</f>
        <v>463065.89629240276</v>
      </c>
      <c r="Z19" s="32">
        <f>Doprava!X186*Parametre!$B$72/100*Parametre!AD40</f>
        <v>465010.7730568308</v>
      </c>
      <c r="AA19" s="32">
        <f>Doprava!Y186*Parametre!$B$72/100*Parametre!AE40</f>
        <v>466963.81830366951</v>
      </c>
      <c r="AB19" s="32">
        <f>Doprava!Z186*Parametre!$B$72/100*Parametre!AF40</f>
        <v>468925.06634054496</v>
      </c>
      <c r="AC19" s="32">
        <f>Doprava!AA186*Parametre!$B$72/100*Parametre!AG40</f>
        <v>470894.55161917518</v>
      </c>
      <c r="AD19" s="32">
        <f>Doprava!AB186*Parametre!$B$72/100*Parametre!AH40</f>
        <v>472542.68254984234</v>
      </c>
      <c r="AE19" s="32">
        <f>Doprava!AC186*Parametre!$B$72/100*Parametre!AI40</f>
        <v>474196.58193876682</v>
      </c>
      <c r="AF19" s="32">
        <f>Doprava!AD186*Parametre!$B$72/100*Parametre!AJ40</f>
        <v>475856.26997555251</v>
      </c>
      <c r="AG19" s="32">
        <f>Doprava!AE186*Parametre!$B$72/100*Parametre!AK40</f>
        <v>477521.76692046697</v>
      </c>
    </row>
    <row r="20" spans="1:33" x14ac:dyDescent="0.2">
      <c r="A20" s="7" t="s">
        <v>47</v>
      </c>
      <c r="B20" s="32">
        <f>SUM(D20:AG20)</f>
        <v>-5158984.5211845078</v>
      </c>
      <c r="C20" s="32">
        <f>NPV(Parametre!B$10,D20:AG20)</f>
        <v>-2095714.713635813</v>
      </c>
      <c r="D20" s="32">
        <f>Doprava!B184*Parametre!$B$71/100*Parametre!H40</f>
        <v>0</v>
      </c>
      <c r="E20" s="32">
        <f>Doprava!C184*Parametre!$B$71/100*Parametre!I40</f>
        <v>0</v>
      </c>
      <c r="F20" s="32">
        <f>Doprava!D184*Parametre!$B$71/100*Parametre!J40</f>
        <v>-22319.619612761355</v>
      </c>
      <c r="G20" s="32">
        <f>Doprava!E184*Parametre!$B$71/100*Parametre!K40</f>
        <v>-23156.520297357321</v>
      </c>
      <c r="H20" s="32">
        <f>Doprava!F184*Parametre!$B$71/100*Parametre!L40</f>
        <v>-23983.359284050519</v>
      </c>
      <c r="I20" s="32">
        <f>Doprava!G184*Parametre!$B$71/100*Parametre!M40</f>
        <v>-24822.679966220778</v>
      </c>
      <c r="J20" s="32">
        <f>Doprava!H184*Parametre!$B$71/100*Parametre!N40</f>
        <v>-25673.73522970784</v>
      </c>
      <c r="K20" s="32">
        <f>Doprava!I184*Parametre!$B$71/100*Parametre!O40</f>
        <v>-26535.726268772934</v>
      </c>
      <c r="L20" s="32">
        <f>Doprava!J184*Parametre!$B$71/100*Parametre!P40</f>
        <v>-192688.42781089485</v>
      </c>
      <c r="M20" s="32">
        <f>Doprava!K184*Parametre!$B$71/100*Parametre!Q40</f>
        <v>-197866.0930405359</v>
      </c>
      <c r="N20" s="32">
        <f>Doprava!L184*Parametre!$B$71/100*Parametre!R40</f>
        <v>-202762.96225754029</v>
      </c>
      <c r="O20" s="32">
        <f>Doprava!M184*Parametre!$B$71/100*Parametre!S40</f>
        <v>-207494.1440031543</v>
      </c>
      <c r="P20" s="32">
        <f>Doprava!N184*Parametre!$B$71/100*Parametre!T40</f>
        <v>-211895.36453984841</v>
      </c>
      <c r="Q20" s="32">
        <f>Doprava!O184*Parametre!$B$71/100*Parametre!U40</f>
        <v>-216090.14264814692</v>
      </c>
      <c r="R20" s="32">
        <f>Doprava!P184*Parametre!$B$71/100*Parametre!V40</f>
        <v>-220215.09602476316</v>
      </c>
      <c r="S20" s="32">
        <f>Doprava!Q184*Parametre!$B$71/100*Parametre!W40</f>
        <v>-219876.08567831109</v>
      </c>
      <c r="T20" s="32">
        <f>Doprava!R184*Parametre!$B$71/100*Parametre!X40</f>
        <v>-223631.80212056247</v>
      </c>
      <c r="U20" s="32">
        <f>Doprava!S184*Parametre!$B$71/100*Parametre!Y40</f>
        <v>-227293.45079082035</v>
      </c>
      <c r="V20" s="32">
        <f>Doprava!T184*Parametre!$B$71/100*Parametre!Z40</f>
        <v>-230854.24368273228</v>
      </c>
      <c r="W20" s="32">
        <f>Doprava!U184*Parametre!$B$71/100*Parametre!AA40</f>
        <v>-232797.37847994635</v>
      </c>
      <c r="X20" s="32">
        <f>Doprava!V184*Parametre!$B$71/100*Parametre!AB40</f>
        <v>-234756.86893421886</v>
      </c>
      <c r="Y20" s="32">
        <f>Doprava!W184*Parametre!$B$71/100*Parametre!AC40</f>
        <v>-236567.94775098568</v>
      </c>
      <c r="Z20" s="32">
        <f>Doprava!X184*Parametre!$B$71/100*Parametre!AD40</f>
        <v>-238392.9984975002</v>
      </c>
      <c r="AA20" s="32">
        <f>Doprava!Y184*Parametre!$B$71/100*Parametre!AE40</f>
        <v>-240232.12896300887</v>
      </c>
      <c r="AB20" s="32">
        <f>Doprava!Z184*Parametre!$B$71/100*Parametre!AF40</f>
        <v>-242085.44776831983</v>
      </c>
      <c r="AC20" s="32">
        <f>Doprava!AA184*Parametre!$B$71/100*Parametre!AG40</f>
        <v>-243953.06437221807</v>
      </c>
      <c r="AD20" s="32">
        <f>Doprava!AB184*Parametre!$B$71/100*Parametre!AH40</f>
        <v>-245663.72424786221</v>
      </c>
      <c r="AE20" s="32">
        <f>Doprava!AC184*Parametre!$B$71/100*Parametre!AI40</f>
        <v>-247386.3796982193</v>
      </c>
      <c r="AF20" s="32">
        <f>Doprava!AD184*Parametre!$B$71/100*Parametre!AJ40</f>
        <v>-249121.11483925814</v>
      </c>
      <c r="AG20" s="32">
        <f>Doprava!AE184*Parametre!$B$71/100*Parametre!AK40</f>
        <v>-250868.01437678977</v>
      </c>
    </row>
    <row r="21" spans="1:33" x14ac:dyDescent="0.2">
      <c r="A21" s="7" t="s">
        <v>48</v>
      </c>
      <c r="B21" s="32">
        <f>SUM(D21:AG21)</f>
        <v>-10435167.899839671</v>
      </c>
      <c r="C21" s="32">
        <f>NPV(Parametre!B$10,D21:AG21)</f>
        <v>-4431456.0125934444</v>
      </c>
      <c r="D21" s="32">
        <f>Doprava!B183*Parametre!$B$70/100*Parametre!H40</f>
        <v>0</v>
      </c>
      <c r="E21" s="32">
        <f>Doprava!C183*Parametre!$B$70/100*Parametre!I40</f>
        <v>0</v>
      </c>
      <c r="F21" s="32">
        <f>Doprava!D183*Parametre!$B$70/100*Parametre!J40</f>
        <v>-128691.02221707877</v>
      </c>
      <c r="G21" s="32">
        <f>Doprava!E183*Parametre!$B$70/100*Parametre!K40</f>
        <v>-133516.44516170857</v>
      </c>
      <c r="H21" s="32">
        <f>Doprava!F183*Parametre!$B$70/100*Parametre!L40</f>
        <v>-138283.85411636846</v>
      </c>
      <c r="I21" s="32">
        <f>Doprava!G183*Parametre!$B$70/100*Parametre!M40</f>
        <v>-143123.2303436707</v>
      </c>
      <c r="J21" s="32">
        <f>Doprava!H183*Parametre!$B$70/100*Parametre!N40</f>
        <v>-148030.26611406324</v>
      </c>
      <c r="K21" s="32">
        <f>Doprava!I183*Parametre!$B$70/100*Parametre!O40</f>
        <v>-153000.355653395</v>
      </c>
      <c r="L21" s="32">
        <f>Doprava!J183*Parametre!$B$70/100*Parametre!P40</f>
        <v>-363261.67730505962</v>
      </c>
      <c r="M21" s="32">
        <f>Doprava!K183*Parametre!$B$70/100*Parametre!Q40</f>
        <v>-373022.75832695357</v>
      </c>
      <c r="N21" s="32">
        <f>Doprava!L183*Parametre!$B$70/100*Parametre!R40</f>
        <v>-382254.47475913231</v>
      </c>
      <c r="O21" s="32">
        <f>Doprava!M183*Parametre!$B$70/100*Parametre!S40</f>
        <v>-391173.83248119295</v>
      </c>
      <c r="P21" s="32">
        <f>Doprava!N183*Parametre!$B$70/100*Parametre!T40</f>
        <v>-399471.13799410127</v>
      </c>
      <c r="Q21" s="32">
        <f>Doprava!O183*Parametre!$B$70/100*Parametre!U40</f>
        <v>-407379.25239855598</v>
      </c>
      <c r="R21" s="32">
        <f>Doprava!P183*Parametre!$B$70/100*Parametre!V40</f>
        <v>-415155.73124276218</v>
      </c>
      <c r="S21" s="32">
        <f>Doprava!Q183*Parametre!$B$70/100*Parametre!W40</f>
        <v>-423206.15532640956</v>
      </c>
      <c r="T21" s="32">
        <f>Doprava!R183*Parametre!$B$70/100*Parametre!X40</f>
        <v>-430434.96473111579</v>
      </c>
      <c r="U21" s="32">
        <f>Doprava!S183*Parametre!$B$70/100*Parametre!Y40</f>
        <v>-437482.71733738633</v>
      </c>
      <c r="V21" s="32">
        <f>Doprava!T183*Parametre!$B$70/100*Parametre!Z40</f>
        <v>-444336.34794050886</v>
      </c>
      <c r="W21" s="32">
        <f>Doprava!U183*Parametre!$B$70/100*Parametre!AA40</f>
        <v>-448076.39363157627</v>
      </c>
      <c r="X21" s="32">
        <f>Doprava!V183*Parametre!$B$70/100*Parametre!AB40</f>
        <v>-451847.9198482323</v>
      </c>
      <c r="Y21" s="32">
        <f>Doprava!W183*Parametre!$B$70/100*Parametre!AC40</f>
        <v>-455333.79099548538</v>
      </c>
      <c r="Z21" s="32">
        <f>Doprava!X183*Parametre!$B$70/100*Parametre!AD40</f>
        <v>-458846.55459287827</v>
      </c>
      <c r="AA21" s="32">
        <f>Doprava!Y183*Parametre!$B$70/100*Parametre!AE40</f>
        <v>-462386.41810759605</v>
      </c>
      <c r="AB21" s="32">
        <f>Doprava!Z183*Parametre!$B$70/100*Parametre!AF40</f>
        <v>-465953.59060737077</v>
      </c>
      <c r="AC21" s="32">
        <f>Doprava!AA183*Parametre!$B$70/100*Parametre!AG40</f>
        <v>-469548.28277282947</v>
      </c>
      <c r="AD21" s="32">
        <f>Doprava!AB183*Parametre!$B$70/100*Parametre!AH40</f>
        <v>-472840.87271870329</v>
      </c>
      <c r="AE21" s="32">
        <f>Doprava!AC183*Parametre!$B$70/100*Parametre!AI40</f>
        <v>-476156.55112842517</v>
      </c>
      <c r="AF21" s="32">
        <f>Doprava!AD183*Parametre!$B$70/100*Parametre!AJ40</f>
        <v>-479495.47990407544</v>
      </c>
      <c r="AG21" s="32">
        <f>Doprava!AE183*Parametre!$B$70/100*Parametre!AK40</f>
        <v>-482857.82208303298</v>
      </c>
    </row>
    <row r="22" spans="1:33" x14ac:dyDescent="0.2">
      <c r="A22" s="7" t="s">
        <v>46</v>
      </c>
      <c r="B22" s="32">
        <f>SUM(D22:AG22)</f>
        <v>-5811773.0861700363</v>
      </c>
      <c r="C22" s="32">
        <f>NPV(Parametre!B$10,D22:AG22)</f>
        <v>-2480366.2686183802</v>
      </c>
      <c r="D22" s="32">
        <f>Doprava!B187*Parametre!$B$74/100*Parametre!H40</f>
        <v>0</v>
      </c>
      <c r="E22" s="32">
        <f>Doprava!C187*Parametre!$B$74/100*Parametre!I40</f>
        <v>0</v>
      </c>
      <c r="F22" s="32">
        <f>Doprava!D187*Parametre!$B$74/100*Parametre!J40</f>
        <v>0</v>
      </c>
      <c r="G22" s="32">
        <f>Doprava!E187*Parametre!$B$74/100*Parametre!K40</f>
        <v>0</v>
      </c>
      <c r="H22" s="32">
        <f>Doprava!F187*Parametre!$B$74/100*Parametre!L40</f>
        <v>-151238.44766404305</v>
      </c>
      <c r="I22" s="32">
        <f>Doprava!G187*Parametre!$B$74/100*Parametre!M40</f>
        <v>-157872.88555370286</v>
      </c>
      <c r="J22" s="32">
        <f>Doprava!H187*Parametre!$B$74/100*Parametre!N40</f>
        <v>-164596.21351167432</v>
      </c>
      <c r="K22" s="32">
        <f>Doprava!I187*Parametre!$B$74/100*Parametre!O40</f>
        <v>-171399.45447225514</v>
      </c>
      <c r="L22" s="32">
        <f>Doprava!J187*Parametre!$B$74/100*Parametre!P40</f>
        <v>-178273.16762299556</v>
      </c>
      <c r="M22" s="32">
        <f>Doprava!K187*Parametre!$B$74/100*Parametre!Q40</f>
        <v>-185079.96330463016</v>
      </c>
      <c r="N22" s="32">
        <f>Doprava!L187*Parametre!$B$74/100*Parametre!R40</f>
        <v>-191662.79284136053</v>
      </c>
      <c r="O22" s="32">
        <f>Doprava!M187*Parametre!$B$74/100*Parametre!S40</f>
        <v>-198119.74962826254</v>
      </c>
      <c r="P22" s="32">
        <f>Doprava!N187*Parametre!$B$74/100*Parametre!T40</f>
        <v>-204284.4536552307</v>
      </c>
      <c r="Q22" s="32">
        <f>Doprava!O187*Parametre!$B$74/100*Parametre!U40</f>
        <v>-210265.05730393223</v>
      </c>
      <c r="R22" s="32">
        <f>Doprava!P187*Parametre!$B$74/100*Parametre!V40</f>
        <v>-216187.52047273636</v>
      </c>
      <c r="S22" s="32">
        <f>Doprava!Q187*Parametre!$B$74/100*Parametre!W40</f>
        <v>-222040.40409032133</v>
      </c>
      <c r="T22" s="32">
        <f>Doprava!R187*Parametre!$B$74/100*Parametre!X40</f>
        <v>-227653.88425620698</v>
      </c>
      <c r="U22" s="32">
        <f>Doprava!S187*Parametre!$B$74/100*Parametre!Y40</f>
        <v>-233166.97353163146</v>
      </c>
      <c r="V22" s="32">
        <f>Doprava!T187*Parametre!$B$74/100*Parametre!Z40</f>
        <v>-238565.84871804723</v>
      </c>
      <c r="W22" s="32">
        <f>Doprava!U187*Parametre!$B$74/100*Parametre!AA40</f>
        <v>-242132.16959053374</v>
      </c>
      <c r="X22" s="32">
        <f>Doprava!V187*Parametre!$B$74/100*Parametre!AB40</f>
        <v>-245751.80339374271</v>
      </c>
      <c r="Y22" s="32">
        <f>Doprava!W187*Parametre!$B$74/100*Parametre!AC40</f>
        <v>-249251.80057767616</v>
      </c>
      <c r="Z22" s="32">
        <f>Doprava!X187*Parametre!$B$74/100*Parametre!AD40</f>
        <v>-252801.64472150305</v>
      </c>
      <c r="AA22" s="32">
        <f>Doprava!Y187*Parametre!$B$74/100*Parametre!AE40</f>
        <v>-256402.04574562694</v>
      </c>
      <c r="AB22" s="32">
        <f>Doprava!Z187*Parametre!$B$74/100*Parametre!AF40</f>
        <v>-260053.72368113595</v>
      </c>
      <c r="AC22" s="32">
        <f>Doprava!AA187*Parametre!$B$74/100*Parametre!AG40</f>
        <v>-263757.40881380247</v>
      </c>
      <c r="AD22" s="32">
        <f>Doprava!AB187*Parametre!$B$74/100*Parametre!AH40</f>
        <v>-267327.365342098</v>
      </c>
      <c r="AE22" s="32">
        <f>Doprava!AC187*Parametre!$B$74/100*Parametre!AI40</f>
        <v>-270945.6412320034</v>
      </c>
      <c r="AF22" s="32">
        <f>Doprava!AD187*Parametre!$B$74/100*Parametre!AJ40</f>
        <v>-274612.89048607805</v>
      </c>
      <c r="AG22" s="32">
        <f>Doprava!AE187*Parametre!$B$74/100*Parametre!AK40</f>
        <v>-278329.77595880674</v>
      </c>
    </row>
    <row r="23" spans="1:33" x14ac:dyDescent="0.2">
      <c r="A23" s="7" t="s">
        <v>15</v>
      </c>
      <c r="B23" s="32">
        <f>SUM(D23:AG23)</f>
        <v>-11414641.247210734</v>
      </c>
      <c r="C23" s="32">
        <f>NPV(Parametre!B$10,D23:AG23)</f>
        <v>-5009416.2245598743</v>
      </c>
      <c r="D23" s="32">
        <f t="shared" ref="D23:AG23" si="3">SUM(D19:D22)</f>
        <v>0</v>
      </c>
      <c r="E23" s="32">
        <f t="shared" si="3"/>
        <v>0</v>
      </c>
      <c r="F23" s="32">
        <f t="shared" si="3"/>
        <v>-151010.64182984014</v>
      </c>
      <c r="G23" s="32">
        <f t="shared" si="3"/>
        <v>-156672.96545906589</v>
      </c>
      <c r="H23" s="32">
        <f t="shared" si="3"/>
        <v>-313505.66106446204</v>
      </c>
      <c r="I23" s="32">
        <f t="shared" si="3"/>
        <v>-325818.79586359434</v>
      </c>
      <c r="J23" s="32">
        <f t="shared" si="3"/>
        <v>-338300.21485544543</v>
      </c>
      <c r="K23" s="32">
        <f t="shared" si="3"/>
        <v>-350935.53639442311</v>
      </c>
      <c r="L23" s="32">
        <f t="shared" si="3"/>
        <v>-318834.88142127573</v>
      </c>
      <c r="M23" s="32">
        <f t="shared" si="3"/>
        <v>-333892.67025423079</v>
      </c>
      <c r="N23" s="32">
        <f t="shared" si="3"/>
        <v>-348695.01941829384</v>
      </c>
      <c r="O23" s="32">
        <f t="shared" si="3"/>
        <v>-363409.90202132985</v>
      </c>
      <c r="P23" s="32">
        <f t="shared" si="3"/>
        <v>-377722.66494494199</v>
      </c>
      <c r="Q23" s="32">
        <f t="shared" si="3"/>
        <v>-391821.01365607412</v>
      </c>
      <c r="R23" s="32">
        <f t="shared" si="3"/>
        <v>-405932.83616066637</v>
      </c>
      <c r="S23" s="32">
        <f t="shared" si="3"/>
        <v>-416065.81707628374</v>
      </c>
      <c r="T23" s="32">
        <f t="shared" si="3"/>
        <v>-429834.76507260883</v>
      </c>
      <c r="U23" s="32">
        <f t="shared" si="3"/>
        <v>-443526.6946627642</v>
      </c>
      <c r="V23" s="32">
        <f t="shared" si="3"/>
        <v>-457113.35275392886</v>
      </c>
      <c r="W23" s="32">
        <f t="shared" si="3"/>
        <v>-464125.30298551882</v>
      </c>
      <c r="X23" s="32">
        <f t="shared" si="3"/>
        <v>-471227.43832994532</v>
      </c>
      <c r="Y23" s="32">
        <f t="shared" si="3"/>
        <v>-478087.64303174446</v>
      </c>
      <c r="Z23" s="53">
        <f t="shared" si="3"/>
        <v>-485030.42475505068</v>
      </c>
      <c r="AA23" s="53">
        <f t="shared" si="3"/>
        <v>-492056.77451256232</v>
      </c>
      <c r="AB23" s="53">
        <f t="shared" si="3"/>
        <v>-499167.6957162816</v>
      </c>
      <c r="AC23" s="53">
        <f t="shared" si="3"/>
        <v>-506364.20433967479</v>
      </c>
      <c r="AD23" s="53">
        <f t="shared" si="3"/>
        <v>-513289.27975882113</v>
      </c>
      <c r="AE23" s="53">
        <f t="shared" si="3"/>
        <v>-520291.99011988105</v>
      </c>
      <c r="AF23" s="53">
        <f t="shared" si="3"/>
        <v>-527373.21525385906</v>
      </c>
      <c r="AG23" s="53">
        <f t="shared" si="3"/>
        <v>-534533.84549816255</v>
      </c>
    </row>
    <row r="24" spans="1:33" x14ac:dyDescent="0.2">
      <c r="C24" s="139"/>
    </row>
    <row r="25" spans="1:33" x14ac:dyDescent="0.2">
      <c r="A25" s="1" t="s">
        <v>155</v>
      </c>
      <c r="L25" s="1"/>
      <c r="W25" s="1"/>
    </row>
    <row r="26" spans="1:33" x14ac:dyDescent="0.2">
      <c r="A26" s="7" t="s">
        <v>32</v>
      </c>
      <c r="B26" s="32" t="s">
        <v>21</v>
      </c>
      <c r="C26" s="121" t="s">
        <v>89</v>
      </c>
      <c r="D26" s="32">
        <f>Parametre!B12</f>
        <v>2022</v>
      </c>
      <c r="E26" s="32">
        <f t="shared" ref="E26:AG26" si="4">(D26+1)</f>
        <v>2023</v>
      </c>
      <c r="F26" s="32">
        <f t="shared" si="4"/>
        <v>2024</v>
      </c>
      <c r="G26" s="32">
        <f t="shared" si="4"/>
        <v>2025</v>
      </c>
      <c r="H26" s="32">
        <f t="shared" si="4"/>
        <v>2026</v>
      </c>
      <c r="I26" s="32">
        <f t="shared" si="4"/>
        <v>2027</v>
      </c>
      <c r="J26" s="32">
        <f t="shared" si="4"/>
        <v>2028</v>
      </c>
      <c r="K26" s="32">
        <f t="shared" si="4"/>
        <v>2029</v>
      </c>
      <c r="L26" s="32">
        <f t="shared" si="4"/>
        <v>2030</v>
      </c>
      <c r="M26" s="32">
        <f t="shared" si="4"/>
        <v>2031</v>
      </c>
      <c r="N26" s="32">
        <f t="shared" si="4"/>
        <v>2032</v>
      </c>
      <c r="O26" s="32">
        <f t="shared" si="4"/>
        <v>2033</v>
      </c>
      <c r="P26" s="32">
        <f t="shared" si="4"/>
        <v>2034</v>
      </c>
      <c r="Q26" s="32">
        <f t="shared" si="4"/>
        <v>2035</v>
      </c>
      <c r="R26" s="32">
        <f t="shared" si="4"/>
        <v>2036</v>
      </c>
      <c r="S26" s="32">
        <f t="shared" si="4"/>
        <v>2037</v>
      </c>
      <c r="T26" s="32">
        <f t="shared" si="4"/>
        <v>2038</v>
      </c>
      <c r="U26" s="32">
        <f t="shared" si="4"/>
        <v>2039</v>
      </c>
      <c r="V26" s="32">
        <f t="shared" si="4"/>
        <v>2040</v>
      </c>
      <c r="W26" s="32">
        <f t="shared" si="4"/>
        <v>2041</v>
      </c>
      <c r="X26" s="32">
        <f t="shared" si="4"/>
        <v>2042</v>
      </c>
      <c r="Y26" s="32">
        <f t="shared" si="4"/>
        <v>2043</v>
      </c>
      <c r="Z26" s="32">
        <f t="shared" si="4"/>
        <v>2044</v>
      </c>
      <c r="AA26" s="32">
        <f t="shared" si="4"/>
        <v>2045</v>
      </c>
      <c r="AB26" s="32">
        <f t="shared" si="4"/>
        <v>2046</v>
      </c>
      <c r="AC26" s="32">
        <f t="shared" si="4"/>
        <v>2047</v>
      </c>
      <c r="AD26" s="32">
        <f t="shared" si="4"/>
        <v>2048</v>
      </c>
      <c r="AE26" s="32">
        <f t="shared" si="4"/>
        <v>2049</v>
      </c>
      <c r="AF26" s="32">
        <f t="shared" si="4"/>
        <v>2050</v>
      </c>
      <c r="AG26" s="32">
        <f t="shared" si="4"/>
        <v>2051</v>
      </c>
    </row>
    <row r="27" spans="1:33" x14ac:dyDescent="0.2">
      <c r="A27" s="7" t="s">
        <v>149</v>
      </c>
      <c r="B27" s="32">
        <f>SUM(D27:AG27)</f>
        <v>0</v>
      </c>
      <c r="C27" s="32">
        <f>NPV(Parametre!B$10,D27:AG27)</f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</row>
    <row r="28" spans="1:33" x14ac:dyDescent="0.2">
      <c r="A28" s="7" t="s">
        <v>47</v>
      </c>
      <c r="B28" s="32">
        <f>SUM(D28:AG28)</f>
        <v>-2524683.0833707009</v>
      </c>
      <c r="C28" s="32">
        <f>NPV(Parametre!B$10,D28:AG28)</f>
        <v>-1017341.6680997696</v>
      </c>
      <c r="D28" s="32">
        <f>Doprava!B184*Parametre!$C$71/100*Parametre!H42</f>
        <v>0</v>
      </c>
      <c r="E28" s="32">
        <f>Doprava!C184*Parametre!$C$71/100*Parametre!I42</f>
        <v>0</v>
      </c>
      <c r="F28" s="32">
        <f>Doprava!D184*Parametre!$C$71/100*Parametre!J42</f>
        <v>-10394.083852816553</v>
      </c>
      <c r="G28" s="32">
        <f>Doprava!E184*Parametre!$C$71/100*Parametre!K42</f>
        <v>-10832.830162384684</v>
      </c>
      <c r="H28" s="32">
        <f>Doprava!F184*Parametre!$C$71/100*Parametre!L42</f>
        <v>-11271.316045282612</v>
      </c>
      <c r="I28" s="32">
        <f>Doprava!G184*Parametre!$C$71/100*Parametre!M42</f>
        <v>-11720.571417625817</v>
      </c>
      <c r="J28" s="32">
        <f>Doprava!H184*Parametre!$C$71/100*Parametre!N42</f>
        <v>-12180.832760247989</v>
      </c>
      <c r="K28" s="32">
        <f>Doprava!I184*Parametre!$C$71/100*Parametre!O42</f>
        <v>-12652.367730098154</v>
      </c>
      <c r="L28" s="32">
        <f>Doprava!J184*Parametre!$C$71/100*Parametre!P42</f>
        <v>-92347.052433676261</v>
      </c>
      <c r="M28" s="32">
        <f>Doprava!K184*Parametre!$C$71/100*Parametre!Q42</f>
        <v>-94362.782284988265</v>
      </c>
      <c r="N28" s="32">
        <f>Doprava!L184*Parametre!$C$71/100*Parametre!R42</f>
        <v>-96411.067452480682</v>
      </c>
      <c r="O28" s="32">
        <f>Doprava!M184*Parametre!$C$71/100*Parametre!S42</f>
        <v>-98492.121746699457</v>
      </c>
      <c r="P28" s="32">
        <f>Doprava!N184*Parametre!$C$71/100*Parametre!T42</f>
        <v>-100606.1517232645</v>
      </c>
      <c r="Q28" s="32">
        <f>Doprava!O184*Parametre!$C$71/100*Parametre!U42</f>
        <v>-102754.37315008258</v>
      </c>
      <c r="R28" s="32">
        <f>Doprava!P184*Parametre!$C$71/100*Parametre!V42</f>
        <v>-104937.0422923661</v>
      </c>
      <c r="S28" s="32">
        <f>Doprava!Q184*Parametre!$C$71/100*Parametre!W42</f>
        <v>-105058.30856061964</v>
      </c>
      <c r="T28" s="32">
        <f>Doprava!R184*Parametre!$C$71/100*Parametre!X42</f>
        <v>-107278.6130198905</v>
      </c>
      <c r="U28" s="32">
        <f>Doprava!S184*Parametre!$C$71/100*Parametre!Y42</f>
        <v>-109533.91436496199</v>
      </c>
      <c r="V28" s="32">
        <f>Doprava!T184*Parametre!$C$71/100*Parametre!Z42</f>
        <v>-111825.55781286444</v>
      </c>
      <c r="W28" s="32">
        <f>Doprava!U184*Parametre!$C$71/100*Parametre!AA42</f>
        <v>-113339.11673786159</v>
      </c>
      <c r="X28" s="32">
        <f>Doprava!V184*Parametre!$C$71/100*Parametre!AB42</f>
        <v>-114861.7881025439</v>
      </c>
      <c r="Y28" s="32">
        <f>Doprava!W184*Parametre!$C$71/100*Parametre!AC42</f>
        <v>-116393.38964363966</v>
      </c>
      <c r="Z28" s="32">
        <f>Doprava!X184*Parametre!$C$71/100*Parametre!AD42</f>
        <v>-117934.90195017921</v>
      </c>
      <c r="AA28" s="32">
        <f>Doprava!Y184*Parametre!$C$71/100*Parametre!AE42</f>
        <v>-119486.17873191423</v>
      </c>
      <c r="AB28" s="32">
        <f>Doprava!Z184*Parametre!$C$71/100*Parametre!AF42</f>
        <v>-121045.87005847911</v>
      </c>
      <c r="AC28" s="32">
        <f>Doprava!AA184*Parametre!$C$71/100*Parametre!AG42</f>
        <v>-122614.98827727653</v>
      </c>
      <c r="AD28" s="32">
        <f>Doprava!AB184*Parametre!$C$71/100*Parametre!AH42</f>
        <v>-124194.6034521309</v>
      </c>
      <c r="AE28" s="32">
        <f>Doprava!AC184*Parametre!$C$71/100*Parametre!AI42</f>
        <v>-125783.351739278</v>
      </c>
      <c r="AF28" s="32">
        <f>Doprava!AD184*Parametre!$C$71/100*Parametre!AJ42</f>
        <v>-127381.06382248874</v>
      </c>
      <c r="AG28" s="32">
        <f>Doprava!AE184*Parametre!$C$71/100*Parametre!AK42</f>
        <v>-128988.84404455937</v>
      </c>
    </row>
    <row r="29" spans="1:33" x14ac:dyDescent="0.2">
      <c r="A29" s="7" t="s">
        <v>48</v>
      </c>
      <c r="B29" s="32">
        <f>SUM(D29:AG29)</f>
        <v>-21320963.365316689</v>
      </c>
      <c r="C29" s="32">
        <f>NPV(Parametre!B$10,D29:AG29)</f>
        <v>-8973335.9023124482</v>
      </c>
      <c r="D29" s="32">
        <f>Doprava!B183*Parametre!$C$70/100*Parametre!H42</f>
        <v>0</v>
      </c>
      <c r="E29" s="32">
        <f>Doprava!C183*Parametre!$C$70/100*Parametre!I42</f>
        <v>0</v>
      </c>
      <c r="F29" s="32">
        <f>Doprava!D183*Parametre!$C$70/100*Parametre!J42</f>
        <v>-250674.50952541671</v>
      </c>
      <c r="G29" s="32">
        <f>Doprava!E183*Parametre!$C$70/100*Parametre!K42</f>
        <v>-261255.77070383949</v>
      </c>
      <c r="H29" s="32">
        <f>Doprava!F183*Parametre!$C$70/100*Parametre!L42</f>
        <v>-271830.75116250408</v>
      </c>
      <c r="I29" s="32">
        <f>Doprava!G183*Parametre!$C$70/100*Parametre!M42</f>
        <v>-282665.45980142622</v>
      </c>
      <c r="J29" s="32">
        <f>Doprava!H183*Parametre!$C$70/100*Parametre!N42</f>
        <v>-293765.59983772755</v>
      </c>
      <c r="K29" s="32">
        <f>Doprava!I183*Parametre!$C$70/100*Parametre!O42</f>
        <v>-305137.62636407139</v>
      </c>
      <c r="L29" s="32">
        <f>Doprava!J183*Parametre!$C$70/100*Parametre!P42</f>
        <v>-728198.00474096648</v>
      </c>
      <c r="M29" s="32">
        <f>Doprava!K183*Parametre!$C$70/100*Parametre!Q42</f>
        <v>-744092.94039011933</v>
      </c>
      <c r="N29" s="32">
        <f>Doprava!L183*Parametre!$C$70/100*Parametre!R42</f>
        <v>-760244.58933613985</v>
      </c>
      <c r="O29" s="32">
        <f>Doprava!M183*Parametre!$C$70/100*Parametre!S42</f>
        <v>-776654.63757125905</v>
      </c>
      <c r="P29" s="32">
        <f>Doprava!N183*Parametre!$C$70/100*Parametre!T42</f>
        <v>-793324.71387935663</v>
      </c>
      <c r="Q29" s="32">
        <f>Doprava!O183*Parametre!$C$70/100*Parametre!U42</f>
        <v>-810264.40513668431</v>
      </c>
      <c r="R29" s="32">
        <f>Doprava!P183*Parametre!$C$70/100*Parametre!V42</f>
        <v>-827475.73210959497</v>
      </c>
      <c r="S29" s="32">
        <f>Doprava!Q183*Parametre!$C$70/100*Parametre!W42</f>
        <v>-845798.43868509086</v>
      </c>
      <c r="T29" s="32">
        <f>Doprava!R183*Parametre!$C$70/100*Parametre!X42</f>
        <v>-863673.56032740488</v>
      </c>
      <c r="U29" s="32">
        <f>Doprava!S183*Parametre!$C$70/100*Parametre!Y42</f>
        <v>-881830.43323503563</v>
      </c>
      <c r="V29" s="32">
        <f>Doprava!T183*Parametre!$C$70/100*Parametre!Z42</f>
        <v>-900279.88741733332</v>
      </c>
      <c r="W29" s="32">
        <f>Doprava!U183*Parametre!$C$70/100*Parametre!AA42</f>
        <v>-912465.17569352698</v>
      </c>
      <c r="X29" s="32">
        <f>Doprava!V183*Parametre!$C$70/100*Parametre!AB42</f>
        <v>-924723.82596615795</v>
      </c>
      <c r="Y29" s="32">
        <f>Doprava!W183*Parametre!$C$70/100*Parametre!AC42</f>
        <v>-937054.37087873835</v>
      </c>
      <c r="Z29" s="32">
        <f>Doprava!X183*Parametre!$C$70/100*Parametre!AD42</f>
        <v>-949464.70491084107</v>
      </c>
      <c r="AA29" s="32">
        <f>Doprava!Y183*Parametre!$C$70/100*Parametre!AE42</f>
        <v>-961953.65031588578</v>
      </c>
      <c r="AB29" s="32">
        <f>Doprava!Z183*Parametre!$C$70/100*Parametre!AF42</f>
        <v>-974510.33913862717</v>
      </c>
      <c r="AC29" s="32">
        <f>Doprava!AA183*Parametre!$C$70/100*Parametre!AG42</f>
        <v>-987142.92153743305</v>
      </c>
      <c r="AD29" s="32">
        <f>Doprava!AB183*Parametre!$C$70/100*Parametre!AH42</f>
        <v>-999860.01233129646</v>
      </c>
      <c r="AE29" s="32">
        <f>Doprava!AC183*Parametre!$C$70/100*Parametre!AI42</f>
        <v>-1012650.6315516437</v>
      </c>
      <c r="AF29" s="32">
        <f>Doprava!AD183*Parametre!$C$70/100*Parametre!AJ42</f>
        <v>-1025513.4160754228</v>
      </c>
      <c r="AG29" s="32">
        <f>Doprava!AE183*Parametre!$C$70/100*Parametre!AK42</f>
        <v>-1038457.2566931448</v>
      </c>
    </row>
    <row r="30" spans="1:33" x14ac:dyDescent="0.2">
      <c r="A30" s="7" t="s">
        <v>46</v>
      </c>
      <c r="B30" s="32">
        <f>SUM(D30:AG30)</f>
        <v>0</v>
      </c>
      <c r="C30" s="32">
        <f>NPV(Parametre!B$10,D30:AG30)</f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</row>
    <row r="31" spans="1:33" x14ac:dyDescent="0.2">
      <c r="A31" s="7" t="s">
        <v>15</v>
      </c>
      <c r="B31" s="32">
        <f>SUM(D31:AG31)</f>
        <v>-23845646.448687393</v>
      </c>
      <c r="C31" s="32">
        <f>NPV(Parametre!B$10,D31:AG31)</f>
        <v>-9990677.5704122186</v>
      </c>
      <c r="D31" s="32">
        <f t="shared" ref="D31:AG31" si="5">SUM(D27:D30)</f>
        <v>0</v>
      </c>
      <c r="E31" s="32">
        <f t="shared" si="5"/>
        <v>0</v>
      </c>
      <c r="F31" s="32">
        <f t="shared" si="5"/>
        <v>-261068.59337823326</v>
      </c>
      <c r="G31" s="32">
        <f t="shared" si="5"/>
        <v>-272088.60086622415</v>
      </c>
      <c r="H31" s="32">
        <f t="shared" si="5"/>
        <v>-283102.06720778672</v>
      </c>
      <c r="I31" s="32">
        <f t="shared" si="5"/>
        <v>-294386.03121905203</v>
      </c>
      <c r="J31" s="32">
        <f t="shared" si="5"/>
        <v>-305946.43259797554</v>
      </c>
      <c r="K31" s="32">
        <f t="shared" si="5"/>
        <v>-317789.99409416952</v>
      </c>
      <c r="L31" s="32">
        <f t="shared" si="5"/>
        <v>-820545.0571746428</v>
      </c>
      <c r="M31" s="32">
        <f t="shared" si="5"/>
        <v>-838455.72267510765</v>
      </c>
      <c r="N31" s="32">
        <f t="shared" si="5"/>
        <v>-856655.65678862052</v>
      </c>
      <c r="O31" s="32">
        <f t="shared" si="5"/>
        <v>-875146.75931795849</v>
      </c>
      <c r="P31" s="32">
        <f t="shared" si="5"/>
        <v>-893930.86560262111</v>
      </c>
      <c r="Q31" s="32">
        <f t="shared" si="5"/>
        <v>-913018.77828676684</v>
      </c>
      <c r="R31" s="32">
        <f t="shared" si="5"/>
        <v>-932412.77440196113</v>
      </c>
      <c r="S31" s="32">
        <f t="shared" si="5"/>
        <v>-950856.74724571046</v>
      </c>
      <c r="T31" s="32">
        <f t="shared" si="5"/>
        <v>-970952.17334729538</v>
      </c>
      <c r="U31" s="32">
        <f t="shared" si="5"/>
        <v>-991364.34759999765</v>
      </c>
      <c r="V31" s="32">
        <f t="shared" si="5"/>
        <v>-1012105.4452301977</v>
      </c>
      <c r="W31" s="32">
        <f t="shared" si="5"/>
        <v>-1025804.2924313885</v>
      </c>
      <c r="X31" s="32">
        <f t="shared" si="5"/>
        <v>-1039585.6140687019</v>
      </c>
      <c r="Y31" s="32">
        <f t="shared" si="5"/>
        <v>-1053447.7605223779</v>
      </c>
      <c r="Z31" s="32">
        <f t="shared" si="5"/>
        <v>-1067399.6068610202</v>
      </c>
      <c r="AA31" s="32">
        <f t="shared" si="5"/>
        <v>-1081439.8290478</v>
      </c>
      <c r="AB31" s="32">
        <f t="shared" si="5"/>
        <v>-1095556.2091971063</v>
      </c>
      <c r="AC31" s="32">
        <f t="shared" si="5"/>
        <v>-1109757.9098147096</v>
      </c>
      <c r="AD31" s="32">
        <f t="shared" si="5"/>
        <v>-1124054.6157834274</v>
      </c>
      <c r="AE31" s="32">
        <f t="shared" si="5"/>
        <v>-1138433.9832909217</v>
      </c>
      <c r="AF31" s="32">
        <f t="shared" si="5"/>
        <v>-1152894.4798979114</v>
      </c>
      <c r="AG31" s="32">
        <f t="shared" si="5"/>
        <v>-1167446.1007377042</v>
      </c>
    </row>
    <row r="32" spans="1:33" x14ac:dyDescent="0.2">
      <c r="C32" s="139"/>
    </row>
    <row r="33" spans="1:43" x14ac:dyDescent="0.2">
      <c r="A33" s="1" t="s">
        <v>127</v>
      </c>
      <c r="L33" s="1"/>
      <c r="W33" s="1"/>
    </row>
    <row r="34" spans="1:43" x14ac:dyDescent="0.2">
      <c r="A34" s="7" t="s">
        <v>32</v>
      </c>
      <c r="B34" s="32" t="s">
        <v>21</v>
      </c>
      <c r="C34" s="121" t="s">
        <v>89</v>
      </c>
      <c r="D34" s="32">
        <f>Parametre!B12</f>
        <v>2022</v>
      </c>
      <c r="E34" s="32">
        <f t="shared" ref="E34:AG34" si="6">(D34+1)</f>
        <v>2023</v>
      </c>
      <c r="F34" s="32">
        <f t="shared" si="6"/>
        <v>2024</v>
      </c>
      <c r="G34" s="32">
        <f t="shared" si="6"/>
        <v>2025</v>
      </c>
      <c r="H34" s="32">
        <f t="shared" si="6"/>
        <v>2026</v>
      </c>
      <c r="I34" s="32">
        <f t="shared" si="6"/>
        <v>2027</v>
      </c>
      <c r="J34" s="32">
        <f t="shared" si="6"/>
        <v>2028</v>
      </c>
      <c r="K34" s="32">
        <f t="shared" si="6"/>
        <v>2029</v>
      </c>
      <c r="L34" s="32">
        <f t="shared" si="6"/>
        <v>2030</v>
      </c>
      <c r="M34" s="32">
        <f t="shared" si="6"/>
        <v>2031</v>
      </c>
      <c r="N34" s="32">
        <f t="shared" si="6"/>
        <v>2032</v>
      </c>
      <c r="O34" s="32">
        <f t="shared" si="6"/>
        <v>2033</v>
      </c>
      <c r="P34" s="32">
        <f t="shared" si="6"/>
        <v>2034</v>
      </c>
      <c r="Q34" s="32">
        <f t="shared" si="6"/>
        <v>2035</v>
      </c>
      <c r="R34" s="32">
        <f t="shared" si="6"/>
        <v>2036</v>
      </c>
      <c r="S34" s="32">
        <f t="shared" si="6"/>
        <v>2037</v>
      </c>
      <c r="T34" s="32">
        <f t="shared" si="6"/>
        <v>2038</v>
      </c>
      <c r="U34" s="32">
        <f t="shared" si="6"/>
        <v>2039</v>
      </c>
      <c r="V34" s="32">
        <f t="shared" si="6"/>
        <v>2040</v>
      </c>
      <c r="W34" s="32">
        <f t="shared" si="6"/>
        <v>2041</v>
      </c>
      <c r="X34" s="32">
        <f t="shared" si="6"/>
        <v>2042</v>
      </c>
      <c r="Y34" s="32">
        <f t="shared" si="6"/>
        <v>2043</v>
      </c>
      <c r="Z34" s="32">
        <f t="shared" si="6"/>
        <v>2044</v>
      </c>
      <c r="AA34" s="32">
        <f t="shared" si="6"/>
        <v>2045</v>
      </c>
      <c r="AB34" s="32">
        <f t="shared" si="6"/>
        <v>2046</v>
      </c>
      <c r="AC34" s="32">
        <f t="shared" si="6"/>
        <v>2047</v>
      </c>
      <c r="AD34" s="32">
        <f t="shared" si="6"/>
        <v>2048</v>
      </c>
      <c r="AE34" s="32">
        <f t="shared" si="6"/>
        <v>2049</v>
      </c>
      <c r="AF34" s="32">
        <f t="shared" si="6"/>
        <v>2050</v>
      </c>
      <c r="AG34" s="32">
        <f t="shared" si="6"/>
        <v>2051</v>
      </c>
    </row>
    <row r="35" spans="1:43" x14ac:dyDescent="0.2">
      <c r="A35" s="7" t="s">
        <v>149</v>
      </c>
      <c r="B35" s="32">
        <f>SUM(D35:AG35)</f>
        <v>26325869.982481588</v>
      </c>
      <c r="C35" s="32">
        <f>NPV(Parametre!B$10,D35:AG35)</f>
        <v>10534582.425445756</v>
      </c>
      <c r="D35" s="32">
        <f t="shared" ref="D35:AG35" si="7">D11+D19+D27</f>
        <v>0</v>
      </c>
      <c r="E35" s="32">
        <f t="shared" si="7"/>
        <v>0</v>
      </c>
      <c r="F35" s="32">
        <f t="shared" si="7"/>
        <v>0</v>
      </c>
      <c r="G35" s="32">
        <f t="shared" si="7"/>
        <v>0</v>
      </c>
      <c r="H35" s="32">
        <f t="shared" si="7"/>
        <v>0</v>
      </c>
      <c r="I35" s="32">
        <f t="shared" si="7"/>
        <v>0</v>
      </c>
      <c r="J35" s="32">
        <f t="shared" si="7"/>
        <v>0</v>
      </c>
      <c r="K35" s="32">
        <f t="shared" si="7"/>
        <v>0</v>
      </c>
      <c r="L35" s="32">
        <f t="shared" si="7"/>
        <v>1094500.0159648499</v>
      </c>
      <c r="M35" s="32">
        <f t="shared" si="7"/>
        <v>1112121.4662218839</v>
      </c>
      <c r="N35" s="32">
        <f t="shared" si="7"/>
        <v>1127691.1667489903</v>
      </c>
      <c r="O35" s="32">
        <f t="shared" si="7"/>
        <v>1141900.0754500274</v>
      </c>
      <c r="P35" s="32">
        <f t="shared" si="7"/>
        <v>1153890.0262422527</v>
      </c>
      <c r="Q35" s="32">
        <f t="shared" si="7"/>
        <v>1164390.4254810573</v>
      </c>
      <c r="R35" s="32">
        <f t="shared" si="7"/>
        <v>1174171.3050550984</v>
      </c>
      <c r="S35" s="32">
        <f t="shared" si="7"/>
        <v>1183212.4241040226</v>
      </c>
      <c r="T35" s="32">
        <f t="shared" si="7"/>
        <v>1190666.6623758778</v>
      </c>
      <c r="U35" s="32">
        <f t="shared" si="7"/>
        <v>1197334.3956851829</v>
      </c>
      <c r="V35" s="32">
        <f t="shared" si="7"/>
        <v>1203201.3342240402</v>
      </c>
      <c r="W35" s="32">
        <f t="shared" si="7"/>
        <v>1209097.0207617376</v>
      </c>
      <c r="X35" s="32">
        <f t="shared" si="7"/>
        <v>1215021.5961634701</v>
      </c>
      <c r="Y35" s="32">
        <f t="shared" si="7"/>
        <v>1220124.6868673568</v>
      </c>
      <c r="Z35" s="32">
        <f t="shared" si="7"/>
        <v>1225249.2105521995</v>
      </c>
      <c r="AA35" s="32">
        <f t="shared" si="7"/>
        <v>1230395.2572365187</v>
      </c>
      <c r="AB35" s="32">
        <f t="shared" si="7"/>
        <v>1235562.9173169122</v>
      </c>
      <c r="AC35" s="32">
        <f t="shared" si="7"/>
        <v>1240752.2815696429</v>
      </c>
      <c r="AD35" s="32">
        <f t="shared" si="7"/>
        <v>1245094.9145551368</v>
      </c>
      <c r="AE35" s="32">
        <f t="shared" si="7"/>
        <v>1249452.7467560798</v>
      </c>
      <c r="AF35" s="32">
        <f t="shared" si="7"/>
        <v>1253825.8313697262</v>
      </c>
      <c r="AG35" s="32">
        <f t="shared" si="7"/>
        <v>1258214.2217795204</v>
      </c>
    </row>
    <row r="36" spans="1:43" x14ac:dyDescent="0.2">
      <c r="A36" s="7" t="s">
        <v>47</v>
      </c>
      <c r="B36" s="32">
        <f>SUM(D36:AG36)</f>
        <v>-9007297.5068602338</v>
      </c>
      <c r="C36" s="32">
        <f>NPV(Parametre!B$10,D36:AG36)</f>
        <v>-3650749.5363240889</v>
      </c>
      <c r="D36" s="32">
        <f t="shared" ref="D36:AG36" si="8">D12+D20+D28</f>
        <v>0</v>
      </c>
      <c r="E36" s="32">
        <f t="shared" si="8"/>
        <v>0</v>
      </c>
      <c r="F36" s="32">
        <f t="shared" si="8"/>
        <v>-38440.201734028138</v>
      </c>
      <c r="G36" s="32">
        <f t="shared" si="8"/>
        <v>-39930.570591931501</v>
      </c>
      <c r="H36" s="32">
        <f t="shared" si="8"/>
        <v>-41408.035816409261</v>
      </c>
      <c r="I36" s="32">
        <f t="shared" si="8"/>
        <v>-42911.954628394014</v>
      </c>
      <c r="J36" s="32">
        <f t="shared" si="8"/>
        <v>-44441.62470903682</v>
      </c>
      <c r="K36" s="32">
        <f t="shared" si="8"/>
        <v>-45996.309961625011</v>
      </c>
      <c r="L36" s="32">
        <f t="shared" si="8"/>
        <v>-334473.14841964142</v>
      </c>
      <c r="M36" s="32">
        <f t="shared" si="8"/>
        <v>-342994.96627331956</v>
      </c>
      <c r="N36" s="32">
        <f t="shared" si="8"/>
        <v>-351196.50018302881</v>
      </c>
      <c r="O36" s="32">
        <f t="shared" si="8"/>
        <v>-359222.60565899173</v>
      </c>
      <c r="P36" s="32">
        <f t="shared" si="8"/>
        <v>-366867.06814896554</v>
      </c>
      <c r="Q36" s="32">
        <f t="shared" si="8"/>
        <v>-374286.31315736839</v>
      </c>
      <c r="R36" s="32">
        <f t="shared" si="8"/>
        <v>-381652.26636372862</v>
      </c>
      <c r="S36" s="32">
        <f t="shared" si="8"/>
        <v>-381347.5431077652</v>
      </c>
      <c r="T36" s="32">
        <f t="shared" si="8"/>
        <v>-388287.16034634353</v>
      </c>
      <c r="U36" s="32">
        <f t="shared" si="8"/>
        <v>-395143.57192659646</v>
      </c>
      <c r="V36" s="32">
        <f t="shared" si="8"/>
        <v>-401909.5934745649</v>
      </c>
      <c r="W36" s="32">
        <f t="shared" si="8"/>
        <v>-405864.83324033191</v>
      </c>
      <c r="X36" s="32">
        <f t="shared" si="8"/>
        <v>-409849.73743967304</v>
      </c>
      <c r="Y36" s="32">
        <f t="shared" si="8"/>
        <v>-413657.08251351997</v>
      </c>
      <c r="Z36" s="32">
        <f t="shared" si="8"/>
        <v>-417491.89503144269</v>
      </c>
      <c r="AA36" s="32">
        <f t="shared" si="8"/>
        <v>-421354.16414770181</v>
      </c>
      <c r="AB36" s="32">
        <f t="shared" si="8"/>
        <v>-425242.67642135394</v>
      </c>
      <c r="AC36" s="32">
        <f t="shared" si="8"/>
        <v>-429158.58174219896</v>
      </c>
      <c r="AD36" s="32">
        <f t="shared" si="8"/>
        <v>-432887.75723032781</v>
      </c>
      <c r="AE36" s="32">
        <f t="shared" si="8"/>
        <v>-436641.13908505609</v>
      </c>
      <c r="AF36" s="32">
        <f t="shared" si="8"/>
        <v>-440418.66368758224</v>
      </c>
      <c r="AG36" s="32">
        <f t="shared" si="8"/>
        <v>-444221.54181930691</v>
      </c>
    </row>
    <row r="37" spans="1:43" x14ac:dyDescent="0.2">
      <c r="A37" s="7" t="s">
        <v>48</v>
      </c>
      <c r="B37" s="32">
        <f>SUM(D37:AG37)</f>
        <v>-37504846.515367441</v>
      </c>
      <c r="C37" s="32">
        <f>NPV(Parametre!B$10,D37:AG37)</f>
        <v>-15846073.071544198</v>
      </c>
      <c r="D37" s="32">
        <f t="shared" ref="D37:AG38" si="9">D13+D21+D29</f>
        <v>0</v>
      </c>
      <c r="E37" s="32">
        <f t="shared" si="9"/>
        <v>0</v>
      </c>
      <c r="F37" s="32">
        <f t="shared" si="9"/>
        <v>-450261.18470040715</v>
      </c>
      <c r="G37" s="32">
        <f t="shared" si="9"/>
        <v>-468326.18565523182</v>
      </c>
      <c r="H37" s="32">
        <f t="shared" si="9"/>
        <v>-486294.93209747074</v>
      </c>
      <c r="I37" s="32">
        <f t="shared" si="9"/>
        <v>-504635.02063382568</v>
      </c>
      <c r="J37" s="32">
        <f t="shared" si="9"/>
        <v>-523345.4736313945</v>
      </c>
      <c r="K37" s="32">
        <f t="shared" si="9"/>
        <v>-542425.60309598339</v>
      </c>
      <c r="L37" s="32">
        <f t="shared" si="9"/>
        <v>-1291579.8875074962</v>
      </c>
      <c r="M37" s="32">
        <f t="shared" si="9"/>
        <v>-1322613.2661786282</v>
      </c>
      <c r="N37" s="32">
        <f t="shared" si="9"/>
        <v>-1353082.3675553929</v>
      </c>
      <c r="O37" s="32">
        <f t="shared" si="9"/>
        <v>-1383325.4316588577</v>
      </c>
      <c r="P37" s="32">
        <f t="shared" si="9"/>
        <v>-1412863.7841815855</v>
      </c>
      <c r="Q37" s="32">
        <f t="shared" si="9"/>
        <v>-1442068.1558625884</v>
      </c>
      <c r="R37" s="32">
        <f t="shared" si="9"/>
        <v>-1471340.0099052559</v>
      </c>
      <c r="S37" s="32">
        <f t="shared" si="9"/>
        <v>-1502148.104730241</v>
      </c>
      <c r="T37" s="32">
        <f t="shared" si="9"/>
        <v>-1531234.3738924288</v>
      </c>
      <c r="U37" s="32">
        <f t="shared" si="9"/>
        <v>-1560321.593656491</v>
      </c>
      <c r="V37" s="32">
        <f t="shared" si="9"/>
        <v>-1589400.3312292602</v>
      </c>
      <c r="W37" s="32">
        <f t="shared" si="9"/>
        <v>-1607386.0496490854</v>
      </c>
      <c r="X37" s="32">
        <f t="shared" si="9"/>
        <v>-1625493.9531559313</v>
      </c>
      <c r="Y37" s="32">
        <f t="shared" si="9"/>
        <v>-1643230.7293687426</v>
      </c>
      <c r="Z37" s="32">
        <f t="shared" si="9"/>
        <v>-1661089.0021536881</v>
      </c>
      <c r="AA37" s="32">
        <f t="shared" si="9"/>
        <v>-1679067.9155246725</v>
      </c>
      <c r="AB37" s="32">
        <f t="shared" si="9"/>
        <v>-1697156.9257692201</v>
      </c>
      <c r="AC37" s="32">
        <f t="shared" si="9"/>
        <v>-1715364.509789905</v>
      </c>
      <c r="AD37" s="32">
        <f t="shared" si="9"/>
        <v>-1733188.0724159919</v>
      </c>
      <c r="AE37" s="32">
        <f t="shared" si="9"/>
        <v>-1751120.9713256685</v>
      </c>
      <c r="AF37" s="32">
        <f t="shared" si="9"/>
        <v>-1769162.0944895279</v>
      </c>
      <c r="AG37" s="32">
        <f t="shared" si="9"/>
        <v>-1787320.5855524593</v>
      </c>
    </row>
    <row r="38" spans="1:43" x14ac:dyDescent="0.2">
      <c r="A38" s="7" t="s">
        <v>46</v>
      </c>
      <c r="B38" s="32">
        <f>SUM(D38:AG38)</f>
        <v>-41972094.958512522</v>
      </c>
      <c r="C38" s="32">
        <f>NPV(Parametre!B$10,D38:AG38)</f>
        <v>-17912978.88179389</v>
      </c>
      <c r="D38" s="32">
        <v>0</v>
      </c>
      <c r="E38" s="32">
        <v>0</v>
      </c>
      <c r="F38" s="32">
        <v>0</v>
      </c>
      <c r="G38" s="32">
        <v>0</v>
      </c>
      <c r="H38" s="32">
        <f t="shared" si="9"/>
        <v>-1092230.2699392624</v>
      </c>
      <c r="I38" s="32">
        <f t="shared" si="9"/>
        <v>-1140143.5750481277</v>
      </c>
      <c r="J38" s="32">
        <f t="shared" si="9"/>
        <v>-1188698.8361199535</v>
      </c>
      <c r="K38" s="32">
        <f t="shared" si="9"/>
        <v>-1237831.2216053128</v>
      </c>
      <c r="L38" s="32">
        <f t="shared" ref="L38:AG38" si="10">L14+L22+L30</f>
        <v>-1287472.5508180775</v>
      </c>
      <c r="M38" s="32">
        <f t="shared" si="10"/>
        <v>-1336630.608174552</v>
      </c>
      <c r="N38" s="32">
        <f t="shared" si="10"/>
        <v>-1384171.2024673386</v>
      </c>
      <c r="O38" s="32">
        <f t="shared" si="10"/>
        <v>-1430802.7552455738</v>
      </c>
      <c r="P38" s="32">
        <f t="shared" si="10"/>
        <v>-1475323.685256891</v>
      </c>
      <c r="Q38" s="32">
        <f t="shared" si="10"/>
        <v>-1518515.0591337997</v>
      </c>
      <c r="R38" s="32">
        <f t="shared" si="10"/>
        <v>-1561286.5477696632</v>
      </c>
      <c r="S38" s="32">
        <f t="shared" si="10"/>
        <v>-1603555.5392351039</v>
      </c>
      <c r="T38" s="32">
        <f t="shared" si="10"/>
        <v>-1644095.5808156924</v>
      </c>
      <c r="U38" s="32">
        <f t="shared" si="10"/>
        <v>-1683910.6085450982</v>
      </c>
      <c r="V38" s="32">
        <f t="shared" si="10"/>
        <v>-1722900.7925446476</v>
      </c>
      <c r="W38" s="32">
        <f t="shared" si="10"/>
        <v>-1748656.4364924005</v>
      </c>
      <c r="X38" s="32">
        <f t="shared" si="10"/>
        <v>-1774797.1015615263</v>
      </c>
      <c r="Y38" s="32">
        <f t="shared" si="10"/>
        <v>-1800073.7618819633</v>
      </c>
      <c r="Z38" s="32">
        <f t="shared" si="10"/>
        <v>-1825710.4123986838</v>
      </c>
      <c r="AA38" s="32">
        <f t="shared" si="10"/>
        <v>-1851712.1800920677</v>
      </c>
      <c r="AB38" s="32">
        <f t="shared" si="10"/>
        <v>-1878084.2649609377</v>
      </c>
      <c r="AC38" s="32">
        <f t="shared" si="10"/>
        <v>-1904831.9410625095</v>
      </c>
      <c r="AD38" s="32">
        <f t="shared" si="10"/>
        <v>-1930613.841384796</v>
      </c>
      <c r="AE38" s="32">
        <f t="shared" si="10"/>
        <v>-1956744.6997279399</v>
      </c>
      <c r="AF38" s="32">
        <f t="shared" si="10"/>
        <v>-1983229.2392387539</v>
      </c>
      <c r="AG38" s="32">
        <f t="shared" si="10"/>
        <v>-2010072.2469918476</v>
      </c>
    </row>
    <row r="39" spans="1:43" x14ac:dyDescent="0.2">
      <c r="A39" s="7" t="s">
        <v>15</v>
      </c>
      <c r="B39" s="32">
        <f>SUM(D39:AG39)</f>
        <v>-62158368.998258598</v>
      </c>
      <c r="C39" s="32">
        <f>NPV(Parametre!B$10,D39:AG39)</f>
        <v>-26875219.064216431</v>
      </c>
      <c r="D39" s="32">
        <f t="shared" ref="D39:AG39" si="11">SUM(D35:D38)</f>
        <v>0</v>
      </c>
      <c r="E39" s="32">
        <f t="shared" si="11"/>
        <v>0</v>
      </c>
      <c r="F39" s="32">
        <f t="shared" si="11"/>
        <v>-488701.38643443526</v>
      </c>
      <c r="G39" s="32">
        <f t="shared" si="11"/>
        <v>-508256.75624716334</v>
      </c>
      <c r="H39" s="32">
        <f t="shared" si="11"/>
        <v>-1619933.2378531424</v>
      </c>
      <c r="I39" s="32">
        <f t="shared" si="11"/>
        <v>-1687690.5503103472</v>
      </c>
      <c r="J39" s="32">
        <f t="shared" si="11"/>
        <v>-1756485.9344603848</v>
      </c>
      <c r="K39" s="32">
        <f t="shared" si="11"/>
        <v>-1826253.1346629211</v>
      </c>
      <c r="L39" s="32">
        <f t="shared" si="11"/>
        <v>-1819025.5707803653</v>
      </c>
      <c r="M39" s="32">
        <f t="shared" si="11"/>
        <v>-1890117.3744046157</v>
      </c>
      <c r="N39" s="32">
        <f t="shared" si="11"/>
        <v>-1960758.9034567701</v>
      </c>
      <c r="O39" s="32">
        <f t="shared" si="11"/>
        <v>-2031450.7171133959</v>
      </c>
      <c r="P39" s="53">
        <f t="shared" si="11"/>
        <v>-2101164.5113451891</v>
      </c>
      <c r="Q39" s="53">
        <f t="shared" si="11"/>
        <v>-2170479.1026726994</v>
      </c>
      <c r="R39" s="53">
        <f t="shared" si="11"/>
        <v>-2240107.5189835494</v>
      </c>
      <c r="S39" s="53">
        <f t="shared" si="11"/>
        <v>-2303838.7629690878</v>
      </c>
      <c r="T39" s="53">
        <f t="shared" si="11"/>
        <v>-2372950.4526785868</v>
      </c>
      <c r="U39" s="53">
        <f t="shared" si="11"/>
        <v>-2442041.3784430027</v>
      </c>
      <c r="V39" s="53">
        <f t="shared" si="11"/>
        <v>-2511009.3830244327</v>
      </c>
      <c r="W39" s="53">
        <f t="shared" si="11"/>
        <v>-2552810.2986200801</v>
      </c>
      <c r="X39" s="53">
        <f t="shared" si="11"/>
        <v>-2595119.1959936605</v>
      </c>
      <c r="Y39" s="53">
        <f t="shared" si="11"/>
        <v>-2636836.8868968692</v>
      </c>
      <c r="Z39" s="53">
        <f t="shared" si="11"/>
        <v>-2679042.0990316151</v>
      </c>
      <c r="AA39" s="53">
        <f t="shared" si="11"/>
        <v>-2721739.0025279233</v>
      </c>
      <c r="AB39" s="53">
        <f t="shared" si="11"/>
        <v>-2764920.9498345996</v>
      </c>
      <c r="AC39" s="53">
        <f t="shared" si="11"/>
        <v>-2808602.7510249708</v>
      </c>
      <c r="AD39" s="53">
        <f t="shared" si="11"/>
        <v>-2851594.756475979</v>
      </c>
      <c r="AE39" s="53">
        <f t="shared" si="11"/>
        <v>-2895054.0633825846</v>
      </c>
      <c r="AF39" s="53">
        <f t="shared" si="11"/>
        <v>-2938984.1660461379</v>
      </c>
      <c r="AG39" s="53">
        <f t="shared" si="11"/>
        <v>-2983400.1525840936</v>
      </c>
    </row>
    <row r="40" spans="1:43" x14ac:dyDescent="0.2">
      <c r="C40" s="139"/>
    </row>
    <row r="41" spans="1:43" x14ac:dyDescent="0.2">
      <c r="A41" s="26" t="s">
        <v>317</v>
      </c>
      <c r="B41" s="123"/>
      <c r="AH41" s="50"/>
      <c r="AI41" s="50"/>
      <c r="AJ41" s="50"/>
      <c r="AK41" s="50"/>
      <c r="AL41" s="50"/>
      <c r="AM41" s="50"/>
      <c r="AN41" s="50"/>
      <c r="AO41" s="50"/>
      <c r="AP41" s="50"/>
      <c r="AQ41" s="50"/>
    </row>
    <row r="42" spans="1:43" x14ac:dyDescent="0.2">
      <c r="A42" s="26" t="s">
        <v>318</v>
      </c>
      <c r="B42" s="123"/>
      <c r="AH42" s="50"/>
      <c r="AI42" s="50"/>
      <c r="AJ42" s="50"/>
      <c r="AK42" s="50"/>
      <c r="AL42" s="50"/>
      <c r="AM42" s="50"/>
      <c r="AN42" s="50"/>
      <c r="AO42" s="50"/>
      <c r="AP42" s="50"/>
      <c r="AQ42" s="50"/>
    </row>
    <row r="43" spans="1:43" x14ac:dyDescent="0.2">
      <c r="B43" s="123"/>
      <c r="AH43" s="50"/>
      <c r="AI43" s="50"/>
      <c r="AJ43" s="50"/>
      <c r="AK43" s="50"/>
      <c r="AL43" s="50"/>
      <c r="AM43" s="50"/>
      <c r="AN43" s="50"/>
      <c r="AO43" s="50"/>
      <c r="AP43" s="50"/>
      <c r="AQ43" s="50"/>
    </row>
    <row r="44" spans="1:43" x14ac:dyDescent="0.2">
      <c r="B44" s="123"/>
      <c r="AH44" s="50"/>
      <c r="AI44" s="50"/>
      <c r="AJ44" s="50"/>
      <c r="AK44" s="50"/>
      <c r="AL44" s="50"/>
      <c r="AM44" s="50"/>
      <c r="AN44" s="50"/>
      <c r="AO44" s="50"/>
      <c r="AP44" s="50"/>
      <c r="AQ44" s="50"/>
    </row>
    <row r="45" spans="1:43" x14ac:dyDescent="0.2">
      <c r="B45" s="123"/>
      <c r="AH45" s="50"/>
      <c r="AI45" s="50"/>
      <c r="AJ45" s="50"/>
      <c r="AK45" s="50"/>
      <c r="AL45" s="50"/>
      <c r="AM45" s="50"/>
      <c r="AN45" s="50"/>
      <c r="AO45" s="50"/>
      <c r="AP45" s="50"/>
      <c r="AQ45" s="50"/>
    </row>
    <row r="46" spans="1:43" x14ac:dyDescent="0.2">
      <c r="B46" s="123"/>
      <c r="AH46" s="50"/>
      <c r="AI46" s="50"/>
      <c r="AJ46" s="50"/>
      <c r="AK46" s="50"/>
      <c r="AL46" s="50"/>
      <c r="AM46" s="50"/>
      <c r="AN46" s="50"/>
      <c r="AO46" s="50"/>
      <c r="AP46" s="50"/>
      <c r="AQ46" s="50"/>
    </row>
    <row r="47" spans="1:43" x14ac:dyDescent="0.2">
      <c r="C47" s="123"/>
    </row>
    <row r="48" spans="1:43" x14ac:dyDescent="0.2">
      <c r="C48" s="123"/>
    </row>
    <row r="49" spans="3:3" x14ac:dyDescent="0.2">
      <c r="C49" s="123"/>
    </row>
    <row r="50" spans="3:3" x14ac:dyDescent="0.2">
      <c r="C50" s="123"/>
    </row>
    <row r="51" spans="3:3" x14ac:dyDescent="0.2">
      <c r="C51" s="123"/>
    </row>
    <row r="52" spans="3:3" x14ac:dyDescent="0.2">
      <c r="C52" s="123"/>
    </row>
    <row r="53" spans="3:3" x14ac:dyDescent="0.2">
      <c r="C53" s="123"/>
    </row>
    <row r="54" spans="3:3" x14ac:dyDescent="0.2">
      <c r="C54" s="123"/>
    </row>
    <row r="55" spans="3:3" x14ac:dyDescent="0.2">
      <c r="C55" s="123"/>
    </row>
    <row r="56" spans="3:3" x14ac:dyDescent="0.2">
      <c r="C56" s="123"/>
    </row>
    <row r="57" spans="3:3" x14ac:dyDescent="0.2">
      <c r="C57" s="123"/>
    </row>
    <row r="58" spans="3:3" x14ac:dyDescent="0.2">
      <c r="C58" s="123"/>
    </row>
    <row r="59" spans="3:3" x14ac:dyDescent="0.2">
      <c r="C59" s="123"/>
    </row>
    <row r="60" spans="3:3" x14ac:dyDescent="0.2">
      <c r="C60" s="123"/>
    </row>
    <row r="61" spans="3:3" x14ac:dyDescent="0.2">
      <c r="C61" s="123"/>
    </row>
    <row r="62" spans="3:3" x14ac:dyDescent="0.2">
      <c r="C62" s="123"/>
    </row>
    <row r="63" spans="3:3" x14ac:dyDescent="0.2">
      <c r="C63" s="123"/>
    </row>
    <row r="64" spans="3:3" x14ac:dyDescent="0.2">
      <c r="C64" s="123"/>
    </row>
    <row r="65" spans="3:43" x14ac:dyDescent="0.2">
      <c r="C65" s="123"/>
    </row>
    <row r="66" spans="3:43" x14ac:dyDescent="0.2">
      <c r="C66" s="123"/>
    </row>
    <row r="67" spans="3:43" x14ac:dyDescent="0.2">
      <c r="C67" s="123"/>
    </row>
    <row r="68" spans="3:43" x14ac:dyDescent="0.2">
      <c r="C68" s="123"/>
    </row>
    <row r="69" spans="3:43" x14ac:dyDescent="0.2">
      <c r="C69" s="123"/>
    </row>
    <row r="70" spans="3:43" x14ac:dyDescent="0.2">
      <c r="C70" s="123"/>
    </row>
    <row r="71" spans="3:43" x14ac:dyDescent="0.2">
      <c r="C71" s="123"/>
    </row>
    <row r="72" spans="3:43" x14ac:dyDescent="0.2">
      <c r="C72" s="123"/>
    </row>
    <row r="73" spans="3:43" x14ac:dyDescent="0.2">
      <c r="C73" s="123"/>
      <c r="AH73" s="50"/>
      <c r="AI73" s="50"/>
      <c r="AJ73" s="50"/>
      <c r="AK73" s="50"/>
      <c r="AL73" s="50"/>
      <c r="AM73" s="50"/>
      <c r="AN73" s="50"/>
      <c r="AO73" s="50"/>
      <c r="AP73" s="50"/>
      <c r="AQ73" s="50"/>
    </row>
    <row r="74" spans="3:43" x14ac:dyDescent="0.2">
      <c r="C74" s="123"/>
      <c r="AH74" s="50"/>
      <c r="AI74" s="50"/>
      <c r="AJ74" s="50"/>
      <c r="AK74" s="50"/>
      <c r="AL74" s="50"/>
      <c r="AM74" s="50"/>
      <c r="AN74" s="50"/>
      <c r="AO74" s="50"/>
      <c r="AP74" s="50"/>
      <c r="AQ74" s="50"/>
    </row>
    <row r="75" spans="3:43" x14ac:dyDescent="0.2">
      <c r="C75" s="123"/>
    </row>
    <row r="76" spans="3:43" x14ac:dyDescent="0.2">
      <c r="C76" s="123"/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Externality
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2:AR33"/>
  <sheetViews>
    <sheetView zoomScale="85" zoomScaleNormal="85" zoomScalePageLayoutView="55" workbookViewId="0">
      <pane xSplit="1" topLeftCell="B1" activePane="topRight" state="frozen"/>
      <selection pane="topRight" activeCell="C36" sqref="C36"/>
    </sheetView>
  </sheetViews>
  <sheetFormatPr defaultRowHeight="14.25" x14ac:dyDescent="0.2"/>
  <cols>
    <col min="1" max="1" width="55.7109375" style="1" customWidth="1"/>
    <col min="2" max="2" width="17.85546875" style="30" bestFit="1" customWidth="1"/>
    <col min="3" max="3" width="17.85546875" style="125" bestFit="1" customWidth="1"/>
    <col min="4" max="4" width="14.7109375" style="30" bestFit="1" customWidth="1"/>
    <col min="5" max="7" width="16" style="30" bestFit="1" customWidth="1"/>
    <col min="8" max="9" width="18.7109375" style="30" customWidth="1"/>
    <col min="10" max="34" width="17.42578125" style="30" customWidth="1"/>
    <col min="35" max="43" width="17.42578125" style="1" customWidth="1"/>
    <col min="44" max="44" width="18.7109375" style="1" customWidth="1"/>
    <col min="45" max="16384" width="9.140625" style="1"/>
  </cols>
  <sheetData>
    <row r="2" spans="1:34" ht="15.75" x14ac:dyDescent="0.25">
      <c r="A2" s="2" t="s">
        <v>53</v>
      </c>
    </row>
    <row r="3" spans="1:34" x14ac:dyDescent="0.2">
      <c r="A3" s="1" t="s">
        <v>0</v>
      </c>
    </row>
    <row r="4" spans="1:34" x14ac:dyDescent="0.2">
      <c r="A4" s="40"/>
    </row>
    <row r="5" spans="1:34" x14ac:dyDescent="0.2">
      <c r="A5" s="40" t="s">
        <v>486</v>
      </c>
    </row>
    <row r="6" spans="1:34" x14ac:dyDescent="0.2">
      <c r="A6" s="3"/>
    </row>
    <row r="8" spans="1:34" x14ac:dyDescent="0.2">
      <c r="A8" s="1" t="s">
        <v>126</v>
      </c>
      <c r="L8" s="1"/>
      <c r="M8" s="1"/>
      <c r="N8" s="1"/>
      <c r="X8" s="1"/>
      <c r="AA8" s="1"/>
      <c r="AC8" s="45"/>
    </row>
    <row r="9" spans="1:34" x14ac:dyDescent="0.2">
      <c r="A9" s="7" t="s">
        <v>32</v>
      </c>
      <c r="B9" s="17" t="s">
        <v>21</v>
      </c>
      <c r="C9" s="29" t="s">
        <v>89</v>
      </c>
      <c r="D9" s="17" t="s">
        <v>287</v>
      </c>
      <c r="E9" s="17">
        <f>Parametre!B12</f>
        <v>2022</v>
      </c>
      <c r="F9" s="17">
        <f>(E9+1)</f>
        <v>2023</v>
      </c>
      <c r="G9" s="17">
        <f t="shared" ref="G9:W9" si="0">(F9+1)</f>
        <v>2024</v>
      </c>
      <c r="H9" s="17">
        <f t="shared" si="0"/>
        <v>2025</v>
      </c>
      <c r="I9" s="17">
        <f t="shared" si="0"/>
        <v>2026</v>
      </c>
      <c r="J9" s="17">
        <f t="shared" si="0"/>
        <v>2027</v>
      </c>
      <c r="K9" s="17">
        <f t="shared" si="0"/>
        <v>2028</v>
      </c>
      <c r="L9" s="17">
        <f t="shared" si="0"/>
        <v>2029</v>
      </c>
      <c r="M9" s="17">
        <f t="shared" si="0"/>
        <v>2030</v>
      </c>
      <c r="N9" s="17">
        <f t="shared" si="0"/>
        <v>2031</v>
      </c>
      <c r="O9" s="17">
        <f t="shared" si="0"/>
        <v>2032</v>
      </c>
      <c r="P9" s="17">
        <f t="shared" si="0"/>
        <v>2033</v>
      </c>
      <c r="Q9" s="17">
        <f t="shared" si="0"/>
        <v>2034</v>
      </c>
      <c r="R9" s="17">
        <f t="shared" si="0"/>
        <v>2035</v>
      </c>
      <c r="S9" s="17">
        <f t="shared" si="0"/>
        <v>2036</v>
      </c>
      <c r="T9" s="17">
        <f t="shared" si="0"/>
        <v>2037</v>
      </c>
      <c r="U9" s="17">
        <f t="shared" si="0"/>
        <v>2038</v>
      </c>
      <c r="V9" s="17">
        <f t="shared" si="0"/>
        <v>2039</v>
      </c>
      <c r="W9" s="17">
        <f t="shared" si="0"/>
        <v>2040</v>
      </c>
      <c r="X9" s="17">
        <f>(W9+1)</f>
        <v>2041</v>
      </c>
      <c r="Y9" s="17">
        <f t="shared" ref="Y9:AH9" si="1">(X9+1)</f>
        <v>2042</v>
      </c>
      <c r="Z9" s="17">
        <f t="shared" si="1"/>
        <v>2043</v>
      </c>
      <c r="AA9" s="17">
        <f t="shared" si="1"/>
        <v>2044</v>
      </c>
      <c r="AB9" s="17">
        <f t="shared" si="1"/>
        <v>2045</v>
      </c>
      <c r="AC9" s="17">
        <f t="shared" si="1"/>
        <v>2046</v>
      </c>
      <c r="AD9" s="17">
        <f t="shared" si="1"/>
        <v>2047</v>
      </c>
      <c r="AE9" s="17">
        <f t="shared" si="1"/>
        <v>2048</v>
      </c>
      <c r="AF9" s="17">
        <f t="shared" si="1"/>
        <v>2049</v>
      </c>
      <c r="AG9" s="17">
        <f t="shared" si="1"/>
        <v>2050</v>
      </c>
      <c r="AH9" s="17">
        <f t="shared" si="1"/>
        <v>2051</v>
      </c>
    </row>
    <row r="10" spans="1:34" x14ac:dyDescent="0.2">
      <c r="A10" s="7" t="s">
        <v>23</v>
      </c>
      <c r="B10" s="32">
        <f t="shared" ref="B10:B20" si="2">SUM(D10:AH10)</f>
        <v>587531044.78480005</v>
      </c>
      <c r="C10" s="135">
        <f>(NPV(Parametre!B$10,E10:AH10))+D10</f>
        <v>443100601.07871544</v>
      </c>
      <c r="D10" s="32">
        <f>'Investičné náklady'!C38</f>
        <v>2615690.3408499998</v>
      </c>
      <c r="E10" s="32">
        <f>'Investičné náklady'!D43</f>
        <v>27734607.509</v>
      </c>
      <c r="F10" s="32">
        <f>'Investičné náklady'!E43</f>
        <v>65579740.152074993</v>
      </c>
      <c r="G10" s="32">
        <f>'Investičné náklady'!F43</f>
        <v>68826063.664749995</v>
      </c>
      <c r="H10" s="32">
        <f>'Investičné náklady'!G43</f>
        <v>55926824.028749995</v>
      </c>
      <c r="I10" s="32">
        <f>'Investičné náklady'!H43</f>
        <v>63354885.002499998</v>
      </c>
      <c r="J10" s="32">
        <f>'Investičné náklady'!I43</f>
        <v>66727864.841799997</v>
      </c>
      <c r="K10" s="32">
        <f>'Investičné náklady'!J43</f>
        <v>73329015.800099999</v>
      </c>
      <c r="L10" s="32">
        <f>'Investičné náklady'!K43</f>
        <v>50453996.719799995</v>
      </c>
      <c r="M10" s="32">
        <f>'Investičné náklady'!L43</f>
        <v>50206527.040174991</v>
      </c>
      <c r="N10" s="32">
        <f>'Investičné náklady'!M43</f>
        <v>23936779.002499998</v>
      </c>
      <c r="O10" s="32">
        <f>'Investičné náklady'!N43</f>
        <v>0</v>
      </c>
      <c r="P10" s="32">
        <f>'Investičné náklady'!O43</f>
        <v>0</v>
      </c>
      <c r="Q10" s="32">
        <f>'Investičné náklady'!P43</f>
        <v>283286.50732500001</v>
      </c>
      <c r="R10" s="32">
        <f>'Investičné náklady'!Q43</f>
        <v>3452900.7634749999</v>
      </c>
      <c r="S10" s="32">
        <f>'Investičné náklady'!R43</f>
        <v>4419884.1029249998</v>
      </c>
      <c r="T10" s="32">
        <f>'Investičné náklady'!S43</f>
        <v>8730157.3927249983</v>
      </c>
      <c r="U10" s="32">
        <f>'Investičné náklady'!T43</f>
        <v>3435028.34595</v>
      </c>
      <c r="V10" s="32">
        <f>'Investičné náklady'!U43</f>
        <v>3502022.2157999999</v>
      </c>
      <c r="W10" s="32">
        <f>'Investičné náklady'!V43</f>
        <v>380886.44500000001</v>
      </c>
      <c r="X10" s="32">
        <f>'Investičné náklady'!W43</f>
        <v>4577169.6404749993</v>
      </c>
      <c r="Y10" s="32">
        <f>'Investičné náklady'!X43</f>
        <v>4679901.6945249997</v>
      </c>
      <c r="Z10" s="32">
        <f>'Investičné náklady'!Y43</f>
        <v>5377813.5742999995</v>
      </c>
      <c r="AA10" s="32"/>
      <c r="AB10" s="32">
        <f>'Investičné náklady'!AA43</f>
        <v>0</v>
      </c>
      <c r="AC10" s="32">
        <f>'Investičné náklady'!AB43</f>
        <v>0</v>
      </c>
      <c r="AD10" s="32">
        <f>'Investičné náklady'!AC43</f>
        <v>0</v>
      </c>
      <c r="AE10" s="32">
        <f>'Investičné náklady'!AD43</f>
        <v>0</v>
      </c>
      <c r="AF10" s="32">
        <f>'Investičné náklady'!AE43</f>
        <v>0</v>
      </c>
      <c r="AG10" s="32">
        <f>'Investičné náklady'!AF43</f>
        <v>0</v>
      </c>
      <c r="AH10" s="32">
        <f>'Investičné náklady'!AG43</f>
        <v>0</v>
      </c>
    </row>
    <row r="11" spans="1:34" x14ac:dyDescent="0.2">
      <c r="A11" s="7" t="s">
        <v>65</v>
      </c>
      <c r="B11" s="32">
        <f t="shared" si="2"/>
        <v>-256941405.55300003</v>
      </c>
      <c r="C11" s="135">
        <f>(NPV(Parametre!B$10,E11:AH11))+D11</f>
        <v>-175390150.71321547</v>
      </c>
      <c r="D11" s="32">
        <v>0</v>
      </c>
      <c r="E11" s="32">
        <f>'Prevádzka a údržba ŽI'!C39</f>
        <v>-22492876.26825</v>
      </c>
      <c r="F11" s="32">
        <f>'Prevádzka a údržba ŽI'!D39</f>
        <v>-17281958.980499998</v>
      </c>
      <c r="G11" s="32">
        <f>'Prevádzka a údržba ŽI'!E39</f>
        <v>-26260322.546</v>
      </c>
      <c r="H11" s="32">
        <f>'Prevádzka a údržba ŽI'!F39</f>
        <v>-23815264.225249998</v>
      </c>
      <c r="I11" s="32">
        <f>'Prevádzka a údržba ŽI'!G39</f>
        <v>-19310116.9945</v>
      </c>
      <c r="J11" s="32">
        <f>'Prevádzka a údržba ŽI'!H39</f>
        <v>-14069840.33725</v>
      </c>
      <c r="K11" s="32">
        <f>'Prevádzka a údržba ŽI'!I39</f>
        <v>-14717200.65925</v>
      </c>
      <c r="L11" s="32">
        <f>'Prevádzka a údržba ŽI'!J39</f>
        <v>-14208970.141999999</v>
      </c>
      <c r="M11" s="32">
        <f>'Prevádzka a údržba ŽI'!K39</f>
        <v>-19904062.312749997</v>
      </c>
      <c r="N11" s="32">
        <f>'Prevádzka a údržba ŽI'!L39</f>
        <v>-12749376.44675</v>
      </c>
      <c r="O11" s="32">
        <f>'Prevádzka a údržba ŽI'!M39</f>
        <v>-1648509.5899999999</v>
      </c>
      <c r="P11" s="32">
        <f>'Prevádzka a údržba ŽI'!N39</f>
        <v>-1648509.5899999999</v>
      </c>
      <c r="Q11" s="32">
        <f>'Prevádzka a údržba ŽI'!O39</f>
        <v>-9055625.9989999998</v>
      </c>
      <c r="R11" s="32">
        <f>'Prevádzka a údržba ŽI'!P39</f>
        <v>-6207655.2964999992</v>
      </c>
      <c r="S11" s="32">
        <f>'Prevádzka a údržba ŽI'!Q39</f>
        <v>-1648509.5899999999</v>
      </c>
      <c r="T11" s="32">
        <f>'Prevádzka a údržba ŽI'!R39</f>
        <v>-8890932.4272499979</v>
      </c>
      <c r="U11" s="32">
        <f>'Prevádzka a údržba ŽI'!S39</f>
        <v>-5056755.7902499996</v>
      </c>
      <c r="V11" s="32">
        <f>'Prevádzka a údržba ŽI'!T39</f>
        <v>-3141064.6984999999</v>
      </c>
      <c r="W11" s="32">
        <f>'Prevádzka a údržba ŽI'!U39</f>
        <v>-1648509.5899999999</v>
      </c>
      <c r="X11" s="32">
        <f>'Prevádzka a údržba ŽI'!V39</f>
        <v>-6237089.2399999993</v>
      </c>
      <c r="Y11" s="32">
        <f>'Prevádzka a údržba ŽI'!W39</f>
        <v>-6231725.0907499995</v>
      </c>
      <c r="Z11" s="32">
        <f>'Prevádzka a údržba ŽI'!X39</f>
        <v>-7528453.0182499997</v>
      </c>
      <c r="AA11" s="32">
        <f>'Prevádzka a údržba ŽI'!Y39</f>
        <v>-1648509.5899999999</v>
      </c>
      <c r="AB11" s="32">
        <f>'Prevádzka a údržba ŽI'!Z39</f>
        <v>-1648509.5899999999</v>
      </c>
      <c r="AC11" s="32">
        <f>'Prevádzka a údržba ŽI'!AA39</f>
        <v>-1648509.5899999999</v>
      </c>
      <c r="AD11" s="32">
        <f>'Prevádzka a údržba ŽI'!AB39</f>
        <v>-1648509.5899999999</v>
      </c>
      <c r="AE11" s="32">
        <f>'Prevádzka a údržba ŽI'!AC39</f>
        <v>-1648509.5899999999</v>
      </c>
      <c r="AF11" s="32">
        <f>'Prevádzka a údržba ŽI'!AD39</f>
        <v>-1648509.5899999999</v>
      </c>
      <c r="AG11" s="32">
        <f>'Prevádzka a údržba ŽI'!AE39</f>
        <v>-1648509.5899999999</v>
      </c>
      <c r="AH11" s="32">
        <f>'Prevádzka a údržba ŽI'!AF39</f>
        <v>-1648509.5899999999</v>
      </c>
    </row>
    <row r="12" spans="1:34" x14ac:dyDescent="0.2">
      <c r="A12" s="7" t="s">
        <v>54</v>
      </c>
      <c r="B12" s="32">
        <f t="shared" si="2"/>
        <v>330589639.23180032</v>
      </c>
      <c r="C12" s="135">
        <f>(NPV(Parametre!B$10,E12:AH12))+D12</f>
        <v>267710450.36550003</v>
      </c>
      <c r="D12" s="32">
        <f>SUM(D10:D11)</f>
        <v>2615690.3408499998</v>
      </c>
      <c r="E12" s="32">
        <f>SUM(E10:E11)</f>
        <v>5241731.2407499999</v>
      </c>
      <c r="F12" s="32">
        <f>SUM(F10:F11)</f>
        <v>48297781.171574995</v>
      </c>
      <c r="G12" s="32">
        <f>SUM(G10:G11)</f>
        <v>42565741.118749991</v>
      </c>
      <c r="H12" s="32">
        <f>SUM(H10:H11)</f>
        <v>32111559.803499997</v>
      </c>
      <c r="I12" s="32">
        <f t="shared" ref="I12:AH12" si="3">SUM(I10:I11)</f>
        <v>44044768.008000001</v>
      </c>
      <c r="J12" s="32">
        <f t="shared" si="3"/>
        <v>52658024.504549995</v>
      </c>
      <c r="K12" s="32">
        <f t="shared" si="3"/>
        <v>58611815.14085</v>
      </c>
      <c r="L12" s="32">
        <f t="shared" si="3"/>
        <v>36245026.577799998</v>
      </c>
      <c r="M12" s="32">
        <f t="shared" si="3"/>
        <v>30302464.727424994</v>
      </c>
      <c r="N12" s="32">
        <f t="shared" si="3"/>
        <v>11187402.555749997</v>
      </c>
      <c r="O12" s="32">
        <f t="shared" si="3"/>
        <v>-1648509.5899999999</v>
      </c>
      <c r="P12" s="32">
        <f t="shared" si="3"/>
        <v>-1648509.5899999999</v>
      </c>
      <c r="Q12" s="32">
        <f t="shared" si="3"/>
        <v>-8772339.4916750006</v>
      </c>
      <c r="R12" s="32">
        <f t="shared" si="3"/>
        <v>-2754754.5330249993</v>
      </c>
      <c r="S12" s="32">
        <f t="shared" si="3"/>
        <v>2771374.5129249999</v>
      </c>
      <c r="T12" s="32">
        <f t="shared" si="3"/>
        <v>-160775.03452499956</v>
      </c>
      <c r="U12" s="32">
        <f t="shared" si="3"/>
        <v>-1621727.4442999996</v>
      </c>
      <c r="V12" s="32">
        <f t="shared" si="3"/>
        <v>360957.51729999995</v>
      </c>
      <c r="W12" s="32">
        <f t="shared" si="3"/>
        <v>-1267623.1449999998</v>
      </c>
      <c r="X12" s="32">
        <f t="shared" si="3"/>
        <v>-1659919.599525</v>
      </c>
      <c r="Y12" s="32">
        <f t="shared" si="3"/>
        <v>-1551823.3962249998</v>
      </c>
      <c r="Z12" s="32">
        <f t="shared" si="3"/>
        <v>-2150639.4439500002</v>
      </c>
      <c r="AA12" s="32">
        <f t="shared" si="3"/>
        <v>-1648509.5899999999</v>
      </c>
      <c r="AB12" s="32">
        <f t="shared" si="3"/>
        <v>-1648509.5899999999</v>
      </c>
      <c r="AC12" s="32">
        <f t="shared" si="3"/>
        <v>-1648509.5899999999</v>
      </c>
      <c r="AD12" s="32">
        <f t="shared" si="3"/>
        <v>-1648509.5899999999</v>
      </c>
      <c r="AE12" s="32">
        <f t="shared" si="3"/>
        <v>-1648509.5899999999</v>
      </c>
      <c r="AF12" s="32">
        <f t="shared" si="3"/>
        <v>-1648509.5899999999</v>
      </c>
      <c r="AG12" s="32">
        <f t="shared" si="3"/>
        <v>-1648509.5899999999</v>
      </c>
      <c r="AH12" s="32">
        <f t="shared" si="3"/>
        <v>-1648509.5899999999</v>
      </c>
    </row>
    <row r="13" spans="1:34" x14ac:dyDescent="0.2">
      <c r="A13" s="7" t="s">
        <v>71</v>
      </c>
      <c r="B13" s="32">
        <f t="shared" si="2"/>
        <v>489425337.14356041</v>
      </c>
      <c r="C13" s="135">
        <f>(NPV(Parametre!B$10,E13:AH13))+D13</f>
        <v>193549478.56626767</v>
      </c>
      <c r="D13" s="32">
        <v>0</v>
      </c>
      <c r="E13" s="32">
        <v>0</v>
      </c>
      <c r="F13" s="32">
        <v>0</v>
      </c>
      <c r="G13" s="32">
        <f>'Ocenenie času'!F35</f>
        <v>2430480.7357400637</v>
      </c>
      <c r="H13" s="32">
        <f>'Ocenenie času'!G35</f>
        <v>2508382.3967299978</v>
      </c>
      <c r="I13" s="32">
        <f>'Ocenenie času'!H35</f>
        <v>2642439.8553577587</v>
      </c>
      <c r="J13" s="32">
        <f>'Ocenenie času'!I35</f>
        <v>2721184.5762566039</v>
      </c>
      <c r="K13" s="32">
        <f>'Ocenenie času'!J35</f>
        <v>2800846.100941102</v>
      </c>
      <c r="L13" s="32">
        <f>'Ocenenie času'!K35</f>
        <v>2881367.1745498851</v>
      </c>
      <c r="M13" s="32">
        <f>'Ocenenie času'!L35</f>
        <v>14582046.584752889</v>
      </c>
      <c r="N13" s="32">
        <f>'Ocenenie času'!M35</f>
        <v>15074237.838049915</v>
      </c>
      <c r="O13" s="32">
        <f>'Ocenenie času'!N35</f>
        <v>15401369.816377681</v>
      </c>
      <c r="P13" s="32">
        <f>'Ocenenie času'!O35</f>
        <v>15718531.966203887</v>
      </c>
      <c r="Q13" s="32">
        <f>'Ocenenie času'!P35</f>
        <v>16016055.73138799</v>
      </c>
      <c r="R13" s="32">
        <f>'Ocenenie času'!Q35</f>
        <v>16301432.025963694</v>
      </c>
      <c r="S13" s="32">
        <f>'Ocenenie času'!R35</f>
        <v>16675041.35084792</v>
      </c>
      <c r="T13" s="32">
        <f>'Ocenenie času'!S35</f>
        <v>22602285.432685979</v>
      </c>
      <c r="U13" s="32">
        <f>'Ocenenie času'!T35</f>
        <v>22959533.988547947</v>
      </c>
      <c r="V13" s="32">
        <f>'Ocenenie času'!U35</f>
        <v>23309400.131775506</v>
      </c>
      <c r="W13" s="32">
        <f>'Ocenenie času'!V35</f>
        <v>23651364.99714113</v>
      </c>
      <c r="X13" s="32">
        <f>'Ocenenie času'!W35</f>
        <v>23825143.55881983</v>
      </c>
      <c r="Y13" s="32">
        <f>'Ocenenie času'!X35</f>
        <v>24000219.372193679</v>
      </c>
      <c r="Z13" s="32">
        <f>'Ocenenie času'!Y35</f>
        <v>24163056.951062925</v>
      </c>
      <c r="AA13" s="32">
        <f>'Ocenenie času'!Z35</f>
        <v>24327016.993045311</v>
      </c>
      <c r="AB13" s="32">
        <f>'Ocenenie času'!AA35</f>
        <v>24492107.321175534</v>
      </c>
      <c r="AC13" s="32">
        <f>'Ocenenie času'!AB35</f>
        <v>24658335.813498713</v>
      </c>
      <c r="AD13" s="32">
        <f>'Ocenenie času'!AC35</f>
        <v>24825710.403460257</v>
      </c>
      <c r="AE13" s="32">
        <f>'Ocenenie času'!AD35</f>
        <v>24980220.689683545</v>
      </c>
      <c r="AF13" s="32">
        <f>'Ocenenie času'!AE35</f>
        <v>25135708.007180557</v>
      </c>
      <c r="AG13" s="32">
        <f>'Ocenenie času'!AF35</f>
        <v>25292178.595558163</v>
      </c>
      <c r="AH13" s="32">
        <f>'Ocenenie času'!AG35</f>
        <v>25449638.734571949</v>
      </c>
    </row>
    <row r="14" spans="1:34" x14ac:dyDescent="0.2">
      <c r="A14" s="7" t="s">
        <v>68</v>
      </c>
      <c r="B14" s="32">
        <f t="shared" si="2"/>
        <v>46333453.531735301</v>
      </c>
      <c r="C14" s="135">
        <f>(NPV(Parametre!B$10,E14:AH14))+D14</f>
        <v>20187540.022715196</v>
      </c>
      <c r="D14" s="32">
        <v>0</v>
      </c>
      <c r="E14" s="32">
        <v>0</v>
      </c>
      <c r="F14" s="32">
        <v>0</v>
      </c>
      <c r="G14" s="32">
        <f>'Ocenenie času'!F40</f>
        <v>0</v>
      </c>
      <c r="H14" s="32">
        <f>'Ocenenie času'!G40</f>
        <v>0</v>
      </c>
      <c r="I14" s="32">
        <f>'Ocenenie času'!H40</f>
        <v>1400895.4659969192</v>
      </c>
      <c r="J14" s="32">
        <f>'Ocenenie času'!I40</f>
        <v>1434238.0458663483</v>
      </c>
      <c r="K14" s="32">
        <f>'Ocenenie času'!J40</f>
        <v>1467580.625735777</v>
      </c>
      <c r="L14" s="32">
        <f>'Ocenenie času'!K40</f>
        <v>1500923.2056052061</v>
      </c>
      <c r="M14" s="32">
        <f>'Ocenenie času'!L40</f>
        <v>1534265.7854746347</v>
      </c>
      <c r="N14" s="32">
        <f>'Ocenenie času'!M40</f>
        <v>1567608.3653440638</v>
      </c>
      <c r="O14" s="32">
        <f>'Ocenenie času'!N40</f>
        <v>1600950.9452134927</v>
      </c>
      <c r="P14" s="32">
        <f>'Ocenenie času'!O40</f>
        <v>1634293.5250829216</v>
      </c>
      <c r="Q14" s="32">
        <f>'Ocenenie času'!P40</f>
        <v>1667636.1049523503</v>
      </c>
      <c r="R14" s="32">
        <f>'Ocenenie času'!Q40</f>
        <v>1700978.6848217794</v>
      </c>
      <c r="S14" s="32">
        <f>'Ocenenie času'!R40</f>
        <v>1734321.2646912087</v>
      </c>
      <c r="T14" s="32">
        <f>'Ocenenie času'!S40</f>
        <v>1767663.8445606376</v>
      </c>
      <c r="U14" s="32">
        <f>'Ocenenie času'!T40</f>
        <v>1801006.4244300667</v>
      </c>
      <c r="V14" s="32">
        <f>'Ocenenie času'!U40</f>
        <v>1834349.0042994956</v>
      </c>
      <c r="W14" s="32">
        <f>'Ocenenie času'!V40</f>
        <v>1867670.9333333333</v>
      </c>
      <c r="X14" s="32">
        <f>'Ocenenie času'!W40</f>
        <v>1886347.6426666665</v>
      </c>
      <c r="Y14" s="32">
        <f>'Ocenenie času'!X40</f>
        <v>1905211.1190933334</v>
      </c>
      <c r="Z14" s="32">
        <f>'Ocenenie času'!Y40</f>
        <v>1924263.2302842666</v>
      </c>
      <c r="AA14" s="32">
        <f>'Ocenenie času'!Z40</f>
        <v>1943505.8625871094</v>
      </c>
      <c r="AB14" s="32">
        <f>'Ocenenie času'!AA40</f>
        <v>1962940.9212129808</v>
      </c>
      <c r="AC14" s="32">
        <f>'Ocenenie času'!AB40</f>
        <v>1982570.3304251104</v>
      </c>
      <c r="AD14" s="32">
        <f>'Ocenenie času'!AC40</f>
        <v>2002396.0337293611</v>
      </c>
      <c r="AE14" s="32">
        <f>'Ocenenie času'!AD40</f>
        <v>2022419.9940666549</v>
      </c>
      <c r="AF14" s="32">
        <f>'Ocenenie času'!AE40</f>
        <v>2042644.1940073215</v>
      </c>
      <c r="AG14" s="32">
        <f>'Ocenenie času'!AF40</f>
        <v>2063070.6359473947</v>
      </c>
      <c r="AH14" s="32">
        <f>'Ocenenie času'!AG40</f>
        <v>2083701.3423068691</v>
      </c>
    </row>
    <row r="15" spans="1:34" x14ac:dyDescent="0.2">
      <c r="A15" s="7" t="s">
        <v>312</v>
      </c>
      <c r="B15" s="32">
        <f t="shared" si="2"/>
        <v>106874539.5294385</v>
      </c>
      <c r="C15" s="135">
        <f>(NPV(Parametre!B$10,E15:AH15))+D15</f>
        <v>49505340.141413949</v>
      </c>
      <c r="D15" s="32">
        <v>0</v>
      </c>
      <c r="E15" s="32">
        <f>-1*'Prevádzkové náklady vozidiel'!D16</f>
        <v>0</v>
      </c>
      <c r="F15" s="32">
        <f>-1*'Prevádzkové náklady vozidiel'!E16</f>
        <v>0</v>
      </c>
      <c r="G15" s="32">
        <f>-1*'Prevádzkové náklady vozidiel'!F16</f>
        <v>1358431.800544</v>
      </c>
      <c r="H15" s="32">
        <f>-1*'Prevádzkové náklady vozidiel'!G16</f>
        <v>1380379.84</v>
      </c>
      <c r="I15" s="32">
        <f>-1*'Prevádzkové náklady vozidiel'!H16</f>
        <v>4995254.5536673982</v>
      </c>
      <c r="J15" s="32">
        <f>-1*'Prevádzkové náklady vozidiel'!I16</f>
        <v>5101954.2194538247</v>
      </c>
      <c r="K15" s="32">
        <f>-1*'Prevádzkové náklady vozidiel'!J16</f>
        <v>5208973.3782277172</v>
      </c>
      <c r="L15" s="32">
        <f>-1*'Prevádzkové náklady vozidiel'!K16</f>
        <v>5316316.8543331912</v>
      </c>
      <c r="M15" s="32">
        <f>-1*'Prevádzkové náklady vozidiel'!L16</f>
        <v>2652577.3172638263</v>
      </c>
      <c r="N15" s="32">
        <f>-1*'Prevádzkové náklady vozidiel'!M16</f>
        <v>2778155.1639189329</v>
      </c>
      <c r="O15" s="32">
        <f>-1*'Prevádzkové náklady vozidiel'!N16</f>
        <v>2904157.3991367561</v>
      </c>
      <c r="P15" s="32">
        <f>-1*'Prevádzkové náklady vozidiel'!O16</f>
        <v>3030588.5214360585</v>
      </c>
      <c r="Q15" s="32">
        <f>-1*'Prevádzkové náklady vozidiel'!P16</f>
        <v>3157453.0770199071</v>
      </c>
      <c r="R15" s="32">
        <f>-1*'Prevádzkové náklady vozidiel'!Q16</f>
        <v>3284755.6602811152</v>
      </c>
      <c r="S15" s="32">
        <f>-1*'Prevádzkové náklady vozidiel'!R16</f>
        <v>3412500.9143130658</v>
      </c>
      <c r="T15" s="32">
        <f>-1*'Prevádzkové náklady vozidiel'!S16</f>
        <v>3532986.9103625407</v>
      </c>
      <c r="U15" s="32">
        <f>-1*'Prevádzkové náklady vozidiel'!T16</f>
        <v>3662010.8596725557</v>
      </c>
      <c r="V15" s="32">
        <f>-1*'Prevádzkové náklady vozidiel'!U16</f>
        <v>3791500.6642997903</v>
      </c>
      <c r="W15" s="32">
        <f>-1*'Prevádzkové náklady vozidiel'!V16</f>
        <v>3921408.334999999</v>
      </c>
      <c r="X15" s="32">
        <f>-1*'Prevádzkové náklady vozidiel'!W16</f>
        <v>3983990.6847499995</v>
      </c>
      <c r="Y15" s="32">
        <f>-1*'Prevádzkové náklady vozidiel'!X16</f>
        <v>4047103.5237767003</v>
      </c>
      <c r="Z15" s="32">
        <f>-1*'Prevádzkové náklady vozidiel'!Y16</f>
        <v>4110751.8233030951</v>
      </c>
      <c r="AA15" s="32">
        <f>-1*'Prevádzkové náklady vozidiel'!Z16</f>
        <v>4174940.6030965629</v>
      </c>
      <c r="AB15" s="32">
        <f>-1*'Prevádzkové náklady vozidiel'!AA16</f>
        <v>4239674.9319502283</v>
      </c>
      <c r="AC15" s="32">
        <f>-1*'Prevádzkové náklady vozidiel'!AB16</f>
        <v>4304959.9281691099</v>
      </c>
      <c r="AD15" s="32">
        <f>-1*'Prevádzkové náklady vozidiel'!AC16</f>
        <v>4370800.7600611262</v>
      </c>
      <c r="AE15" s="32">
        <f>-1*'Prevádzkové náklady vozidiel'!AD16</f>
        <v>4437202.6464330023</v>
      </c>
      <c r="AF15" s="32">
        <f>-1*'Prevádzkové náklady vozidiel'!AE16</f>
        <v>4504170.8570910934</v>
      </c>
      <c r="AG15" s="32">
        <f>-1*'Prevádzkové náklady vozidiel'!AF16</f>
        <v>4571710.713347245</v>
      </c>
      <c r="AH15" s="32">
        <f>-1*'Prevádzkové náklady vozidiel'!AG16</f>
        <v>4639827.5885296548</v>
      </c>
    </row>
    <row r="16" spans="1:34" x14ac:dyDescent="0.2">
      <c r="A16" s="7" t="s">
        <v>50</v>
      </c>
      <c r="B16" s="32">
        <f t="shared" si="2"/>
        <v>26497815.942659125</v>
      </c>
      <c r="C16" s="135">
        <f>(NPV(Parametre!B$10,E16:AH16))+D16</f>
        <v>11247785.324270388</v>
      </c>
      <c r="D16" s="32">
        <v>0</v>
      </c>
      <c r="E16" s="32">
        <f>-1*Nehodovosť!D14</f>
        <v>0</v>
      </c>
      <c r="F16" s="32">
        <f>-1*Nehodovosť!E14</f>
        <v>0</v>
      </c>
      <c r="G16" s="32">
        <f>-1*Nehodovosť!F14</f>
        <v>315072.99258197978</v>
      </c>
      <c r="H16" s="32">
        <f>-1*Nehodovosť!G14</f>
        <v>326887.02919032739</v>
      </c>
      <c r="I16" s="32">
        <f>-1*Nehodovosť!H14</f>
        <v>356770.50000989554</v>
      </c>
      <c r="J16" s="32">
        <f>-1*Nehodovosť!I14</f>
        <v>369417.58816411725</v>
      </c>
      <c r="K16" s="32">
        <f>-1*Nehodovosť!J14</f>
        <v>382241.03027870401</v>
      </c>
      <c r="L16" s="32">
        <f>-1*Nehodovosť!K14</f>
        <v>395228.46910227172</v>
      </c>
      <c r="M16" s="32">
        <f>-1*Nehodovosť!L14</f>
        <v>920906.62585717381</v>
      </c>
      <c r="N16" s="32">
        <f>-1*Nehodovosť!M14</f>
        <v>945894.81011328811</v>
      </c>
      <c r="O16" s="32">
        <f>-1*Nehodovosť!N14</f>
        <v>969545.31302839646</v>
      </c>
      <c r="P16" s="32">
        <f>-1*Nehodovosť!O14</f>
        <v>992407.25543073926</v>
      </c>
      <c r="Q16" s="32">
        <f>-1*Nehodovosť!P14</f>
        <v>1013693.79819209</v>
      </c>
      <c r="R16" s="32">
        <f>-1*Nehodovosť!Q14</f>
        <v>1033994.5310947654</v>
      </c>
      <c r="S16" s="32">
        <f>-1*Nehodovosť!R14</f>
        <v>1053962.3319371545</v>
      </c>
      <c r="T16" s="32">
        <f>-1*Nehodovosť!S14</f>
        <v>1073601.4146629218</v>
      </c>
      <c r="U16" s="32">
        <f>-1*Nehodovosť!T14</f>
        <v>1092158.9161315868</v>
      </c>
      <c r="V16" s="32">
        <f>-1*Nehodovosť!U14</f>
        <v>1110256.4576588634</v>
      </c>
      <c r="W16" s="32">
        <f>-1*Nehodovosť!V14</f>
        <v>1127860.0559605944</v>
      </c>
      <c r="X16" s="32">
        <f>-1*Nehodovosť!W14</f>
        <v>1137541.0640200791</v>
      </c>
      <c r="Y16" s="32">
        <f>-1*Nehodovosť!X14</f>
        <v>1147306.3636187129</v>
      </c>
      <c r="Z16" s="32">
        <f>-1*Nehodovosť!Y14</f>
        <v>1156350.6461832735</v>
      </c>
      <c r="AA16" s="32">
        <f>-1*Nehodovosť!Z14</f>
        <v>1165467.4536330656</v>
      </c>
      <c r="AB16" s="32">
        <f>-1*Nehodovosť!AA14</f>
        <v>1174657.3846549741</v>
      </c>
      <c r="AC16" s="32">
        <f>-1*Nehodovosť!AB14</f>
        <v>1183921.0431125599</v>
      </c>
      <c r="AD16" s="32">
        <f>-1*Nehodovosť!AC14</f>
        <v>1193259.0380939494</v>
      </c>
      <c r="AE16" s="32">
        <f>-1*Nehodovosť!AD14</f>
        <v>1201833.6346385747</v>
      </c>
      <c r="AF16" s="32">
        <f>-1*Nehodovosť!AE14</f>
        <v>1210471.1623876642</v>
      </c>
      <c r="AG16" s="32">
        <f>-1*Nehodovosť!AF14</f>
        <v>1219172.1005825591</v>
      </c>
      <c r="AH16" s="32">
        <f>-1*Nehodovosť!AG14</f>
        <v>1227936.9323388403</v>
      </c>
    </row>
    <row r="17" spans="1:44" x14ac:dyDescent="0.2">
      <c r="A17" s="7" t="s">
        <v>109</v>
      </c>
      <c r="B17" s="32">
        <f t="shared" si="2"/>
        <v>62158368.998258598</v>
      </c>
      <c r="C17" s="135">
        <f>(NPV(Parametre!B$10,E17:AH17))+D17</f>
        <v>26875219.064216431</v>
      </c>
      <c r="D17" s="32"/>
      <c r="E17" s="32">
        <f>-1*Externality!D39</f>
        <v>0</v>
      </c>
      <c r="F17" s="32">
        <f>-1*Externality!E39</f>
        <v>0</v>
      </c>
      <c r="G17" s="32">
        <f>-1*Externality!F39</f>
        <v>488701.38643443526</v>
      </c>
      <c r="H17" s="32">
        <f>-1*Externality!G39</f>
        <v>508256.75624716334</v>
      </c>
      <c r="I17" s="32">
        <f>-1*Externality!H39</f>
        <v>1619933.2378531424</v>
      </c>
      <c r="J17" s="32">
        <f>-1*Externality!I39</f>
        <v>1687690.5503103472</v>
      </c>
      <c r="K17" s="32">
        <f>-1*Externality!J39</f>
        <v>1756485.9344603848</v>
      </c>
      <c r="L17" s="32">
        <f>-1*Externality!K39</f>
        <v>1826253.1346629211</v>
      </c>
      <c r="M17" s="32">
        <f>-1*Externality!L39</f>
        <v>1819025.5707803653</v>
      </c>
      <c r="N17" s="32">
        <f>-1*Externality!M39</f>
        <v>1890117.3744046157</v>
      </c>
      <c r="O17" s="32">
        <f>-1*Externality!N39</f>
        <v>1960758.9034567701</v>
      </c>
      <c r="P17" s="32">
        <f>-1*Externality!O39</f>
        <v>2031450.7171133959</v>
      </c>
      <c r="Q17" s="32">
        <f>-1*Externality!P39</f>
        <v>2101164.5113451891</v>
      </c>
      <c r="R17" s="32">
        <f>-1*Externality!Q39</f>
        <v>2170479.1026726994</v>
      </c>
      <c r="S17" s="32">
        <f>-1*Externality!R39</f>
        <v>2240107.5189835494</v>
      </c>
      <c r="T17" s="32">
        <f>-1*Externality!S39</f>
        <v>2303838.7629690878</v>
      </c>
      <c r="U17" s="32">
        <f>-1*Externality!T39</f>
        <v>2372950.4526785868</v>
      </c>
      <c r="V17" s="32">
        <f>-1*Externality!U39</f>
        <v>2442041.3784430027</v>
      </c>
      <c r="W17" s="32">
        <f>-1*Externality!V39</f>
        <v>2511009.3830244327</v>
      </c>
      <c r="X17" s="32">
        <f>-1*Externality!W39</f>
        <v>2552810.2986200801</v>
      </c>
      <c r="Y17" s="32">
        <f>-1*Externality!X39</f>
        <v>2595119.1959936605</v>
      </c>
      <c r="Z17" s="32">
        <f>-1*Externality!Y39</f>
        <v>2636836.8868968692</v>
      </c>
      <c r="AA17" s="32">
        <f>-1*Externality!Z39</f>
        <v>2679042.0990316151</v>
      </c>
      <c r="AB17" s="32">
        <f>-1*Externality!AA39</f>
        <v>2721739.0025279233</v>
      </c>
      <c r="AC17" s="32">
        <f>-1*Externality!AB39</f>
        <v>2764920.9498345996</v>
      </c>
      <c r="AD17" s="32">
        <f>-1*Externality!AC39</f>
        <v>2808602.7510249708</v>
      </c>
      <c r="AE17" s="32">
        <f>-1*Externality!AD39</f>
        <v>2851594.756475979</v>
      </c>
      <c r="AF17" s="32">
        <f>-1*Externality!AE39</f>
        <v>2895054.0633825846</v>
      </c>
      <c r="AG17" s="32">
        <f>-1*Externality!AF39</f>
        <v>2938984.1660461379</v>
      </c>
      <c r="AH17" s="32">
        <f>-1*Externality!AG39</f>
        <v>2983400.1525840936</v>
      </c>
    </row>
    <row r="18" spans="1:44" x14ac:dyDescent="0.2">
      <c r="A18" s="7" t="s">
        <v>55</v>
      </c>
      <c r="B18" s="32">
        <f t="shared" si="2"/>
        <v>731289515.14565182</v>
      </c>
      <c r="C18" s="135">
        <f>(NPV(Parametre!B$10,E18:AH18))+D18</f>
        <v>301365363.11888367</v>
      </c>
      <c r="D18" s="32">
        <f t="shared" ref="D18:AH18" si="4">SUM(D13:D17)</f>
        <v>0</v>
      </c>
      <c r="E18" s="32">
        <f t="shared" si="4"/>
        <v>0</v>
      </c>
      <c r="F18" s="32">
        <f t="shared" si="4"/>
        <v>0</v>
      </c>
      <c r="G18" s="32">
        <f>SUM(G13:G17)</f>
        <v>4592686.9153004792</v>
      </c>
      <c r="H18" s="32">
        <f t="shared" si="4"/>
        <v>4723906.0221674889</v>
      </c>
      <c r="I18" s="32">
        <f t="shared" si="4"/>
        <v>11015293.612885114</v>
      </c>
      <c r="J18" s="32">
        <f t="shared" si="4"/>
        <v>11314484.980051242</v>
      </c>
      <c r="K18" s="32">
        <f t="shared" si="4"/>
        <v>11616127.069643684</v>
      </c>
      <c r="L18" s="32">
        <f t="shared" si="4"/>
        <v>11920088.838253474</v>
      </c>
      <c r="M18" s="32">
        <f t="shared" si="4"/>
        <v>21508821.884128891</v>
      </c>
      <c r="N18" s="32">
        <f t="shared" si="4"/>
        <v>22256013.551830817</v>
      </c>
      <c r="O18" s="32">
        <f t="shared" si="4"/>
        <v>22836782.377213094</v>
      </c>
      <c r="P18" s="32">
        <f t="shared" si="4"/>
        <v>23407271.985266998</v>
      </c>
      <c r="Q18" s="32">
        <f t="shared" si="4"/>
        <v>23956003.222897526</v>
      </c>
      <c r="R18" s="32">
        <f t="shared" si="4"/>
        <v>24491640.004834056</v>
      </c>
      <c r="S18" s="32">
        <f t="shared" si="4"/>
        <v>25115933.3807729</v>
      </c>
      <c r="T18" s="32">
        <f t="shared" si="4"/>
        <v>31280376.365241166</v>
      </c>
      <c r="U18" s="32">
        <f t="shared" si="4"/>
        <v>31887660.641460743</v>
      </c>
      <c r="V18" s="32">
        <f t="shared" si="4"/>
        <v>32487547.636476658</v>
      </c>
      <c r="W18" s="32">
        <f t="shared" si="4"/>
        <v>33079313.704459488</v>
      </c>
      <c r="X18" s="32">
        <f t="shared" si="4"/>
        <v>33385833.248876654</v>
      </c>
      <c r="Y18" s="32">
        <f t="shared" si="4"/>
        <v>33694959.574676082</v>
      </c>
      <c r="Z18" s="32">
        <f t="shared" si="4"/>
        <v>33991259.537730433</v>
      </c>
      <c r="AA18" s="32">
        <f t="shared" si="4"/>
        <v>34289973.011393666</v>
      </c>
      <c r="AB18" s="32">
        <f t="shared" si="4"/>
        <v>34591119.561521642</v>
      </c>
      <c r="AC18" s="32">
        <f t="shared" si="4"/>
        <v>34894708.065040089</v>
      </c>
      <c r="AD18" s="32">
        <f t="shared" si="4"/>
        <v>35200768.986369662</v>
      </c>
      <c r="AE18" s="32">
        <f t="shared" si="4"/>
        <v>35493271.721297756</v>
      </c>
      <c r="AF18" s="32">
        <f t="shared" si="4"/>
        <v>35788048.28404922</v>
      </c>
      <c r="AG18" s="32">
        <f t="shared" si="4"/>
        <v>36085116.211481497</v>
      </c>
      <c r="AH18" s="32">
        <f t="shared" si="4"/>
        <v>36384504.750331402</v>
      </c>
    </row>
    <row r="19" spans="1:44" x14ac:dyDescent="0.2">
      <c r="A19" s="7" t="s">
        <v>27</v>
      </c>
      <c r="B19" s="32">
        <f t="shared" si="2"/>
        <v>144791138.24699995</v>
      </c>
      <c r="C19" s="135">
        <f>(NPV(Parametre!B$10,E19:AH19))+D19</f>
        <v>33501404.155568443</v>
      </c>
      <c r="D19" s="32">
        <v>0</v>
      </c>
      <c r="E19" s="32">
        <v>0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2">
        <v>0</v>
      </c>
      <c r="T19" s="32">
        <v>0</v>
      </c>
      <c r="U19" s="32">
        <v>0</v>
      </c>
      <c r="V19" s="32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f>'Zostatková hodnota'!C25</f>
        <v>144791138.24699995</v>
      </c>
    </row>
    <row r="20" spans="1:44" x14ac:dyDescent="0.2">
      <c r="A20" s="7" t="s">
        <v>56</v>
      </c>
      <c r="B20" s="32">
        <f t="shared" si="2"/>
        <v>545491014.16085172</v>
      </c>
      <c r="C20" s="135">
        <f>(NPV(Parametre!B$10,E20:AH20))+D20</f>
        <v>67156316.908952102</v>
      </c>
      <c r="D20" s="32">
        <f t="shared" ref="D20:AG20" si="5">SUM(D18-D12)</f>
        <v>-2615690.3408499998</v>
      </c>
      <c r="E20" s="32">
        <f t="shared" si="5"/>
        <v>-5241731.2407499999</v>
      </c>
      <c r="F20" s="32">
        <f t="shared" si="5"/>
        <v>-48297781.171574995</v>
      </c>
      <c r="G20" s="32">
        <f t="shared" si="5"/>
        <v>-37973054.20344951</v>
      </c>
      <c r="H20" s="32">
        <f t="shared" si="5"/>
        <v>-27387653.781332508</v>
      </c>
      <c r="I20" s="32">
        <f t="shared" si="5"/>
        <v>-33029474.395114888</v>
      </c>
      <c r="J20" s="32">
        <f t="shared" si="5"/>
        <v>-41343539.524498753</v>
      </c>
      <c r="K20" s="32">
        <f t="shared" si="5"/>
        <v>-46995688.071206316</v>
      </c>
      <c r="L20" s="32">
        <f t="shared" si="5"/>
        <v>-24324937.739546522</v>
      </c>
      <c r="M20" s="32">
        <f t="shared" si="5"/>
        <v>-8793642.8432961032</v>
      </c>
      <c r="N20" s="32">
        <f t="shared" si="5"/>
        <v>11068610.99608082</v>
      </c>
      <c r="O20" s="32">
        <f t="shared" si="5"/>
        <v>24485291.967213094</v>
      </c>
      <c r="P20" s="32">
        <f t="shared" si="5"/>
        <v>25055781.575266998</v>
      </c>
      <c r="Q20" s="32">
        <f t="shared" si="5"/>
        <v>32728342.714572527</v>
      </c>
      <c r="R20" s="32">
        <f t="shared" si="5"/>
        <v>27246394.537859056</v>
      </c>
      <c r="S20" s="32">
        <f t="shared" si="5"/>
        <v>22344558.867847901</v>
      </c>
      <c r="T20" s="32">
        <f t="shared" si="5"/>
        <v>31441151.399766166</v>
      </c>
      <c r="U20" s="32">
        <f t="shared" si="5"/>
        <v>33509388.085760742</v>
      </c>
      <c r="V20" s="32">
        <f t="shared" si="5"/>
        <v>32126590.11917666</v>
      </c>
      <c r="W20" s="32">
        <f t="shared" si="5"/>
        <v>34346936.849459492</v>
      </c>
      <c r="X20" s="32">
        <f t="shared" si="5"/>
        <v>35045752.848401651</v>
      </c>
      <c r="Y20" s="32">
        <f t="shared" si="5"/>
        <v>35246782.970901079</v>
      </c>
      <c r="Z20" s="32">
        <f t="shared" si="5"/>
        <v>36141898.98168043</v>
      </c>
      <c r="AA20" s="32">
        <f t="shared" si="5"/>
        <v>35938482.60139367</v>
      </c>
      <c r="AB20" s="32">
        <f t="shared" si="5"/>
        <v>36239629.151521638</v>
      </c>
      <c r="AC20" s="32">
        <f t="shared" si="5"/>
        <v>36543217.655040085</v>
      </c>
      <c r="AD20" s="32">
        <f t="shared" si="5"/>
        <v>36849278.576369658</v>
      </c>
      <c r="AE20" s="32">
        <f t="shared" si="5"/>
        <v>37141781.311297759</v>
      </c>
      <c r="AF20" s="32">
        <f t="shared" si="5"/>
        <v>37436557.874049217</v>
      </c>
      <c r="AG20" s="32">
        <f t="shared" si="5"/>
        <v>37733625.8014815</v>
      </c>
      <c r="AH20" s="32">
        <f t="shared" ref="AH20" si="6">SUM(AH18-AH12+AH19)</f>
        <v>182824152.58733135</v>
      </c>
    </row>
    <row r="21" spans="1:44" x14ac:dyDescent="0.2">
      <c r="A21" s="7" t="s">
        <v>41</v>
      </c>
      <c r="B21" s="32">
        <f>AH21</f>
        <v>67156316.908952147</v>
      </c>
      <c r="C21" s="140">
        <f>-C10-C11+C18+C19</f>
        <v>67156316.908952147</v>
      </c>
      <c r="D21" s="32">
        <f>SUM(D20)</f>
        <v>-2615690.3408499998</v>
      </c>
      <c r="E21" s="32">
        <f>(D21+E20*Parametre!B93)</f>
        <v>-7607815.3320404757</v>
      </c>
      <c r="F21" s="32">
        <f>(E21+F20*Parametre!C93)</f>
        <v>-51415326.598775163</v>
      </c>
      <c r="G21" s="32">
        <f>(F21+G20*Parametre!D93)</f>
        <v>-84217878.550788552</v>
      </c>
      <c r="H21" s="32">
        <f>(G21+H20*Parametre!E93)</f>
        <v>-106749769.09543404</v>
      </c>
      <c r="I21" s="32">
        <f>(H21+I20*Parametre!F93)</f>
        <v>-132629226.54870653</v>
      </c>
      <c r="J21" s="32">
        <f>(I21+J20*Parametre!G93)</f>
        <v>-163480412.29334244</v>
      </c>
      <c r="K21" s="32">
        <f>(J21+K20*Parametre!H93)</f>
        <v>-196879370.40216762</v>
      </c>
      <c r="L21" s="32">
        <f>(K21+L20*Parametre!I93)</f>
        <v>-213343445.74318981</v>
      </c>
      <c r="M21" s="32">
        <f>(L21+M20*Parametre!J93)</f>
        <v>-219011906.3260133</v>
      </c>
      <c r="N21" s="32">
        <f>(M21+N20*Parametre!K93)</f>
        <v>-212216739.33723229</v>
      </c>
      <c r="O21" s="32">
        <f>(N21+O20*Parametre!L93)</f>
        <v>-197900696.23676828</v>
      </c>
      <c r="P21" s="32">
        <f>(O21+P20*Parametre!M93)</f>
        <v>-183948699.51397574</v>
      </c>
      <c r="Q21" s="32">
        <f>(P21+Q20*Parametre!N93)</f>
        <v>-166592160.60120156</v>
      </c>
      <c r="R21" s="32">
        <f>(Q21+R20*Parametre!O93)</f>
        <v>-152830879.8854568</v>
      </c>
      <c r="S21" s="32">
        <f>(R21+S20*Parametre!P93)</f>
        <v>-142082765.02072176</v>
      </c>
      <c r="T21" s="32">
        <f>(S21+T20*Parametre!Q93)</f>
        <v>-127679211.29981285</v>
      </c>
      <c r="U21" s="32">
        <f>(T21+U20*Parametre!B96)</f>
        <v>-113059176.27412872</v>
      </c>
      <c r="V21" s="32">
        <f>(U21+V20*Parametre!C96)</f>
        <v>-99709914.509149224</v>
      </c>
      <c r="W21" s="32">
        <f>(V21+W20*Parametre!D96)</f>
        <v>-86117665.27831161</v>
      </c>
      <c r="X21" s="32">
        <f>(W21+X20*Parametre!E96)</f>
        <v>-72909289.610382527</v>
      </c>
      <c r="Y21" s="32">
        <f>(X21+Y20*Parametre!F96)</f>
        <v>-60257725.984820828</v>
      </c>
      <c r="Z21" s="32">
        <f>(Y21+Z20*Parametre!G96)</f>
        <v>-47902622.477107674</v>
      </c>
      <c r="AA21" s="32">
        <f>(Z21+AA20*Parametre!H96)</f>
        <v>-36202083.76821699</v>
      </c>
      <c r="AB21" s="32">
        <f>(AA21+AB20*Parametre!I96)</f>
        <v>-24965337.687786471</v>
      </c>
      <c r="AC21" s="32">
        <f>(AB21+AC20*Parametre!J96)</f>
        <v>-14174024.227498546</v>
      </c>
      <c r="AD21" s="32">
        <f>(AC21+AD20*Parametre!K96)</f>
        <v>-3810506.0382938627</v>
      </c>
      <c r="AE21" s="32">
        <f>(AD21+AE20*Parametre!L96)</f>
        <v>6137857.65061168</v>
      </c>
      <c r="AF21" s="32">
        <f>(AE21+AF20*Parametre!M96)</f>
        <v>15687685.360820431</v>
      </c>
      <c r="AG21" s="32">
        <f>(AF21+AG20*Parametre!N96)</f>
        <v>24854930.930626154</v>
      </c>
      <c r="AH21" s="32">
        <f>(AG21+AH20*Parametre!O96)</f>
        <v>67156316.908952147</v>
      </c>
    </row>
    <row r="22" spans="1:44" x14ac:dyDescent="0.2">
      <c r="A22" s="11"/>
      <c r="B22" s="81"/>
      <c r="C22" s="137"/>
      <c r="D22" s="81"/>
      <c r="E22" s="81"/>
      <c r="F22" s="35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spans="1:44" x14ac:dyDescent="0.2">
      <c r="A23" s="11" t="s">
        <v>57</v>
      </c>
      <c r="B23" s="35">
        <f>B21</f>
        <v>67156316.908952147</v>
      </c>
      <c r="C23" s="141"/>
      <c r="E23" s="81"/>
      <c r="F23" s="35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spans="1:44" x14ac:dyDescent="0.2">
      <c r="A24" s="11" t="s">
        <v>596</v>
      </c>
      <c r="B24" s="44">
        <f>IRR(D20:AH20)</f>
        <v>6.8051048144349702E-2</v>
      </c>
      <c r="C24" s="142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pans="1:44" x14ac:dyDescent="0.2">
      <c r="A25" s="1" t="s">
        <v>449</v>
      </c>
      <c r="B25" s="254">
        <f>C18/(C12-C19)</f>
        <v>1.2867366482879445</v>
      </c>
    </row>
    <row r="26" spans="1:44" x14ac:dyDescent="0.2">
      <c r="A26" s="115"/>
      <c r="B26" s="144"/>
      <c r="C26" s="252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</row>
    <row r="27" spans="1:44" x14ac:dyDescent="0.2">
      <c r="A27" s="115"/>
      <c r="B27" s="145"/>
      <c r="C27" s="253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</row>
    <row r="28" spans="1:44" x14ac:dyDescent="0.2">
      <c r="C28" s="335"/>
    </row>
    <row r="29" spans="1:44" x14ac:dyDescent="0.2">
      <c r="C29" s="335"/>
    </row>
    <row r="30" spans="1:44" x14ac:dyDescent="0.2">
      <c r="C30" s="335"/>
    </row>
    <row r="31" spans="1:44" x14ac:dyDescent="0.2">
      <c r="C31" s="335"/>
    </row>
    <row r="32" spans="1:44" x14ac:dyDescent="0.2">
      <c r="C32" s="335"/>
    </row>
    <row r="33" spans="3:3" x14ac:dyDescent="0.2">
      <c r="C33" s="335"/>
    </row>
  </sheetData>
  <phoneticPr fontId="14" type="noConversion"/>
  <pageMargins left="0.25" right="0.25" top="0.75" bottom="0.75" header="0.3" footer="0.3"/>
  <pageSetup paperSize="9" scale="23" fitToHeight="0" orientation="landscape" r:id="rId1"/>
  <headerFooter>
    <oddHeader xml:space="preserve">&amp;CŽSR, dopravný uzol Bratislava - štúdia realizovateľnosti </oddHeader>
    <oddFooter xml:space="preserve">&amp;CŠtúdia realizovateľnosti - Ekonomická analýza
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G59"/>
  <sheetViews>
    <sheetView zoomScale="85" zoomScaleNormal="85" workbookViewId="0">
      <selection activeCell="B3" sqref="B3"/>
    </sheetView>
  </sheetViews>
  <sheetFormatPr defaultRowHeight="15" x14ac:dyDescent="0.25"/>
  <cols>
    <col min="1" max="1" width="45.7109375" customWidth="1"/>
    <col min="2" max="7" width="22.7109375" customWidth="1"/>
  </cols>
  <sheetData>
    <row r="2" spans="1:7" ht="15.75" x14ac:dyDescent="0.25">
      <c r="A2" s="2" t="s">
        <v>562</v>
      </c>
    </row>
    <row r="3" spans="1:7" ht="15.75" x14ac:dyDescent="0.25">
      <c r="A3" s="2"/>
    </row>
    <row r="4" spans="1:7" x14ac:dyDescent="0.25">
      <c r="A4" s="40" t="s">
        <v>486</v>
      </c>
    </row>
    <row r="5" spans="1:7" x14ac:dyDescent="0.25">
      <c r="A5" s="320"/>
    </row>
    <row r="6" spans="1:7" x14ac:dyDescent="0.25">
      <c r="A6" s="251" t="s">
        <v>563</v>
      </c>
      <c r="B6" s="227"/>
      <c r="C6" s="227"/>
      <c r="D6" s="227"/>
      <c r="E6" s="227"/>
      <c r="F6" s="227"/>
      <c r="G6" s="227"/>
    </row>
    <row r="7" spans="1:7" x14ac:dyDescent="0.25">
      <c r="A7" s="110" t="s">
        <v>564</v>
      </c>
      <c r="B7" s="264" t="s">
        <v>565</v>
      </c>
      <c r="C7" s="264" t="s">
        <v>566</v>
      </c>
      <c r="D7" s="264" t="s">
        <v>567</v>
      </c>
      <c r="E7" s="264" t="s">
        <v>568</v>
      </c>
      <c r="F7" s="264" t="s">
        <v>566</v>
      </c>
      <c r="G7" s="264" t="s">
        <v>567</v>
      </c>
    </row>
    <row r="8" spans="1:7" x14ac:dyDescent="0.25">
      <c r="A8" s="110" t="s">
        <v>23</v>
      </c>
      <c r="B8" s="321">
        <v>0.01</v>
      </c>
      <c r="C8" s="278">
        <v>62725311</v>
      </c>
      <c r="D8" s="322">
        <f t="shared" ref="D8:D14" si="0">(C8-$B$15)/$B$15</f>
        <v>-6.5980478276667962E-2</v>
      </c>
      <c r="E8" s="321">
        <v>-0.01</v>
      </c>
      <c r="F8" s="278">
        <v>71587323</v>
      </c>
      <c r="G8" s="322">
        <f t="shared" ref="G8:G14" si="1">(F8-$B$15)/$B$15</f>
        <v>6.5980480988188123E-2</v>
      </c>
    </row>
    <row r="9" spans="1:7" x14ac:dyDescent="0.25">
      <c r="A9" s="110" t="s">
        <v>569</v>
      </c>
      <c r="B9" s="321">
        <v>0.01</v>
      </c>
      <c r="C9" s="278">
        <v>68910218</v>
      </c>
      <c r="D9" s="322">
        <f t="shared" si="0"/>
        <v>2.6116695670278082E-2</v>
      </c>
      <c r="E9" s="321">
        <v>-0.01</v>
      </c>
      <c r="F9" s="278">
        <v>65402415</v>
      </c>
      <c r="G9" s="322">
        <f t="shared" si="1"/>
        <v>-2.6116707849389909E-2</v>
      </c>
    </row>
    <row r="10" spans="1:7" x14ac:dyDescent="0.25">
      <c r="A10" s="110" t="s">
        <v>570</v>
      </c>
      <c r="B10" s="321">
        <v>0.01</v>
      </c>
      <c r="C10" s="278">
        <v>67651370</v>
      </c>
      <c r="D10" s="322">
        <f t="shared" si="0"/>
        <v>7.3716533877077632E-3</v>
      </c>
      <c r="E10" s="321">
        <v>-0.01</v>
      </c>
      <c r="F10" s="278">
        <v>66661264</v>
      </c>
      <c r="G10" s="322">
        <f t="shared" si="1"/>
        <v>-7.3716506761876133E-3</v>
      </c>
    </row>
    <row r="11" spans="1:7" x14ac:dyDescent="0.25">
      <c r="A11" s="110" t="s">
        <v>571</v>
      </c>
      <c r="B11" s="321">
        <v>0.01</v>
      </c>
      <c r="C11" s="278">
        <v>69091812</v>
      </c>
      <c r="D11" s="322">
        <f t="shared" si="0"/>
        <v>2.8820745093449961E-2</v>
      </c>
      <c r="E11" s="321">
        <v>-0.01</v>
      </c>
      <c r="F11" s="278">
        <v>65220822</v>
      </c>
      <c r="G11" s="322">
        <f t="shared" si="1"/>
        <v>-2.8820742381929811E-2</v>
      </c>
    </row>
    <row r="12" spans="1:7" x14ac:dyDescent="0.25">
      <c r="A12" s="110" t="s">
        <v>572</v>
      </c>
      <c r="B12" s="321">
        <v>0.01</v>
      </c>
      <c r="C12" s="278">
        <v>67268795</v>
      </c>
      <c r="D12" s="322">
        <f t="shared" si="0"/>
        <v>1.6748698592322527E-3</v>
      </c>
      <c r="E12" s="321">
        <v>-0.01</v>
      </c>
      <c r="F12" s="278">
        <v>67043839</v>
      </c>
      <c r="G12" s="322">
        <f t="shared" si="1"/>
        <v>-1.6748671477121032E-3</v>
      </c>
    </row>
    <row r="13" spans="1:7" x14ac:dyDescent="0.25">
      <c r="A13" s="110" t="s">
        <v>573</v>
      </c>
      <c r="B13" s="321">
        <v>0.01</v>
      </c>
      <c r="C13" s="278">
        <v>67766400</v>
      </c>
      <c r="D13" s="322">
        <f t="shared" si="0"/>
        <v>9.0845227839844098E-3</v>
      </c>
      <c r="E13" s="321">
        <v>-0.01</v>
      </c>
      <c r="F13" s="278">
        <v>66546234</v>
      </c>
      <c r="G13" s="322">
        <f t="shared" si="1"/>
        <v>-9.0845200724642607E-3</v>
      </c>
    </row>
    <row r="14" spans="1:7" x14ac:dyDescent="0.25">
      <c r="A14" s="110" t="s">
        <v>574</v>
      </c>
      <c r="B14" s="321">
        <v>0.01</v>
      </c>
      <c r="C14" s="278">
        <v>67191672</v>
      </c>
      <c r="D14" s="322">
        <f t="shared" si="0"/>
        <v>5.264596492953336E-4</v>
      </c>
      <c r="E14" s="321">
        <v>-0.01</v>
      </c>
      <c r="F14" s="278">
        <v>67120962</v>
      </c>
      <c r="G14" s="322">
        <f t="shared" si="1"/>
        <v>-5.2645693777518413E-4</v>
      </c>
    </row>
    <row r="15" spans="1:7" x14ac:dyDescent="0.25">
      <c r="A15" s="323" t="s">
        <v>575</v>
      </c>
      <c r="B15" s="373">
        <f>'Ekonomická analýza'!B23</f>
        <v>67156316.908952147</v>
      </c>
      <c r="C15" s="374"/>
      <c r="D15" s="227"/>
      <c r="E15" s="227"/>
      <c r="F15" s="227"/>
      <c r="G15" s="227"/>
    </row>
    <row r="17" spans="3:6" x14ac:dyDescent="0.25">
      <c r="C17" s="213"/>
      <c r="F17" s="213"/>
    </row>
    <row r="18" spans="3:6" x14ac:dyDescent="0.25">
      <c r="E18" s="324"/>
      <c r="F18" s="213"/>
    </row>
    <row r="19" spans="3:6" x14ac:dyDescent="0.25">
      <c r="C19" s="213"/>
      <c r="F19" s="213"/>
    </row>
    <row r="20" spans="3:6" x14ac:dyDescent="0.25">
      <c r="F20" s="213"/>
    </row>
    <row r="43" spans="1:2" x14ac:dyDescent="0.25">
      <c r="A43" s="251" t="s">
        <v>576</v>
      </c>
    </row>
    <row r="44" spans="1:2" x14ac:dyDescent="0.25">
      <c r="A44" s="110" t="s">
        <v>577</v>
      </c>
      <c r="B44" s="110" t="s">
        <v>578</v>
      </c>
    </row>
    <row r="45" spans="1:2" x14ac:dyDescent="0.25">
      <c r="A45" s="110" t="s">
        <v>23</v>
      </c>
      <c r="B45" s="325">
        <v>0.151</v>
      </c>
    </row>
    <row r="46" spans="1:2" x14ac:dyDescent="0.25">
      <c r="A46" s="110" t="s">
        <v>569</v>
      </c>
      <c r="B46" s="325">
        <v>-0.38200000000000001</v>
      </c>
    </row>
    <row r="47" spans="1:2" x14ac:dyDescent="0.25">
      <c r="A47" s="110" t="s">
        <v>571</v>
      </c>
      <c r="B47" s="325">
        <v>-0.34599999999999997</v>
      </c>
    </row>
    <row r="49" spans="1:3" x14ac:dyDescent="0.25">
      <c r="A49" s="326" t="s">
        <v>579</v>
      </c>
    </row>
    <row r="50" spans="1:3" x14ac:dyDescent="0.25">
      <c r="A50" s="323"/>
      <c r="B50" s="375" t="s">
        <v>580</v>
      </c>
      <c r="C50" s="375"/>
    </row>
    <row r="51" spans="1:3" x14ac:dyDescent="0.25">
      <c r="A51" s="323" t="s">
        <v>577</v>
      </c>
      <c r="B51" s="110" t="s">
        <v>581</v>
      </c>
      <c r="C51" s="110" t="s">
        <v>582</v>
      </c>
    </row>
    <row r="52" spans="1:3" x14ac:dyDescent="0.25">
      <c r="A52" s="110" t="s">
        <v>23</v>
      </c>
      <c r="B52" s="327">
        <v>-0.1</v>
      </c>
      <c r="C52" s="327">
        <v>0.15</v>
      </c>
    </row>
    <row r="53" spans="1:3" x14ac:dyDescent="0.25">
      <c r="A53" s="110" t="s">
        <v>569</v>
      </c>
      <c r="B53" s="327">
        <v>0.05</v>
      </c>
      <c r="C53" s="327">
        <v>-0.05</v>
      </c>
    </row>
    <row r="54" spans="1:3" x14ac:dyDescent="0.25">
      <c r="A54" s="110" t="s">
        <v>571</v>
      </c>
      <c r="B54" s="327">
        <v>0.05</v>
      </c>
      <c r="C54" s="327">
        <v>-0.05</v>
      </c>
    </row>
    <row r="56" spans="1:3" x14ac:dyDescent="0.25">
      <c r="A56" s="323" t="s">
        <v>583</v>
      </c>
      <c r="B56" s="110" t="s">
        <v>581</v>
      </c>
      <c r="C56" s="110" t="s">
        <v>582</v>
      </c>
    </row>
    <row r="57" spans="1:3" x14ac:dyDescent="0.25">
      <c r="A57" s="323" t="s">
        <v>584</v>
      </c>
      <c r="B57" s="278">
        <v>-203170426</v>
      </c>
      <c r="C57" s="278">
        <v>-353940575</v>
      </c>
    </row>
    <row r="58" spans="1:3" x14ac:dyDescent="0.25">
      <c r="A58" s="323" t="s">
        <v>566</v>
      </c>
      <c r="B58" s="278">
        <v>129913358</v>
      </c>
      <c r="C58" s="278">
        <v>-17755755</v>
      </c>
    </row>
    <row r="59" spans="1:3" x14ac:dyDescent="0.25">
      <c r="A59" s="323" t="s">
        <v>585</v>
      </c>
      <c r="B59" s="322">
        <v>8.9899999999999994E-2</v>
      </c>
      <c r="C59" s="322">
        <v>4.5900000000000003E-2</v>
      </c>
    </row>
  </sheetData>
  <mergeCells count="2">
    <mergeCell ref="B15:C15"/>
    <mergeCell ref="B50:C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R127"/>
  <sheetViews>
    <sheetView zoomScale="85" zoomScaleNormal="85" workbookViewId="0">
      <pane xSplit="1" topLeftCell="B1" activePane="topRight" state="frozen"/>
      <selection activeCell="A40" sqref="A40"/>
      <selection pane="topRight" activeCell="B5" sqref="B5"/>
    </sheetView>
  </sheetViews>
  <sheetFormatPr defaultRowHeight="14.25" x14ac:dyDescent="0.2"/>
  <cols>
    <col min="1" max="1" width="50.7109375" style="1" customWidth="1"/>
    <col min="2" max="41" width="17.7109375" style="1" customWidth="1"/>
    <col min="42" max="16384" width="9.140625" style="1"/>
  </cols>
  <sheetData>
    <row r="2" spans="1:21" ht="15.75" x14ac:dyDescent="0.25">
      <c r="A2" s="2" t="s">
        <v>587</v>
      </c>
    </row>
    <row r="3" spans="1:21" x14ac:dyDescent="0.2">
      <c r="A3" s="1" t="s">
        <v>0</v>
      </c>
    </row>
    <row r="4" spans="1:21" x14ac:dyDescent="0.2">
      <c r="A4" s="3" t="s">
        <v>1</v>
      </c>
    </row>
    <row r="5" spans="1:21" x14ac:dyDescent="0.2">
      <c r="A5" s="40" t="s">
        <v>486</v>
      </c>
    </row>
    <row r="8" spans="1:21" ht="15" x14ac:dyDescent="0.25">
      <c r="A8" s="46" t="s">
        <v>445</v>
      </c>
    </row>
    <row r="9" spans="1:21" x14ac:dyDescent="0.2">
      <c r="A9" s="1" t="s">
        <v>212</v>
      </c>
    </row>
    <row r="10" spans="1:21" x14ac:dyDescent="0.2">
      <c r="A10" s="1" t="s">
        <v>213</v>
      </c>
    </row>
    <row r="11" spans="1:21" ht="28.5" x14ac:dyDescent="0.2">
      <c r="A11" s="7" t="s">
        <v>214</v>
      </c>
      <c r="B11" s="64" t="s">
        <v>215</v>
      </c>
      <c r="C11" s="64" t="s">
        <v>216</v>
      </c>
    </row>
    <row r="12" spans="1:21" x14ac:dyDescent="0.2">
      <c r="A12" s="7" t="s">
        <v>217</v>
      </c>
      <c r="B12" s="167" t="s">
        <v>232</v>
      </c>
      <c r="C12" s="167" t="s">
        <v>236</v>
      </c>
      <c r="E12" s="13" t="s">
        <v>605</v>
      </c>
      <c r="F12" s="168"/>
      <c r="G12" s="168"/>
      <c r="H12" s="168"/>
      <c r="I12" s="168"/>
      <c r="K12" s="174" t="s">
        <v>606</v>
      </c>
      <c r="L12" s="174"/>
      <c r="M12" s="174"/>
      <c r="N12" s="174"/>
      <c r="O12" s="174"/>
    </row>
    <row r="13" spans="1:21" ht="15" customHeight="1" x14ac:dyDescent="0.2">
      <c r="A13" s="7" t="s">
        <v>218</v>
      </c>
      <c r="B13" s="167" t="s">
        <v>234</v>
      </c>
      <c r="C13" s="167" t="s">
        <v>230</v>
      </c>
      <c r="E13" s="172"/>
      <c r="F13" s="352" t="s">
        <v>237</v>
      </c>
      <c r="G13" s="352"/>
      <c r="H13" s="352"/>
      <c r="I13" s="352"/>
      <c r="K13" s="353" t="s">
        <v>612</v>
      </c>
      <c r="L13" s="359"/>
      <c r="M13" s="360"/>
      <c r="N13" s="352" t="s">
        <v>614</v>
      </c>
      <c r="O13" s="352"/>
      <c r="P13" s="353"/>
      <c r="Q13" s="341" t="s">
        <v>619</v>
      </c>
      <c r="R13" s="341"/>
      <c r="S13" s="341"/>
      <c r="T13" s="341" t="s">
        <v>629</v>
      </c>
      <c r="U13" s="341"/>
    </row>
    <row r="14" spans="1:21" ht="28.5" customHeight="1" x14ac:dyDescent="0.2">
      <c r="A14" s="7" t="s">
        <v>219</v>
      </c>
      <c r="B14" s="167" t="s">
        <v>234</v>
      </c>
      <c r="C14" s="167" t="s">
        <v>233</v>
      </c>
      <c r="E14" s="352" t="s">
        <v>238</v>
      </c>
      <c r="F14" s="173" t="s">
        <v>239</v>
      </c>
      <c r="G14" s="173" t="s">
        <v>240</v>
      </c>
      <c r="H14" s="172" t="s">
        <v>241</v>
      </c>
      <c r="I14" s="172" t="s">
        <v>604</v>
      </c>
      <c r="K14" s="355" t="s">
        <v>621</v>
      </c>
      <c r="L14" s="352" t="s">
        <v>611</v>
      </c>
      <c r="M14" s="352"/>
      <c r="N14" s="361" t="s">
        <v>620</v>
      </c>
      <c r="O14" s="341" t="s">
        <v>615</v>
      </c>
      <c r="P14" s="337"/>
      <c r="Q14" s="354" t="s">
        <v>622</v>
      </c>
      <c r="R14" s="341" t="s">
        <v>627</v>
      </c>
      <c r="S14" s="341"/>
      <c r="T14" s="341" t="s">
        <v>630</v>
      </c>
      <c r="U14" s="341"/>
    </row>
    <row r="15" spans="1:21" ht="14.25" customHeight="1" x14ac:dyDescent="0.2">
      <c r="A15" s="7" t="s">
        <v>220</v>
      </c>
      <c r="B15" s="167" t="s">
        <v>229</v>
      </c>
      <c r="C15" s="167" t="s">
        <v>230</v>
      </c>
      <c r="E15" s="352"/>
      <c r="F15" s="173" t="s">
        <v>242</v>
      </c>
      <c r="G15" s="173" t="s">
        <v>242</v>
      </c>
      <c r="H15" s="172" t="s">
        <v>243</v>
      </c>
      <c r="I15" s="172" t="s">
        <v>243</v>
      </c>
      <c r="K15" s="356"/>
      <c r="L15" s="352" t="s">
        <v>628</v>
      </c>
      <c r="M15" s="352"/>
      <c r="N15" s="362"/>
      <c r="O15" s="351" t="s">
        <v>616</v>
      </c>
      <c r="P15" s="364"/>
      <c r="Q15" s="354"/>
      <c r="R15" s="351" t="s">
        <v>628</v>
      </c>
      <c r="S15" s="351"/>
      <c r="T15" s="351" t="s">
        <v>631</v>
      </c>
      <c r="U15" s="351"/>
    </row>
    <row r="16" spans="1:21" x14ac:dyDescent="0.2">
      <c r="A16" s="7" t="s">
        <v>231</v>
      </c>
      <c r="B16" s="167" t="s">
        <v>232</v>
      </c>
      <c r="C16" s="167" t="s">
        <v>233</v>
      </c>
      <c r="E16" s="169">
        <v>1</v>
      </c>
      <c r="F16" s="170">
        <v>6.9099999999999995E-2</v>
      </c>
      <c r="G16" s="169">
        <v>0.997</v>
      </c>
      <c r="H16" s="169">
        <v>1.1020000000000001</v>
      </c>
      <c r="I16" s="358">
        <v>0.22800000000000001</v>
      </c>
      <c r="K16" s="357"/>
      <c r="L16" s="173" t="s">
        <v>49</v>
      </c>
      <c r="M16" s="172" t="s">
        <v>244</v>
      </c>
      <c r="N16" s="363"/>
      <c r="O16" s="351"/>
      <c r="P16" s="364"/>
      <c r="Q16" s="354"/>
      <c r="R16" s="351"/>
      <c r="S16" s="351"/>
      <c r="T16" s="351"/>
      <c r="U16" s="351"/>
    </row>
    <row r="17" spans="1:21" ht="18.75" x14ac:dyDescent="0.2">
      <c r="A17" s="7" t="s">
        <v>221</v>
      </c>
      <c r="B17" s="167" t="s">
        <v>232</v>
      </c>
      <c r="C17" s="167" t="s">
        <v>234</v>
      </c>
      <c r="E17" s="169">
        <v>2</v>
      </c>
      <c r="F17" s="170">
        <v>5.6599999999999998E-2</v>
      </c>
      <c r="G17" s="169">
        <v>0.92700000000000005</v>
      </c>
      <c r="H17" s="169">
        <v>1.048</v>
      </c>
      <c r="I17" s="358"/>
      <c r="K17" s="175" t="s">
        <v>608</v>
      </c>
      <c r="L17" s="176">
        <v>0.51</v>
      </c>
      <c r="M17" s="177">
        <v>5.0999999999999996</v>
      </c>
      <c r="N17" s="175" t="s">
        <v>617</v>
      </c>
      <c r="O17" s="341">
        <v>2.35</v>
      </c>
      <c r="P17" s="337"/>
      <c r="Q17" s="331" t="s">
        <v>623</v>
      </c>
      <c r="R17" s="341">
        <v>49.631</v>
      </c>
      <c r="S17" s="341"/>
      <c r="T17" s="341">
        <v>0.19500000000000001</v>
      </c>
      <c r="U17" s="341"/>
    </row>
    <row r="18" spans="1:21" ht="18.75" x14ac:dyDescent="0.2">
      <c r="A18" s="7" t="s">
        <v>222</v>
      </c>
      <c r="B18" s="167" t="s">
        <v>234</v>
      </c>
      <c r="C18" s="167" t="s">
        <v>234</v>
      </c>
      <c r="E18" s="169">
        <v>3</v>
      </c>
      <c r="F18" s="170">
        <v>4.87E-2</v>
      </c>
      <c r="G18" s="169">
        <v>0.88400000000000001</v>
      </c>
      <c r="H18" s="169">
        <v>0.94499999999999995</v>
      </c>
      <c r="I18" s="358"/>
      <c r="K18" s="175" t="s">
        <v>609</v>
      </c>
      <c r="L18" s="176">
        <v>0.48</v>
      </c>
      <c r="M18" s="177">
        <v>1.115</v>
      </c>
      <c r="N18" s="175" t="s">
        <v>618</v>
      </c>
      <c r="O18" s="341">
        <v>2</v>
      </c>
      <c r="P18" s="337"/>
      <c r="Q18" s="331" t="s">
        <v>624</v>
      </c>
      <c r="R18" s="341">
        <v>20.986999999999998</v>
      </c>
      <c r="S18" s="341"/>
    </row>
    <row r="19" spans="1:21" ht="18.75" x14ac:dyDescent="0.2">
      <c r="A19" s="7" t="s">
        <v>223</v>
      </c>
      <c r="B19" s="167" t="s">
        <v>232</v>
      </c>
      <c r="C19" s="167" t="s">
        <v>234</v>
      </c>
      <c r="E19" s="169">
        <v>4</v>
      </c>
      <c r="F19" s="170">
        <v>3.1899999999999998E-2</v>
      </c>
      <c r="G19" s="169">
        <v>0.77400000000000002</v>
      </c>
      <c r="H19" s="169">
        <v>0.77900000000000003</v>
      </c>
      <c r="I19" s="358"/>
      <c r="K19" s="175" t="s">
        <v>610</v>
      </c>
      <c r="L19" s="176">
        <v>0.46</v>
      </c>
      <c r="M19" s="177">
        <v>0.46</v>
      </c>
      <c r="Q19" s="331" t="s">
        <v>625</v>
      </c>
      <c r="R19" s="341">
        <v>13.423999999999999</v>
      </c>
      <c r="S19" s="341"/>
    </row>
    <row r="20" spans="1:21" x14ac:dyDescent="0.2">
      <c r="A20" s="7" t="s">
        <v>224</v>
      </c>
      <c r="B20" s="167" t="s">
        <v>229</v>
      </c>
      <c r="C20" s="167" t="s">
        <v>234</v>
      </c>
      <c r="E20" s="169">
        <v>5</v>
      </c>
      <c r="F20" s="170">
        <v>2.7199999999999998E-2</v>
      </c>
      <c r="G20" s="169">
        <v>0.58799999999999997</v>
      </c>
      <c r="H20" s="169">
        <v>0.67</v>
      </c>
      <c r="I20" s="358"/>
      <c r="K20" s="49" t="s">
        <v>603</v>
      </c>
      <c r="Q20" s="331" t="s">
        <v>626</v>
      </c>
      <c r="R20" s="341">
        <v>0</v>
      </c>
      <c r="S20" s="341"/>
    </row>
    <row r="21" spans="1:21" x14ac:dyDescent="0.2">
      <c r="A21" s="7" t="s">
        <v>613</v>
      </c>
      <c r="B21" s="167" t="s">
        <v>234</v>
      </c>
      <c r="C21" s="167" t="s">
        <v>233</v>
      </c>
      <c r="E21" s="49" t="s">
        <v>603</v>
      </c>
      <c r="F21" s="334"/>
      <c r="G21" s="333"/>
      <c r="H21" s="333"/>
      <c r="I21" s="333"/>
    </row>
    <row r="22" spans="1:21" x14ac:dyDescent="0.2">
      <c r="A22" s="7" t="s">
        <v>225</v>
      </c>
      <c r="B22" s="167" t="s">
        <v>234</v>
      </c>
      <c r="C22" s="167" t="s">
        <v>230</v>
      </c>
      <c r="F22" s="334"/>
      <c r="G22" s="333"/>
      <c r="H22" s="333"/>
      <c r="J22" s="178"/>
      <c r="K22" s="174"/>
      <c r="L22" s="174"/>
      <c r="M22" s="174"/>
      <c r="N22" s="174"/>
    </row>
    <row r="23" spans="1:21" x14ac:dyDescent="0.2">
      <c r="A23" s="7" t="s">
        <v>226</v>
      </c>
      <c r="B23" s="167" t="s">
        <v>232</v>
      </c>
      <c r="C23" s="167" t="s">
        <v>236</v>
      </c>
      <c r="E23" s="171"/>
      <c r="F23" s="168"/>
      <c r="G23" s="168"/>
      <c r="H23" s="168"/>
    </row>
    <row r="24" spans="1:21" x14ac:dyDescent="0.2">
      <c r="A24" s="7" t="s">
        <v>227</v>
      </c>
      <c r="B24" s="167" t="s">
        <v>229</v>
      </c>
      <c r="C24" s="167" t="s">
        <v>236</v>
      </c>
      <c r="Q24" s="49" t="s">
        <v>634</v>
      </c>
    </row>
    <row r="25" spans="1:21" x14ac:dyDescent="0.2">
      <c r="A25" s="7" t="s">
        <v>228</v>
      </c>
      <c r="B25" s="167" t="s">
        <v>234</v>
      </c>
      <c r="C25" s="167" t="s">
        <v>234</v>
      </c>
      <c r="E25" s="110" t="s">
        <v>245</v>
      </c>
      <c r="F25" s="7"/>
      <c r="G25" s="181"/>
      <c r="H25" s="181"/>
      <c r="I25" s="181"/>
      <c r="J25" s="181" t="s">
        <v>246</v>
      </c>
      <c r="K25" s="181" t="s">
        <v>246</v>
      </c>
      <c r="L25" s="181" t="s">
        <v>247</v>
      </c>
      <c r="M25" s="181" t="s">
        <v>247</v>
      </c>
      <c r="N25" s="349" t="s">
        <v>633</v>
      </c>
      <c r="O25" s="350"/>
      <c r="P25" s="181"/>
      <c r="Q25" s="181"/>
      <c r="R25" s="181"/>
      <c r="S25" s="181"/>
    </row>
    <row r="26" spans="1:21" x14ac:dyDescent="0.2">
      <c r="A26" s="7" t="s">
        <v>235</v>
      </c>
      <c r="B26" s="167" t="s">
        <v>234</v>
      </c>
      <c r="C26" s="167" t="s">
        <v>229</v>
      </c>
      <c r="E26" s="365" t="s">
        <v>98</v>
      </c>
      <c r="F26" s="366"/>
      <c r="G26" s="181" t="s">
        <v>248</v>
      </c>
      <c r="H26" s="181" t="s">
        <v>249</v>
      </c>
      <c r="I26" s="181" t="s">
        <v>250</v>
      </c>
      <c r="J26" s="181" t="s">
        <v>239</v>
      </c>
      <c r="K26" s="181" t="s">
        <v>240</v>
      </c>
      <c r="L26" s="181" t="s">
        <v>241</v>
      </c>
      <c r="M26" s="181" t="s">
        <v>604</v>
      </c>
      <c r="N26" s="181" t="s">
        <v>607</v>
      </c>
      <c r="O26" s="181" t="s">
        <v>627</v>
      </c>
      <c r="P26" s="181" t="s">
        <v>251</v>
      </c>
      <c r="Q26" s="181" t="s">
        <v>632</v>
      </c>
      <c r="R26" s="181" t="s">
        <v>99</v>
      </c>
      <c r="S26" s="181" t="s">
        <v>100</v>
      </c>
    </row>
    <row r="27" spans="1:21" ht="15" x14ac:dyDescent="0.25">
      <c r="A27" s="46"/>
      <c r="B27" s="49"/>
      <c r="E27" s="365" t="s">
        <v>252</v>
      </c>
      <c r="F27" s="366"/>
      <c r="G27" s="110">
        <v>21</v>
      </c>
      <c r="H27" s="110">
        <v>445</v>
      </c>
      <c r="I27" s="110">
        <v>630</v>
      </c>
      <c r="J27" s="6">
        <v>6.9099999999999995E-2</v>
      </c>
      <c r="K27" s="6">
        <v>0.997</v>
      </c>
      <c r="L27" s="6">
        <v>1.1019999999999999E-3</v>
      </c>
      <c r="M27" s="110">
        <v>2.2800000000000001E-4</v>
      </c>
      <c r="N27" s="110">
        <v>63.265000000000001</v>
      </c>
      <c r="O27" s="110"/>
      <c r="P27" s="110">
        <f t="shared" ref="P27:P34" si="0">PRODUCT(H27,J27+K27)</f>
        <v>474.41450000000003</v>
      </c>
      <c r="Q27" s="110">
        <f t="shared" ref="Q27:Q34" si="1">PRODUCT(H27,I27,L27+M27)</f>
        <v>372.8655</v>
      </c>
      <c r="R27" s="110">
        <f t="shared" ref="R27:R32" si="2">SUM(P27:Q27,N27)</f>
        <v>910.54499999999996</v>
      </c>
      <c r="S27" s="179">
        <f t="shared" ref="S27:S34" si="3">PRODUCT(R27,1/H27)</f>
        <v>2.0461685393258429</v>
      </c>
    </row>
    <row r="28" spans="1:21" x14ac:dyDescent="0.2">
      <c r="A28" s="1" t="s">
        <v>186</v>
      </c>
      <c r="E28" s="365" t="s">
        <v>253</v>
      </c>
      <c r="F28" s="366"/>
      <c r="G28" s="110">
        <v>17</v>
      </c>
      <c r="H28" s="110">
        <v>230</v>
      </c>
      <c r="I28" s="110">
        <v>400</v>
      </c>
      <c r="J28" s="6">
        <v>6.9099999999999995E-2</v>
      </c>
      <c r="K28" s="6">
        <v>0.997</v>
      </c>
      <c r="L28" s="6">
        <v>1.1019999999999999E-3</v>
      </c>
      <c r="M28" s="110">
        <v>2.2800000000000001E-4</v>
      </c>
      <c r="N28" s="110">
        <v>25.21</v>
      </c>
      <c r="O28" s="110"/>
      <c r="P28" s="110">
        <f t="shared" si="0"/>
        <v>245.203</v>
      </c>
      <c r="Q28" s="110">
        <f t="shared" si="1"/>
        <v>122.36</v>
      </c>
      <c r="R28" s="110">
        <f t="shared" si="2"/>
        <v>392.77299999999997</v>
      </c>
      <c r="S28" s="179">
        <f t="shared" si="3"/>
        <v>1.7077086956521739</v>
      </c>
    </row>
    <row r="29" spans="1:21" x14ac:dyDescent="0.2">
      <c r="A29" s="7" t="s">
        <v>98</v>
      </c>
      <c r="B29" s="153" t="s">
        <v>100</v>
      </c>
      <c r="E29" s="342" t="s">
        <v>256</v>
      </c>
      <c r="F29" s="340"/>
      <c r="G29" s="110">
        <v>13</v>
      </c>
      <c r="H29" s="110">
        <v>124</v>
      </c>
      <c r="I29" s="110">
        <v>400</v>
      </c>
      <c r="J29" s="6">
        <v>6.9099999999999995E-2</v>
      </c>
      <c r="K29" s="6">
        <v>0.997</v>
      </c>
      <c r="L29" s="6">
        <v>1.1019999999999999E-3</v>
      </c>
      <c r="M29" s="110">
        <v>2.2800000000000001E-4</v>
      </c>
      <c r="N29" s="110">
        <v>29.96</v>
      </c>
      <c r="O29" s="110"/>
      <c r="P29" s="110">
        <f t="shared" si="0"/>
        <v>132.19640000000001</v>
      </c>
      <c r="Q29" s="110">
        <f t="shared" si="1"/>
        <v>65.968000000000004</v>
      </c>
      <c r="R29" s="110">
        <f t="shared" si="2"/>
        <v>228.12440000000001</v>
      </c>
      <c r="S29" s="179">
        <f t="shared" si="3"/>
        <v>1.8397129032258064</v>
      </c>
    </row>
    <row r="30" spans="1:21" x14ac:dyDescent="0.2">
      <c r="A30" s="7" t="s">
        <v>211</v>
      </c>
      <c r="B30" s="157">
        <v>1.95</v>
      </c>
      <c r="E30" s="342" t="s">
        <v>257</v>
      </c>
      <c r="F30" s="340"/>
      <c r="G30" s="110">
        <v>8</v>
      </c>
      <c r="H30" s="110">
        <v>91</v>
      </c>
      <c r="I30" s="110">
        <v>400</v>
      </c>
      <c r="J30" s="6">
        <v>6.9099999999999995E-2</v>
      </c>
      <c r="K30" s="6">
        <v>0.997</v>
      </c>
      <c r="L30" s="6">
        <v>1.1019999999999999E-3</v>
      </c>
      <c r="M30" s="110">
        <v>2.2800000000000001E-4</v>
      </c>
      <c r="N30" s="110">
        <v>15.385</v>
      </c>
      <c r="O30" s="110"/>
      <c r="P30" s="110">
        <f t="shared" si="0"/>
        <v>97.015100000000004</v>
      </c>
      <c r="Q30" s="110">
        <f t="shared" si="1"/>
        <v>48.411999999999999</v>
      </c>
      <c r="R30" s="110">
        <f t="shared" si="2"/>
        <v>160.81209999999999</v>
      </c>
      <c r="S30" s="179">
        <f t="shared" si="3"/>
        <v>1.767165934065934</v>
      </c>
    </row>
    <row r="31" spans="1:21" x14ac:dyDescent="0.2">
      <c r="A31" s="7" t="s">
        <v>160</v>
      </c>
      <c r="B31" s="157">
        <v>1.75</v>
      </c>
      <c r="E31" s="365" t="s">
        <v>254</v>
      </c>
      <c r="F31" s="366"/>
      <c r="G31" s="110">
        <v>12</v>
      </c>
      <c r="H31" s="110">
        <v>63</v>
      </c>
      <c r="I31" s="110">
        <v>350</v>
      </c>
      <c r="J31" s="6">
        <v>6.9099999999999995E-2</v>
      </c>
      <c r="K31" s="6">
        <v>0.997</v>
      </c>
      <c r="L31" s="6">
        <v>1.1019999999999999E-3</v>
      </c>
      <c r="M31" s="110">
        <v>2.2800000000000001E-4</v>
      </c>
      <c r="N31" s="110">
        <v>5.85</v>
      </c>
      <c r="O31" s="110"/>
      <c r="P31" s="110">
        <f t="shared" si="0"/>
        <v>67.164299999999997</v>
      </c>
      <c r="Q31" s="110">
        <f t="shared" si="1"/>
        <v>29.326499999999999</v>
      </c>
      <c r="R31" s="110">
        <f t="shared" si="2"/>
        <v>102.34079999999999</v>
      </c>
      <c r="S31" s="179">
        <f t="shared" si="3"/>
        <v>1.6244571428571426</v>
      </c>
    </row>
    <row r="32" spans="1:21" x14ac:dyDescent="0.2">
      <c r="A32" s="7" t="s">
        <v>110</v>
      </c>
      <c r="B32" s="157">
        <v>1.56</v>
      </c>
      <c r="E32" s="365" t="s">
        <v>255</v>
      </c>
      <c r="F32" s="366"/>
      <c r="G32" s="110">
        <v>20</v>
      </c>
      <c r="H32" s="110">
        <v>91</v>
      </c>
      <c r="I32" s="110">
        <v>250</v>
      </c>
      <c r="J32" s="6">
        <v>6.9099999999999995E-2</v>
      </c>
      <c r="K32" s="6">
        <v>0.997</v>
      </c>
      <c r="L32" s="6">
        <v>1.1019999999999999E-3</v>
      </c>
      <c r="M32" s="110">
        <v>2.2800000000000001E-4</v>
      </c>
      <c r="N32" s="110">
        <v>8.92</v>
      </c>
      <c r="O32" s="110"/>
      <c r="P32" s="110">
        <f t="shared" si="0"/>
        <v>97.015100000000004</v>
      </c>
      <c r="Q32" s="110">
        <f t="shared" si="1"/>
        <v>30.2575</v>
      </c>
      <c r="R32" s="110">
        <f t="shared" si="2"/>
        <v>136.1926</v>
      </c>
      <c r="S32" s="179">
        <f t="shared" si="3"/>
        <v>1.496621978021978</v>
      </c>
    </row>
    <row r="33" spans="1:44" x14ac:dyDescent="0.2">
      <c r="A33" s="7" t="s">
        <v>134</v>
      </c>
      <c r="B33" s="157">
        <v>3.48</v>
      </c>
      <c r="E33" s="365" t="s">
        <v>635</v>
      </c>
      <c r="F33" s="366"/>
      <c r="G33" s="110">
        <v>2</v>
      </c>
      <c r="H33" s="110">
        <v>203</v>
      </c>
      <c r="I33" s="110">
        <v>1400</v>
      </c>
      <c r="J33" s="6">
        <v>6.9099999999999995E-2</v>
      </c>
      <c r="K33" s="6">
        <v>0.997</v>
      </c>
      <c r="L33" s="6">
        <v>1.1019999999999999E-3</v>
      </c>
      <c r="M33" s="110">
        <v>2.2800000000000001E-4</v>
      </c>
      <c r="N33" s="110"/>
      <c r="O33" s="110">
        <v>70.617999999999995</v>
      </c>
      <c r="P33" s="110">
        <f t="shared" si="0"/>
        <v>216.41830000000002</v>
      </c>
      <c r="Q33" s="110">
        <f t="shared" si="1"/>
        <v>377.98599999999999</v>
      </c>
      <c r="R33" s="110">
        <f>SUM(P33:Q33,O33)</f>
        <v>665.02230000000009</v>
      </c>
      <c r="S33" s="179">
        <f t="shared" si="3"/>
        <v>3.2759719211822667</v>
      </c>
    </row>
    <row r="34" spans="1:44" x14ac:dyDescent="0.2">
      <c r="A34" s="7" t="s">
        <v>111</v>
      </c>
      <c r="B34" s="157">
        <v>3.9156066666666671</v>
      </c>
      <c r="E34" s="365" t="s">
        <v>258</v>
      </c>
      <c r="F34" s="366"/>
      <c r="G34" s="110">
        <v>2</v>
      </c>
      <c r="H34" s="110">
        <v>199</v>
      </c>
      <c r="I34" s="110">
        <v>1400</v>
      </c>
      <c r="J34" s="6">
        <v>6.9099999999999995E-2</v>
      </c>
      <c r="K34" s="6">
        <v>0.997</v>
      </c>
      <c r="L34" s="6">
        <v>1.1019999999999999E-3</v>
      </c>
      <c r="M34" s="110">
        <v>2.2800000000000001E-4</v>
      </c>
      <c r="N34" s="110"/>
      <c r="O34" s="110">
        <v>120.249</v>
      </c>
      <c r="P34" s="110">
        <f t="shared" si="0"/>
        <v>212.15390000000002</v>
      </c>
      <c r="Q34" s="110">
        <f t="shared" si="1"/>
        <v>370.53800000000001</v>
      </c>
      <c r="R34" s="110">
        <f>SUM(P34:Q34,O34)</f>
        <v>702.94090000000006</v>
      </c>
      <c r="S34" s="179">
        <f t="shared" si="3"/>
        <v>3.5323663316582916</v>
      </c>
    </row>
    <row r="35" spans="1:44" x14ac:dyDescent="0.2">
      <c r="A35" s="11"/>
      <c r="B35" s="11"/>
      <c r="C35" s="11"/>
      <c r="D35" s="11"/>
    </row>
    <row r="37" spans="1:44" ht="15" x14ac:dyDescent="0.25">
      <c r="A37" s="46" t="s">
        <v>183</v>
      </c>
      <c r="B37" s="180" t="s">
        <v>101</v>
      </c>
      <c r="C37" s="180"/>
      <c r="D37" s="180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</row>
    <row r="38" spans="1:44" x14ac:dyDescent="0.2">
      <c r="A38" s="101" t="s">
        <v>1</v>
      </c>
      <c r="B38" s="99">
        <f>Parametre!B12</f>
        <v>2022</v>
      </c>
      <c r="C38" s="99">
        <f>B38+1</f>
        <v>2023</v>
      </c>
      <c r="D38" s="99">
        <f t="shared" ref="D38:AE38" si="4">C38+1</f>
        <v>2024</v>
      </c>
      <c r="E38" s="99">
        <f t="shared" si="4"/>
        <v>2025</v>
      </c>
      <c r="F38" s="99">
        <f t="shared" si="4"/>
        <v>2026</v>
      </c>
      <c r="G38" s="99">
        <f t="shared" si="4"/>
        <v>2027</v>
      </c>
      <c r="H38" s="99">
        <f t="shared" si="4"/>
        <v>2028</v>
      </c>
      <c r="I38" s="99">
        <f t="shared" si="4"/>
        <v>2029</v>
      </c>
      <c r="J38" s="99">
        <f t="shared" si="4"/>
        <v>2030</v>
      </c>
      <c r="K38" s="99">
        <f t="shared" si="4"/>
        <v>2031</v>
      </c>
      <c r="L38" s="99">
        <f t="shared" si="4"/>
        <v>2032</v>
      </c>
      <c r="M38" s="99">
        <f t="shared" si="4"/>
        <v>2033</v>
      </c>
      <c r="N38" s="99">
        <f t="shared" si="4"/>
        <v>2034</v>
      </c>
      <c r="O38" s="99">
        <f t="shared" si="4"/>
        <v>2035</v>
      </c>
      <c r="P38" s="99">
        <f t="shared" si="4"/>
        <v>2036</v>
      </c>
      <c r="Q38" s="99">
        <f t="shared" si="4"/>
        <v>2037</v>
      </c>
      <c r="R38" s="99">
        <f t="shared" si="4"/>
        <v>2038</v>
      </c>
      <c r="S38" s="99">
        <f t="shared" si="4"/>
        <v>2039</v>
      </c>
      <c r="T38" s="99">
        <f t="shared" si="4"/>
        <v>2040</v>
      </c>
      <c r="U38" s="99">
        <f t="shared" si="4"/>
        <v>2041</v>
      </c>
      <c r="V38" s="99">
        <f t="shared" si="4"/>
        <v>2042</v>
      </c>
      <c r="W38" s="99">
        <f t="shared" si="4"/>
        <v>2043</v>
      </c>
      <c r="X38" s="99">
        <f t="shared" si="4"/>
        <v>2044</v>
      </c>
      <c r="Y38" s="99">
        <f t="shared" si="4"/>
        <v>2045</v>
      </c>
      <c r="Z38" s="99">
        <f t="shared" si="4"/>
        <v>2046</v>
      </c>
      <c r="AA38" s="99">
        <f t="shared" si="4"/>
        <v>2047</v>
      </c>
      <c r="AB38" s="99">
        <f t="shared" si="4"/>
        <v>2048</v>
      </c>
      <c r="AC38" s="99">
        <f t="shared" si="4"/>
        <v>2049</v>
      </c>
      <c r="AD38" s="99">
        <f t="shared" si="4"/>
        <v>2050</v>
      </c>
      <c r="AE38" s="99">
        <f t="shared" si="4"/>
        <v>2051</v>
      </c>
      <c r="AF38" s="47"/>
      <c r="AG38" s="47"/>
      <c r="AH38" s="47"/>
    </row>
    <row r="39" spans="1:44" s="13" customFormat="1" x14ac:dyDescent="0.2">
      <c r="A39" s="12" t="s">
        <v>102</v>
      </c>
      <c r="B39" s="107">
        <v>7352955</v>
      </c>
      <c r="C39" s="107">
        <v>7352955</v>
      </c>
      <c r="D39" s="107">
        <v>7352955</v>
      </c>
      <c r="E39" s="107">
        <v>7352955</v>
      </c>
      <c r="F39" s="107">
        <v>7352955</v>
      </c>
      <c r="G39" s="107">
        <v>7352955</v>
      </c>
      <c r="H39" s="107">
        <v>7352955</v>
      </c>
      <c r="I39" s="107">
        <v>7352955</v>
      </c>
      <c r="J39" s="107">
        <v>7352955</v>
      </c>
      <c r="K39" s="107">
        <v>7352955</v>
      </c>
      <c r="L39" s="107">
        <v>7352955</v>
      </c>
      <c r="M39" s="107">
        <v>7352955</v>
      </c>
      <c r="N39" s="107">
        <v>7352955</v>
      </c>
      <c r="O39" s="107">
        <v>7352955</v>
      </c>
      <c r="P39" s="107">
        <v>7352955</v>
      </c>
      <c r="Q39" s="107">
        <v>7352955</v>
      </c>
      <c r="R39" s="107">
        <v>7352955</v>
      </c>
      <c r="S39" s="107">
        <v>7352955</v>
      </c>
      <c r="T39" s="107">
        <v>7352955</v>
      </c>
      <c r="U39" s="107">
        <v>7352955</v>
      </c>
      <c r="V39" s="107">
        <v>7352955</v>
      </c>
      <c r="W39" s="107">
        <v>7352955</v>
      </c>
      <c r="X39" s="107">
        <v>7352955</v>
      </c>
      <c r="Y39" s="107">
        <v>7352955</v>
      </c>
      <c r="Z39" s="107">
        <v>7352955</v>
      </c>
      <c r="AA39" s="107">
        <v>7352955</v>
      </c>
      <c r="AB39" s="107">
        <v>7352955</v>
      </c>
      <c r="AC39" s="107">
        <v>7352955</v>
      </c>
      <c r="AD39" s="107">
        <v>7352955</v>
      </c>
      <c r="AE39" s="107">
        <v>7352955</v>
      </c>
      <c r="AF39" s="108"/>
      <c r="AG39" s="108"/>
      <c r="AH39" s="108"/>
    </row>
    <row r="40" spans="1:44" s="13" customFormat="1" x14ac:dyDescent="0.2">
      <c r="A40" s="12" t="s">
        <v>136</v>
      </c>
      <c r="B40" s="107">
        <v>8372708</v>
      </c>
      <c r="C40" s="107">
        <v>8372708</v>
      </c>
      <c r="D40" s="107">
        <v>8372708</v>
      </c>
      <c r="E40" s="107">
        <v>8372708</v>
      </c>
      <c r="F40" s="107">
        <v>8372708</v>
      </c>
      <c r="G40" s="107">
        <v>8372708</v>
      </c>
      <c r="H40" s="107">
        <v>8372708</v>
      </c>
      <c r="I40" s="107">
        <v>8372708</v>
      </c>
      <c r="J40" s="107">
        <v>8372708</v>
      </c>
      <c r="K40" s="107">
        <v>8372708</v>
      </c>
      <c r="L40" s="107">
        <v>8372708</v>
      </c>
      <c r="M40" s="107">
        <v>8372708</v>
      </c>
      <c r="N40" s="107">
        <v>8372708</v>
      </c>
      <c r="O40" s="107">
        <v>8372708</v>
      </c>
      <c r="P40" s="107">
        <v>8372708</v>
      </c>
      <c r="Q40" s="107">
        <v>8372708</v>
      </c>
      <c r="R40" s="107">
        <v>8372708</v>
      </c>
      <c r="S40" s="107">
        <v>8372708</v>
      </c>
      <c r="T40" s="107">
        <v>8372708</v>
      </c>
      <c r="U40" s="107">
        <v>8372708</v>
      </c>
      <c r="V40" s="107">
        <v>8372708</v>
      </c>
      <c r="W40" s="107">
        <v>8372708</v>
      </c>
      <c r="X40" s="107">
        <v>8372708</v>
      </c>
      <c r="Y40" s="107">
        <v>8372708</v>
      </c>
      <c r="Z40" s="107">
        <v>8372708</v>
      </c>
      <c r="AA40" s="107">
        <v>8372708</v>
      </c>
      <c r="AB40" s="107">
        <v>8372708</v>
      </c>
      <c r="AC40" s="107">
        <v>8372708</v>
      </c>
      <c r="AD40" s="107">
        <v>8372708</v>
      </c>
      <c r="AE40" s="107">
        <v>8372708</v>
      </c>
      <c r="AF40" s="108"/>
      <c r="AG40" s="108"/>
      <c r="AH40" s="108"/>
    </row>
    <row r="41" spans="1:44" s="13" customFormat="1" x14ac:dyDescent="0.2">
      <c r="A41" s="12" t="s">
        <v>103</v>
      </c>
      <c r="B41" s="107">
        <v>4228351</v>
      </c>
      <c r="C41" s="107">
        <v>4228351</v>
      </c>
      <c r="D41" s="107">
        <v>4228351</v>
      </c>
      <c r="E41" s="107">
        <v>4228351</v>
      </c>
      <c r="F41" s="107">
        <v>4228351</v>
      </c>
      <c r="G41" s="107">
        <v>4228351</v>
      </c>
      <c r="H41" s="107">
        <v>4228351</v>
      </c>
      <c r="I41" s="107">
        <v>4228351</v>
      </c>
      <c r="J41" s="107">
        <v>4228351</v>
      </c>
      <c r="K41" s="107">
        <v>4228351</v>
      </c>
      <c r="L41" s="107">
        <v>4228351</v>
      </c>
      <c r="M41" s="107">
        <v>4228351</v>
      </c>
      <c r="N41" s="107">
        <v>4228351</v>
      </c>
      <c r="O41" s="107">
        <v>4228351</v>
      </c>
      <c r="P41" s="107">
        <v>4228351</v>
      </c>
      <c r="Q41" s="107">
        <v>4228351</v>
      </c>
      <c r="R41" s="107">
        <v>4228351</v>
      </c>
      <c r="S41" s="107">
        <v>4228351</v>
      </c>
      <c r="T41" s="107">
        <v>4228351</v>
      </c>
      <c r="U41" s="107">
        <v>4228351</v>
      </c>
      <c r="V41" s="107">
        <v>4228351</v>
      </c>
      <c r="W41" s="107">
        <v>4228351</v>
      </c>
      <c r="X41" s="107">
        <v>4228351</v>
      </c>
      <c r="Y41" s="107">
        <v>4228351</v>
      </c>
      <c r="Z41" s="107">
        <v>4228351</v>
      </c>
      <c r="AA41" s="107">
        <v>4228351</v>
      </c>
      <c r="AB41" s="107">
        <v>4228351</v>
      </c>
      <c r="AC41" s="107">
        <v>4228351</v>
      </c>
      <c r="AD41" s="107">
        <v>4228351</v>
      </c>
      <c r="AE41" s="107">
        <v>4228351</v>
      </c>
      <c r="AF41" s="108"/>
      <c r="AG41" s="108"/>
      <c r="AH41" s="108"/>
    </row>
    <row r="42" spans="1:44" s="13" customFormat="1" x14ac:dyDescent="0.2">
      <c r="A42" s="12" t="s">
        <v>99</v>
      </c>
      <c r="B42" s="25">
        <f>SUM(B39:B41)</f>
        <v>19954014</v>
      </c>
      <c r="C42" s="25">
        <f t="shared" ref="C42:K42" si="5">SUM(C39:C41)</f>
        <v>19954014</v>
      </c>
      <c r="D42" s="25">
        <f t="shared" si="5"/>
        <v>19954014</v>
      </c>
      <c r="E42" s="25">
        <f t="shared" si="5"/>
        <v>19954014</v>
      </c>
      <c r="F42" s="25">
        <f t="shared" si="5"/>
        <v>19954014</v>
      </c>
      <c r="G42" s="25">
        <f t="shared" si="5"/>
        <v>19954014</v>
      </c>
      <c r="H42" s="25">
        <f t="shared" si="5"/>
        <v>19954014</v>
      </c>
      <c r="I42" s="25">
        <f t="shared" si="5"/>
        <v>19954014</v>
      </c>
      <c r="J42" s="25">
        <f t="shared" si="5"/>
        <v>19954014</v>
      </c>
      <c r="K42" s="25">
        <f t="shared" si="5"/>
        <v>19954014</v>
      </c>
      <c r="L42" s="25">
        <f t="shared" ref="L42:AE42" si="6">SUM(L39:L41)</f>
        <v>19954014</v>
      </c>
      <c r="M42" s="25">
        <f t="shared" si="6"/>
        <v>19954014</v>
      </c>
      <c r="N42" s="25">
        <f t="shared" si="6"/>
        <v>19954014</v>
      </c>
      <c r="O42" s="25">
        <f t="shared" si="6"/>
        <v>19954014</v>
      </c>
      <c r="P42" s="25">
        <f t="shared" si="6"/>
        <v>19954014</v>
      </c>
      <c r="Q42" s="25">
        <f t="shared" si="6"/>
        <v>19954014</v>
      </c>
      <c r="R42" s="25">
        <f t="shared" si="6"/>
        <v>19954014</v>
      </c>
      <c r="S42" s="25">
        <f t="shared" si="6"/>
        <v>19954014</v>
      </c>
      <c r="T42" s="25">
        <f t="shared" si="6"/>
        <v>19954014</v>
      </c>
      <c r="U42" s="25">
        <f t="shared" si="6"/>
        <v>19954014</v>
      </c>
      <c r="V42" s="25">
        <f t="shared" si="6"/>
        <v>19954014</v>
      </c>
      <c r="W42" s="25">
        <f t="shared" si="6"/>
        <v>19954014</v>
      </c>
      <c r="X42" s="25">
        <f t="shared" si="6"/>
        <v>19954014</v>
      </c>
      <c r="Y42" s="25">
        <f t="shared" si="6"/>
        <v>19954014</v>
      </c>
      <c r="Z42" s="25">
        <f t="shared" si="6"/>
        <v>19954014</v>
      </c>
      <c r="AA42" s="25">
        <f t="shared" si="6"/>
        <v>19954014</v>
      </c>
      <c r="AB42" s="25">
        <f t="shared" si="6"/>
        <v>19954014</v>
      </c>
      <c r="AC42" s="25">
        <f t="shared" si="6"/>
        <v>19954014</v>
      </c>
      <c r="AD42" s="25">
        <f t="shared" si="6"/>
        <v>19954014</v>
      </c>
      <c r="AE42" s="25">
        <f t="shared" si="6"/>
        <v>19954014</v>
      </c>
      <c r="AF42" s="108"/>
      <c r="AG42" s="108"/>
      <c r="AH42" s="108"/>
    </row>
    <row r="43" spans="1:44" x14ac:dyDescent="0.2">
      <c r="A43" s="11"/>
      <c r="B43" s="11"/>
      <c r="C43" s="47"/>
    </row>
    <row r="44" spans="1:44" s="11" customFormat="1" x14ac:dyDescent="0.2">
      <c r="A44" s="100" t="s">
        <v>486</v>
      </c>
      <c r="B44" s="99">
        <f>Parametre!B12</f>
        <v>2022</v>
      </c>
      <c r="C44" s="99">
        <f>B44+1</f>
        <v>2023</v>
      </c>
      <c r="D44" s="99">
        <f t="shared" ref="D44:AE44" si="7">C44+1</f>
        <v>2024</v>
      </c>
      <c r="E44" s="99">
        <f t="shared" si="7"/>
        <v>2025</v>
      </c>
      <c r="F44" s="99">
        <f t="shared" si="7"/>
        <v>2026</v>
      </c>
      <c r="G44" s="99">
        <f t="shared" si="7"/>
        <v>2027</v>
      </c>
      <c r="H44" s="99">
        <f t="shared" si="7"/>
        <v>2028</v>
      </c>
      <c r="I44" s="99">
        <f t="shared" si="7"/>
        <v>2029</v>
      </c>
      <c r="J44" s="99">
        <f t="shared" si="7"/>
        <v>2030</v>
      </c>
      <c r="K44" s="99">
        <f t="shared" si="7"/>
        <v>2031</v>
      </c>
      <c r="L44" s="99">
        <f t="shared" si="7"/>
        <v>2032</v>
      </c>
      <c r="M44" s="99">
        <f t="shared" si="7"/>
        <v>2033</v>
      </c>
      <c r="N44" s="99">
        <f t="shared" si="7"/>
        <v>2034</v>
      </c>
      <c r="O44" s="99">
        <f t="shared" si="7"/>
        <v>2035</v>
      </c>
      <c r="P44" s="99">
        <f t="shared" si="7"/>
        <v>2036</v>
      </c>
      <c r="Q44" s="99">
        <f t="shared" si="7"/>
        <v>2037</v>
      </c>
      <c r="R44" s="99">
        <f t="shared" si="7"/>
        <v>2038</v>
      </c>
      <c r="S44" s="99">
        <f t="shared" si="7"/>
        <v>2039</v>
      </c>
      <c r="T44" s="99">
        <f t="shared" si="7"/>
        <v>2040</v>
      </c>
      <c r="U44" s="99">
        <f t="shared" si="7"/>
        <v>2041</v>
      </c>
      <c r="V44" s="99">
        <f t="shared" si="7"/>
        <v>2042</v>
      </c>
      <c r="W44" s="99">
        <f t="shared" si="7"/>
        <v>2043</v>
      </c>
      <c r="X44" s="99">
        <f t="shared" si="7"/>
        <v>2044</v>
      </c>
      <c r="Y44" s="99">
        <f t="shared" si="7"/>
        <v>2045</v>
      </c>
      <c r="Z44" s="99">
        <f t="shared" si="7"/>
        <v>2046</v>
      </c>
      <c r="AA44" s="99">
        <f t="shared" si="7"/>
        <v>2047</v>
      </c>
      <c r="AB44" s="99">
        <f t="shared" si="7"/>
        <v>2048</v>
      </c>
      <c r="AC44" s="99">
        <f t="shared" si="7"/>
        <v>2049</v>
      </c>
      <c r="AD44" s="99">
        <f t="shared" si="7"/>
        <v>2050</v>
      </c>
      <c r="AE44" s="99">
        <f t="shared" si="7"/>
        <v>2051</v>
      </c>
    </row>
    <row r="45" spans="1:44" s="11" customFormat="1" x14ac:dyDescent="0.2">
      <c r="A45" s="12" t="s">
        <v>102</v>
      </c>
      <c r="B45" s="107">
        <v>7352955</v>
      </c>
      <c r="C45" s="107">
        <v>7352955</v>
      </c>
      <c r="D45" s="107">
        <v>7352955</v>
      </c>
      <c r="E45" s="107">
        <v>7352955</v>
      </c>
      <c r="F45" s="107">
        <v>6875013</v>
      </c>
      <c r="G45" s="107">
        <v>6875013</v>
      </c>
      <c r="H45" s="107">
        <v>6875013</v>
      </c>
      <c r="I45" s="107">
        <v>6875013</v>
      </c>
      <c r="J45" s="107">
        <v>6875013</v>
      </c>
      <c r="K45" s="107">
        <v>6029423</v>
      </c>
      <c r="L45" s="107">
        <v>6029423</v>
      </c>
      <c r="M45" s="107">
        <v>6029423</v>
      </c>
      <c r="N45" s="107">
        <v>6029423</v>
      </c>
      <c r="O45" s="107">
        <v>6029423</v>
      </c>
      <c r="P45" s="107">
        <v>6029423</v>
      </c>
      <c r="Q45" s="107">
        <v>6029423</v>
      </c>
      <c r="R45" s="107">
        <v>6029423</v>
      </c>
      <c r="S45" s="107">
        <v>6029423</v>
      </c>
      <c r="T45" s="107">
        <v>6029423</v>
      </c>
      <c r="U45" s="107">
        <v>6029423</v>
      </c>
      <c r="V45" s="107">
        <v>6029423</v>
      </c>
      <c r="W45" s="107">
        <v>6029423</v>
      </c>
      <c r="X45" s="107">
        <v>6029423</v>
      </c>
      <c r="Y45" s="107">
        <v>6029423</v>
      </c>
      <c r="Z45" s="107">
        <v>6029423</v>
      </c>
      <c r="AA45" s="107">
        <v>6029423</v>
      </c>
      <c r="AB45" s="107">
        <v>6029423</v>
      </c>
      <c r="AC45" s="107">
        <v>6029423</v>
      </c>
      <c r="AD45" s="107">
        <v>6029423</v>
      </c>
      <c r="AE45" s="107">
        <v>6029423</v>
      </c>
    </row>
    <row r="46" spans="1:44" s="11" customFormat="1" x14ac:dyDescent="0.2">
      <c r="A46" s="12" t="s">
        <v>136</v>
      </c>
      <c r="B46" s="107">
        <v>8372708</v>
      </c>
      <c r="C46" s="107">
        <v>8372708</v>
      </c>
      <c r="D46" s="107">
        <v>8382708</v>
      </c>
      <c r="E46" s="107">
        <v>8360808</v>
      </c>
      <c r="F46" s="107">
        <v>8445566</v>
      </c>
      <c r="G46" s="107">
        <v>8445566</v>
      </c>
      <c r="H46" s="107">
        <v>8445566</v>
      </c>
      <c r="I46" s="107">
        <v>8361374</v>
      </c>
      <c r="J46" s="107">
        <v>8055425</v>
      </c>
      <c r="K46" s="107">
        <v>8021509</v>
      </c>
      <c r="L46" s="107">
        <v>7966614</v>
      </c>
      <c r="M46" s="107">
        <v>7966614</v>
      </c>
      <c r="N46" s="107">
        <v>7966614</v>
      </c>
      <c r="O46" s="107">
        <v>7966614</v>
      </c>
      <c r="P46" s="107">
        <v>7966614</v>
      </c>
      <c r="Q46" s="107">
        <v>7966614</v>
      </c>
      <c r="R46" s="107">
        <v>7966614</v>
      </c>
      <c r="S46" s="107">
        <v>7966614</v>
      </c>
      <c r="T46" s="107">
        <v>7966614</v>
      </c>
      <c r="U46" s="107">
        <v>7966614</v>
      </c>
      <c r="V46" s="107">
        <v>7966614</v>
      </c>
      <c r="W46" s="107">
        <v>7966614</v>
      </c>
      <c r="X46" s="107">
        <v>7966614</v>
      </c>
      <c r="Y46" s="107">
        <v>7966614</v>
      </c>
      <c r="Z46" s="107">
        <v>7966614</v>
      </c>
      <c r="AA46" s="107">
        <v>7966614</v>
      </c>
      <c r="AB46" s="107">
        <v>7966614</v>
      </c>
      <c r="AC46" s="107">
        <v>7966614</v>
      </c>
      <c r="AD46" s="107">
        <v>7966614</v>
      </c>
      <c r="AE46" s="107">
        <v>7966614</v>
      </c>
    </row>
    <row r="47" spans="1:44" s="11" customFormat="1" x14ac:dyDescent="0.2">
      <c r="A47" s="12" t="s">
        <v>103</v>
      </c>
      <c r="B47" s="107">
        <v>4228351</v>
      </c>
      <c r="C47" s="107">
        <v>4228351</v>
      </c>
      <c r="D47" s="107">
        <v>4233401</v>
      </c>
      <c r="E47" s="107">
        <v>4222341</v>
      </c>
      <c r="F47" s="107">
        <v>4265145</v>
      </c>
      <c r="G47" s="107">
        <v>4265145</v>
      </c>
      <c r="H47" s="107">
        <v>4265145</v>
      </c>
      <c r="I47" s="107">
        <v>4201456</v>
      </c>
      <c r="J47" s="107">
        <v>4050933</v>
      </c>
      <c r="K47" s="107">
        <v>4033877</v>
      </c>
      <c r="L47" s="107">
        <v>4006272</v>
      </c>
      <c r="M47" s="107">
        <v>4006272</v>
      </c>
      <c r="N47" s="107">
        <v>4006272</v>
      </c>
      <c r="O47" s="107">
        <v>4006272</v>
      </c>
      <c r="P47" s="107">
        <v>4006272</v>
      </c>
      <c r="Q47" s="107">
        <v>4006272</v>
      </c>
      <c r="R47" s="107">
        <v>4006272</v>
      </c>
      <c r="S47" s="107">
        <v>4006272</v>
      </c>
      <c r="T47" s="107">
        <v>4006272</v>
      </c>
      <c r="U47" s="107">
        <v>4006272</v>
      </c>
      <c r="V47" s="107">
        <v>4006272</v>
      </c>
      <c r="W47" s="107">
        <v>4006272</v>
      </c>
      <c r="X47" s="107">
        <v>4006272</v>
      </c>
      <c r="Y47" s="107">
        <v>4006272</v>
      </c>
      <c r="Z47" s="107">
        <v>4006272</v>
      </c>
      <c r="AA47" s="107">
        <v>4006272</v>
      </c>
      <c r="AB47" s="107">
        <v>4006272</v>
      </c>
      <c r="AC47" s="107">
        <v>4006272</v>
      </c>
      <c r="AD47" s="107">
        <v>4006272</v>
      </c>
      <c r="AE47" s="107">
        <v>4006272</v>
      </c>
    </row>
    <row r="48" spans="1:44" s="11" customFormat="1" x14ac:dyDescent="0.2">
      <c r="A48" s="12" t="s">
        <v>99</v>
      </c>
      <c r="B48" s="25">
        <f t="shared" ref="B48:AE48" si="8">SUM(B45:B47)</f>
        <v>19954014</v>
      </c>
      <c r="C48" s="25">
        <f t="shared" si="8"/>
        <v>19954014</v>
      </c>
      <c r="D48" s="25">
        <f t="shared" si="8"/>
        <v>19969064</v>
      </c>
      <c r="E48" s="25">
        <f t="shared" si="8"/>
        <v>19936104</v>
      </c>
      <c r="F48" s="25">
        <f t="shared" si="8"/>
        <v>19585724</v>
      </c>
      <c r="G48" s="25">
        <f t="shared" si="8"/>
        <v>19585724</v>
      </c>
      <c r="H48" s="25">
        <f t="shared" si="8"/>
        <v>19585724</v>
      </c>
      <c r="I48" s="25">
        <f t="shared" si="8"/>
        <v>19437843</v>
      </c>
      <c r="J48" s="25">
        <f t="shared" si="8"/>
        <v>18981371</v>
      </c>
      <c r="K48" s="25">
        <f t="shared" si="8"/>
        <v>18084809</v>
      </c>
      <c r="L48" s="25">
        <f t="shared" si="8"/>
        <v>18002309</v>
      </c>
      <c r="M48" s="25">
        <f t="shared" si="8"/>
        <v>18002309</v>
      </c>
      <c r="N48" s="25">
        <f t="shared" si="8"/>
        <v>18002309</v>
      </c>
      <c r="O48" s="25">
        <f t="shared" si="8"/>
        <v>18002309</v>
      </c>
      <c r="P48" s="25">
        <f t="shared" si="8"/>
        <v>18002309</v>
      </c>
      <c r="Q48" s="25">
        <f t="shared" si="8"/>
        <v>18002309</v>
      </c>
      <c r="R48" s="25">
        <f t="shared" si="8"/>
        <v>18002309</v>
      </c>
      <c r="S48" s="25">
        <f t="shared" si="8"/>
        <v>18002309</v>
      </c>
      <c r="T48" s="25">
        <f t="shared" si="8"/>
        <v>18002309</v>
      </c>
      <c r="U48" s="25">
        <f t="shared" si="8"/>
        <v>18002309</v>
      </c>
      <c r="V48" s="25">
        <f t="shared" si="8"/>
        <v>18002309</v>
      </c>
      <c r="W48" s="25">
        <f t="shared" si="8"/>
        <v>18002309</v>
      </c>
      <c r="X48" s="25">
        <f t="shared" si="8"/>
        <v>18002309</v>
      </c>
      <c r="Y48" s="25">
        <f t="shared" si="8"/>
        <v>18002309</v>
      </c>
      <c r="Z48" s="25">
        <f t="shared" si="8"/>
        <v>18002309</v>
      </c>
      <c r="AA48" s="25">
        <f t="shared" si="8"/>
        <v>18002309</v>
      </c>
      <c r="AB48" s="25">
        <f t="shared" si="8"/>
        <v>18002309</v>
      </c>
      <c r="AC48" s="25">
        <f t="shared" si="8"/>
        <v>18002309</v>
      </c>
      <c r="AD48" s="25">
        <f t="shared" si="8"/>
        <v>18002309</v>
      </c>
      <c r="AE48" s="25">
        <f t="shared" si="8"/>
        <v>18002309</v>
      </c>
    </row>
    <row r="49" spans="1:31" x14ac:dyDescent="0.2">
      <c r="J49" s="48"/>
    </row>
    <row r="50" spans="1:31" ht="15" x14ac:dyDescent="0.25">
      <c r="A50" s="196" t="s">
        <v>508</v>
      </c>
    </row>
    <row r="51" spans="1:31" x14ac:dyDescent="0.2">
      <c r="A51" s="7"/>
      <c r="B51" s="191">
        <f>Parametre!B12</f>
        <v>2022</v>
      </c>
      <c r="C51" s="191">
        <f>B51+1</f>
        <v>2023</v>
      </c>
      <c r="D51" s="191">
        <f t="shared" ref="D51:AE51" si="9">C51+1</f>
        <v>2024</v>
      </c>
      <c r="E51" s="191">
        <f t="shared" si="9"/>
        <v>2025</v>
      </c>
      <c r="F51" s="191">
        <f t="shared" si="9"/>
        <v>2026</v>
      </c>
      <c r="G51" s="191">
        <f t="shared" si="9"/>
        <v>2027</v>
      </c>
      <c r="H51" s="191">
        <f t="shared" si="9"/>
        <v>2028</v>
      </c>
      <c r="I51" s="191">
        <f t="shared" si="9"/>
        <v>2029</v>
      </c>
      <c r="J51" s="191">
        <f t="shared" si="9"/>
        <v>2030</v>
      </c>
      <c r="K51" s="191">
        <f t="shared" si="9"/>
        <v>2031</v>
      </c>
      <c r="L51" s="191">
        <f t="shared" si="9"/>
        <v>2032</v>
      </c>
      <c r="M51" s="191">
        <f t="shared" si="9"/>
        <v>2033</v>
      </c>
      <c r="N51" s="191">
        <f t="shared" si="9"/>
        <v>2034</v>
      </c>
      <c r="O51" s="191">
        <f t="shared" si="9"/>
        <v>2035</v>
      </c>
      <c r="P51" s="191">
        <f t="shared" si="9"/>
        <v>2036</v>
      </c>
      <c r="Q51" s="191">
        <f t="shared" si="9"/>
        <v>2037</v>
      </c>
      <c r="R51" s="191">
        <f t="shared" si="9"/>
        <v>2038</v>
      </c>
      <c r="S51" s="191">
        <f t="shared" si="9"/>
        <v>2039</v>
      </c>
      <c r="T51" s="191">
        <f t="shared" si="9"/>
        <v>2040</v>
      </c>
      <c r="U51" s="191">
        <f t="shared" si="9"/>
        <v>2041</v>
      </c>
      <c r="V51" s="191">
        <f t="shared" si="9"/>
        <v>2042</v>
      </c>
      <c r="W51" s="191">
        <f t="shared" si="9"/>
        <v>2043</v>
      </c>
      <c r="X51" s="191">
        <f t="shared" si="9"/>
        <v>2044</v>
      </c>
      <c r="Y51" s="191">
        <f t="shared" si="9"/>
        <v>2045</v>
      </c>
      <c r="Z51" s="191">
        <f t="shared" si="9"/>
        <v>2046</v>
      </c>
      <c r="AA51" s="191">
        <f t="shared" si="9"/>
        <v>2047</v>
      </c>
      <c r="AB51" s="191">
        <f t="shared" si="9"/>
        <v>2048</v>
      </c>
      <c r="AC51" s="191">
        <f t="shared" si="9"/>
        <v>2049</v>
      </c>
      <c r="AD51" s="191">
        <f t="shared" si="9"/>
        <v>2050</v>
      </c>
      <c r="AE51" s="191">
        <f t="shared" si="9"/>
        <v>2051</v>
      </c>
    </row>
    <row r="52" spans="1:31" x14ac:dyDescent="0.2">
      <c r="A52" s="7" t="s">
        <v>360</v>
      </c>
      <c r="B52" s="107"/>
      <c r="C52" s="107"/>
      <c r="D52" s="107">
        <f>E52*(1-Doprava!D173)</f>
        <v>11576.9524</v>
      </c>
      <c r="E52" s="107">
        <v>11764</v>
      </c>
      <c r="F52" s="107">
        <f>E52*(1+Doprava!F173)</f>
        <v>11941.636399999999</v>
      </c>
      <c r="G52" s="107">
        <f>F52*(1+Doprava!G173)</f>
        <v>12121.955109639997</v>
      </c>
      <c r="H52" s="107">
        <f>G52*(1+Doprava!H173)</f>
        <v>12304.99663179556</v>
      </c>
      <c r="I52" s="107">
        <f>H52*(1+Doprava!I173)</f>
        <v>12490.802080935671</v>
      </c>
      <c r="J52" s="107">
        <v>147497</v>
      </c>
      <c r="K52" s="107">
        <f>J52*(1+Doprava!K173)</f>
        <v>149060.4682</v>
      </c>
      <c r="L52" s="107">
        <f>K52*(1+Doprava!L173)</f>
        <v>150640.50916292</v>
      </c>
      <c r="M52" s="107">
        <f>L52*(1+Doprava!M173)</f>
        <v>152237.29856004694</v>
      </c>
      <c r="N52" s="107">
        <f>M52*(1+Doprava!N173)</f>
        <v>153851.01392478342</v>
      </c>
      <c r="O52" s="107">
        <f>N52*(1+Doprava!O173)</f>
        <v>155481.83467238612</v>
      </c>
      <c r="P52" s="107">
        <f>O52*(1+Doprava!P173)</f>
        <v>157129.94211991341</v>
      </c>
      <c r="Q52" s="107">
        <f>R52*(1-Doprava!Q173)</f>
        <v>262719.23403046583</v>
      </c>
      <c r="R52" s="107">
        <f>S52*(1-Doprava!R173)</f>
        <v>265533.89329943992</v>
      </c>
      <c r="S52" s="107">
        <f>T52*(1-Doprava!S173)</f>
        <v>268378.70759999997</v>
      </c>
      <c r="T52" s="107">
        <v>271254</v>
      </c>
      <c r="U52" s="107">
        <f>T52*(1+Doprava!U173)</f>
        <v>272203.38900000002</v>
      </c>
      <c r="V52" s="107">
        <f>U52*(1+Doprava!V173)</f>
        <v>273156.10086150002</v>
      </c>
      <c r="W52" s="107">
        <f>V52*(1+Doprava!W173)</f>
        <v>274112.14721451531</v>
      </c>
      <c r="X52" s="107">
        <f>W52*(1+Doprava!X173)</f>
        <v>275071.53972976614</v>
      </c>
      <c r="Y52" s="107">
        <f>X52*(1+Doprava!Y173)</f>
        <v>276034.29011882033</v>
      </c>
      <c r="Z52" s="107">
        <f>Y52*(1+Doprava!Z173)</f>
        <v>277000.41013423621</v>
      </c>
      <c r="AA52" s="107">
        <f>Z52*(1+Doprava!AA173)</f>
        <v>277969.91156970605</v>
      </c>
      <c r="AB52" s="107">
        <f>AA52*(1+Doprava!AB173)</f>
        <v>278942.80626020004</v>
      </c>
      <c r="AC52" s="107">
        <f>AB52*(1+Doprava!AC173)</f>
        <v>279919.10608211078</v>
      </c>
      <c r="AD52" s="107">
        <f>AC52*(1+Doprava!AD173)</f>
        <v>280898.82295339816</v>
      </c>
      <c r="AE52" s="107">
        <f>AD52*(1+Doprava!AE173)</f>
        <v>281881.9688337351</v>
      </c>
    </row>
    <row r="53" spans="1:31" x14ac:dyDescent="0.2">
      <c r="A53" s="7" t="s">
        <v>376</v>
      </c>
      <c r="B53" s="107"/>
      <c r="C53" s="107"/>
      <c r="D53" s="107">
        <f>E53*(1-Doprava!D173)</f>
        <v>2398.2516999999998</v>
      </c>
      <c r="E53" s="107">
        <v>2437</v>
      </c>
      <c r="F53" s="107">
        <f>E53*(1+Doprava!F173)</f>
        <v>2473.7986999999998</v>
      </c>
      <c r="G53" s="107">
        <f>F53*(1+Doprava!G173)</f>
        <v>2511.1530603699994</v>
      </c>
      <c r="H53" s="107">
        <f>G53*(1+Doprava!H173)</f>
        <v>2549.0714715815861</v>
      </c>
      <c r="I53" s="107">
        <f>H53*(1+Doprava!I173)</f>
        <v>2587.562450802468</v>
      </c>
      <c r="J53" s="107">
        <v>26485</v>
      </c>
      <c r="K53" s="107">
        <f>J53*(1+Doprava!K173)</f>
        <v>26765.740999999998</v>
      </c>
      <c r="L53" s="107">
        <f>K53*(1+Doprava!L173)</f>
        <v>27049.457854599998</v>
      </c>
      <c r="M53" s="107">
        <f>L53*(1+Doprava!M173)</f>
        <v>27336.182107858756</v>
      </c>
      <c r="N53" s="107">
        <f>M53*(1+Doprava!N173)</f>
        <v>27625.945638202058</v>
      </c>
      <c r="O53" s="107">
        <f>N53*(1+Doprava!O173)</f>
        <v>27918.780661966997</v>
      </c>
      <c r="P53" s="107">
        <f>O53*(1+Doprava!P173)</f>
        <v>28214.719736983847</v>
      </c>
      <c r="Q53" s="107">
        <f>R53*(1-Doprava!Q173)</f>
        <v>47153.169755186034</v>
      </c>
      <c r="R53" s="107">
        <f>S53*(1-Doprava!R173)</f>
        <v>47658.348246599999</v>
      </c>
      <c r="S53" s="107">
        <f>T53*(1-Doprava!S173)</f>
        <v>48168.938999999998</v>
      </c>
      <c r="T53" s="107">
        <v>48685</v>
      </c>
      <c r="U53" s="107">
        <f>T53*(1+Doprava!U173)</f>
        <v>48855.397500000006</v>
      </c>
      <c r="V53" s="107">
        <f>U53*(1+Doprava!V173)</f>
        <v>49026.391391250007</v>
      </c>
      <c r="W53" s="107">
        <f>V53*(1+Doprava!W173)</f>
        <v>49197.983761119387</v>
      </c>
      <c r="X53" s="107">
        <f>W53*(1+Doprava!X173)</f>
        <v>49370.176704283309</v>
      </c>
      <c r="Y53" s="107">
        <f>X53*(1+Doprava!Y173)</f>
        <v>49542.972322748305</v>
      </c>
      <c r="Z53" s="107">
        <f>Y53*(1+Doprava!Z173)</f>
        <v>49716.372725877925</v>
      </c>
      <c r="AA53" s="107">
        <f>Z53*(1+Doprava!AA173)</f>
        <v>49890.380030418499</v>
      </c>
      <c r="AB53" s="107">
        <f>AA53*(1+Doprava!AB173)</f>
        <v>50064.996360524965</v>
      </c>
      <c r="AC53" s="107">
        <f>AB53*(1+Doprava!AC173)</f>
        <v>50240.223847786809</v>
      </c>
      <c r="AD53" s="107">
        <f>AC53*(1+Doprava!AD173)</f>
        <v>50416.064631254063</v>
      </c>
      <c r="AE53" s="107">
        <f>AD53*(1+Doprava!AE173)</f>
        <v>50592.520857463453</v>
      </c>
    </row>
    <row r="54" spans="1:31" x14ac:dyDescent="0.2">
      <c r="A54" s="7" t="s">
        <v>361</v>
      </c>
      <c r="B54" s="107"/>
      <c r="C54" s="107"/>
      <c r="D54" s="107">
        <f>E54*(1-Doprava!D173)</f>
        <v>28368.650699999998</v>
      </c>
      <c r="E54" s="107">
        <v>28827</v>
      </c>
      <c r="F54" s="107">
        <f>E54*(1+Doprava!F173)</f>
        <v>29262.287699999997</v>
      </c>
      <c r="G54" s="107">
        <f>F54*(1+Doprava!G173)</f>
        <v>29704.148244269993</v>
      </c>
      <c r="H54" s="107">
        <f>G54*(1+Doprava!H173)</f>
        <v>30152.680882758465</v>
      </c>
      <c r="I54" s="107">
        <f>H54*(1+Doprava!I173)</f>
        <v>30607.986364088116</v>
      </c>
      <c r="J54" s="107">
        <v>297248</v>
      </c>
      <c r="K54" s="107">
        <f>J54*(1+Doprava!K173)</f>
        <v>300398.82879999996</v>
      </c>
      <c r="L54" s="107">
        <f>K54*(1+Doprava!L173)</f>
        <v>303583.05638527992</v>
      </c>
      <c r="M54" s="107">
        <f>L54*(1+Doprava!M173)</f>
        <v>306801.0367829639</v>
      </c>
      <c r="N54" s="107">
        <f>M54*(1+Doprava!N173)</f>
        <v>310053.12777286331</v>
      </c>
      <c r="O54" s="107">
        <f>N54*(1+Doprava!O173)</f>
        <v>313339.69092725567</v>
      </c>
      <c r="P54" s="107">
        <f>O54*(1+Doprava!P173)</f>
        <v>316661.09165108454</v>
      </c>
      <c r="Q54" s="107">
        <f>R54*(1-Doprava!Q173)</f>
        <v>404079.95263534761</v>
      </c>
      <c r="R54" s="107">
        <f>S54*(1-Doprava!R173)</f>
        <v>408409.08897851995</v>
      </c>
      <c r="S54" s="107">
        <f>T54*(1-Doprava!S173)</f>
        <v>412784.60579999996</v>
      </c>
      <c r="T54" s="107">
        <v>417207</v>
      </c>
      <c r="U54" s="107">
        <f>T54*(1+Doprava!U173)</f>
        <v>418667.22450000001</v>
      </c>
      <c r="V54" s="107">
        <f>U54*(1+Doprava!V173)</f>
        <v>420132.55978575005</v>
      </c>
      <c r="W54" s="107">
        <f>V54*(1+Doprava!W173)</f>
        <v>421603.02374500019</v>
      </c>
      <c r="X54" s="107">
        <f>W54*(1+Doprava!X173)</f>
        <v>423078.6343281077</v>
      </c>
      <c r="Y54" s="107">
        <f>X54*(1+Doprava!Y173)</f>
        <v>424559.40954825608</v>
      </c>
      <c r="Z54" s="107">
        <f>Y54*(1+Doprava!Z173)</f>
        <v>426045.367481675</v>
      </c>
      <c r="AA54" s="107">
        <f>Z54*(1+Doprava!AA173)</f>
        <v>427536.5262678609</v>
      </c>
      <c r="AB54" s="107">
        <f>AA54*(1+Doprava!AB173)</f>
        <v>429032.90410979843</v>
      </c>
      <c r="AC54" s="107">
        <f>AB54*(1+Doprava!AC173)</f>
        <v>430534.51927418273</v>
      </c>
      <c r="AD54" s="107">
        <f>AC54*(1+Doprava!AD173)</f>
        <v>432041.39009164239</v>
      </c>
      <c r="AE54" s="107">
        <f>AD54*(1+Doprava!AE173)</f>
        <v>433553.53495696315</v>
      </c>
    </row>
    <row r="55" spans="1:31" x14ac:dyDescent="0.2">
      <c r="A55" s="7" t="s">
        <v>362</v>
      </c>
      <c r="B55" s="107"/>
      <c r="C55" s="107"/>
      <c r="D55" s="107">
        <f>E55*(1-Doprava!D173)</f>
        <v>3204.2296000000001</v>
      </c>
      <c r="E55" s="107">
        <v>3256</v>
      </c>
      <c r="F55" s="107">
        <f>E55*(1+Doprava!F173)</f>
        <v>3305.1655999999998</v>
      </c>
      <c r="G55" s="107">
        <f>F55*(1+Doprava!G173)</f>
        <v>3355.0736005599992</v>
      </c>
      <c r="H55" s="107">
        <f>G55*(1+Doprava!H173)</f>
        <v>3405.7352119284551</v>
      </c>
      <c r="I55" s="107">
        <f>H55*(1+Doprava!I173)</f>
        <v>3457.1618136285742</v>
      </c>
      <c r="J55" s="107">
        <v>46282</v>
      </c>
      <c r="K55" s="107">
        <f>J55*(1+Doprava!K173)</f>
        <v>46772.589199999995</v>
      </c>
      <c r="L55" s="107">
        <f>K55*(1+Doprava!L173)</f>
        <v>47268.378645519995</v>
      </c>
      <c r="M55" s="107">
        <f>L55*(1+Doprava!M173)</f>
        <v>47769.423459162506</v>
      </c>
      <c r="N55" s="107">
        <f>M55*(1+Doprava!N173)</f>
        <v>48275.779347829623</v>
      </c>
      <c r="O55" s="107">
        <f>N55*(1+Doprava!O173)</f>
        <v>48787.502608916613</v>
      </c>
      <c r="P55" s="107">
        <f>O55*(1+Doprava!P173)</f>
        <v>49304.650136571123</v>
      </c>
      <c r="Q55" s="107">
        <f>R55*(1-Doprava!Q173)</f>
        <v>77834.449646421184</v>
      </c>
      <c r="R55" s="107">
        <f>S55*(1-Doprava!R173)</f>
        <v>78668.333986679994</v>
      </c>
      <c r="S55" s="107">
        <f>T55*(1-Doprava!S173)</f>
        <v>79511.152199999997</v>
      </c>
      <c r="T55" s="107">
        <v>80363</v>
      </c>
      <c r="U55" s="107">
        <f>T55*(1+Doprava!U173)</f>
        <v>80644.270499999999</v>
      </c>
      <c r="V55" s="107">
        <f>U55*(1+Doprava!V173)</f>
        <v>80926.525446750005</v>
      </c>
      <c r="W55" s="107">
        <f>V55*(1+Doprava!W173)</f>
        <v>81209.76828581364</v>
      </c>
      <c r="X55" s="107">
        <f>W55*(1+Doprava!X173)</f>
        <v>81494.002474813999</v>
      </c>
      <c r="Y55" s="107">
        <f>X55*(1+Doprava!Y173)</f>
        <v>81779.231483475858</v>
      </c>
      <c r="Z55" s="107">
        <f>Y55*(1+Doprava!Z173)</f>
        <v>82065.458793668033</v>
      </c>
      <c r="AA55" s="107">
        <f>Z55*(1+Doprava!AA173)</f>
        <v>82352.687899445882</v>
      </c>
      <c r="AB55" s="107">
        <f>AA55*(1+Doprava!AB173)</f>
        <v>82640.922307093948</v>
      </c>
      <c r="AC55" s="107">
        <f>AB55*(1+Doprava!AC173)</f>
        <v>82930.16553516878</v>
      </c>
      <c r="AD55" s="107">
        <f>AC55*(1+Doprava!AD173)</f>
        <v>83220.421114541881</v>
      </c>
      <c r="AE55" s="107">
        <f>AD55*(1+Doprava!AE173)</f>
        <v>83511.692588442776</v>
      </c>
    </row>
    <row r="56" spans="1:31" x14ac:dyDescent="0.2">
      <c r="A56" s="7" t="s">
        <v>363</v>
      </c>
      <c r="B56" s="107"/>
      <c r="C56" s="107"/>
      <c r="D56" s="107">
        <f>E56*(1-Doprava!D173)</f>
        <v>39705.4827</v>
      </c>
      <c r="E56" s="107">
        <v>40347</v>
      </c>
      <c r="F56" s="107">
        <f>E56*(1+Doprava!F173)</f>
        <v>40956.239699999998</v>
      </c>
      <c r="G56" s="107">
        <f>F56*(1+Doprava!G173)</f>
        <v>41574.678919469996</v>
      </c>
      <c r="H56" s="107">
        <f>G56*(1+Doprava!H173)</f>
        <v>42202.456571153991</v>
      </c>
      <c r="I56" s="107">
        <f>H56*(1+Doprava!I173)</f>
        <v>42839.713665378411</v>
      </c>
      <c r="J56" s="107">
        <v>215009</v>
      </c>
      <c r="K56" s="107">
        <f>J56*(1+Doprava!K173)</f>
        <v>217288.09539999999</v>
      </c>
      <c r="L56" s="107">
        <f>K56*(1+Doprava!L173)</f>
        <v>219591.34921123998</v>
      </c>
      <c r="M56" s="107">
        <f>L56*(1+Doprava!M173)</f>
        <v>221919.0175128791</v>
      </c>
      <c r="N56" s="107">
        <f>M56*(1+Doprava!N173)</f>
        <v>224271.35909851562</v>
      </c>
      <c r="O56" s="107">
        <f>N56*(1+Doprava!O173)</f>
        <v>226648.63550495988</v>
      </c>
      <c r="P56" s="107">
        <f>O56*(1+Doprava!P173)</f>
        <v>229051.11104131243</v>
      </c>
      <c r="Q56" s="107">
        <f>R56*(1-Doprava!Q173)</f>
        <v>354999.39646108344</v>
      </c>
      <c r="R56" s="107">
        <f>S56*(1-Doprava!R173)</f>
        <v>358802.70513551997</v>
      </c>
      <c r="S56" s="107">
        <f>T56*(1-Doprava!S173)</f>
        <v>362646.76079999999</v>
      </c>
      <c r="T56" s="107">
        <v>366532</v>
      </c>
      <c r="U56" s="107">
        <f>T56*(1+Doprava!U173)</f>
        <v>367814.86200000002</v>
      </c>
      <c r="V56" s="107">
        <f>U56*(1+Doprava!V173)</f>
        <v>369102.21401700005</v>
      </c>
      <c r="W56" s="107">
        <f>V56*(1+Doprava!W173)</f>
        <v>370394.07176605955</v>
      </c>
      <c r="X56" s="107">
        <f>W56*(1+Doprava!X173)</f>
        <v>371690.45101724076</v>
      </c>
      <c r="Y56" s="107">
        <f>X56*(1+Doprava!Y173)</f>
        <v>372991.36759580113</v>
      </c>
      <c r="Z56" s="107">
        <f>Y56*(1+Doprava!Z173)</f>
        <v>374296.83738238644</v>
      </c>
      <c r="AA56" s="107">
        <f>Z56*(1+Doprava!AA173)</f>
        <v>375606.87631322478</v>
      </c>
      <c r="AB56" s="107">
        <f>AA56*(1+Doprava!AB173)</f>
        <v>376921.50038032111</v>
      </c>
      <c r="AC56" s="107">
        <f>AB56*(1+Doprava!AC173)</f>
        <v>378240.72563165228</v>
      </c>
      <c r="AD56" s="107">
        <f>AC56*(1+Doprava!AD173)</f>
        <v>379564.56817136309</v>
      </c>
      <c r="AE56" s="107">
        <f>AD56*(1+Doprava!AE173)</f>
        <v>380893.04415996291</v>
      </c>
    </row>
    <row r="57" spans="1:31" x14ac:dyDescent="0.2">
      <c r="A57" s="7" t="s">
        <v>364</v>
      </c>
      <c r="B57" s="107"/>
      <c r="C57" s="107"/>
      <c r="D57" s="107">
        <f>E57*(1-Doprava!D173)</f>
        <v>4070.2375999999999</v>
      </c>
      <c r="E57" s="107">
        <v>4136</v>
      </c>
      <c r="F57" s="107">
        <f>E57*(1+Doprava!F173)</f>
        <v>4198.4535999999998</v>
      </c>
      <c r="G57" s="107">
        <f>F57*(1+Doprava!G173)</f>
        <v>4261.850249359999</v>
      </c>
      <c r="H57" s="107">
        <f>G57*(1+Doprava!H173)</f>
        <v>4326.2041881253344</v>
      </c>
      <c r="I57" s="107">
        <f>H57*(1+Doprava!I173)</f>
        <v>4391.5298713660268</v>
      </c>
      <c r="J57" s="107">
        <v>28802</v>
      </c>
      <c r="K57" s="107">
        <f>J57*(1+Doprava!K173)</f>
        <v>29107.301199999998</v>
      </c>
      <c r="L57" s="107">
        <f>K57*(1+Doprava!L173)</f>
        <v>29415.838592719996</v>
      </c>
      <c r="M57" s="107">
        <f>L57*(1+Doprava!M173)</f>
        <v>29727.646481802825</v>
      </c>
      <c r="N57" s="107">
        <f>M57*(1+Doprava!N173)</f>
        <v>30042.759534509933</v>
      </c>
      <c r="O57" s="107">
        <f>N57*(1+Doprava!O173)</f>
        <v>30361.212785575735</v>
      </c>
      <c r="P57" s="107">
        <f>O57*(1+Doprava!P173)</f>
        <v>30683.041641102838</v>
      </c>
      <c r="Q57" s="107">
        <f>R57*(1-Doprava!Q173)</f>
        <v>47872.791920701144</v>
      </c>
      <c r="R57" s="107">
        <f>S57*(1-Doprava!R173)</f>
        <v>48385.680130079993</v>
      </c>
      <c r="S57" s="107">
        <f>T57*(1-Doprava!S173)</f>
        <v>48904.063199999997</v>
      </c>
      <c r="T57" s="107">
        <v>49428</v>
      </c>
      <c r="U57" s="107">
        <f>T57*(1+Doprava!U173)</f>
        <v>49600.998</v>
      </c>
      <c r="V57" s="107">
        <f>U57*(1+Doprava!V173)</f>
        <v>49774.601493000002</v>
      </c>
      <c r="W57" s="107">
        <f>V57*(1+Doprava!W173)</f>
        <v>49948.812598225508</v>
      </c>
      <c r="X57" s="107">
        <f>W57*(1+Doprava!X173)</f>
        <v>50123.633442319297</v>
      </c>
      <c r="Y57" s="107">
        <f>X57*(1+Doprava!Y173)</f>
        <v>50299.066159367416</v>
      </c>
      <c r="Z57" s="107">
        <f>Y57*(1+Doprava!Z173)</f>
        <v>50475.112890925207</v>
      </c>
      <c r="AA57" s="107">
        <f>Z57*(1+Doprava!AA173)</f>
        <v>50651.77578604345</v>
      </c>
      <c r="AB57" s="107">
        <f>AA57*(1+Doprava!AB173)</f>
        <v>50829.057001294605</v>
      </c>
      <c r="AC57" s="107">
        <f>AB57*(1+Doprava!AC173)</f>
        <v>51006.958700799136</v>
      </c>
      <c r="AD57" s="107">
        <f>AC57*(1+Doprava!AD173)</f>
        <v>51185.483056251935</v>
      </c>
      <c r="AE57" s="107">
        <f>AD57*(1+Doprava!AE173)</f>
        <v>51364.632246948822</v>
      </c>
    </row>
    <row r="58" spans="1:31" x14ac:dyDescent="0.2">
      <c r="A58" s="7" t="s">
        <v>365</v>
      </c>
      <c r="B58" s="107"/>
      <c r="C58" s="107"/>
      <c r="D58" s="107">
        <f>E58*(1-Doprava!D173)</f>
        <v>73290.847500000003</v>
      </c>
      <c r="E58" s="107">
        <v>74475</v>
      </c>
      <c r="F58" s="107">
        <f>E58*(1+Doprava!F173)</f>
        <v>75599.572499999995</v>
      </c>
      <c r="G58" s="107">
        <f>F58*(1+Doprava!G173)</f>
        <v>76741.126044749981</v>
      </c>
      <c r="H58" s="107">
        <f>G58*(1+Doprava!H173)</f>
        <v>77899.917048025702</v>
      </c>
      <c r="I58" s="107">
        <f>H58*(1+Doprava!I173)</f>
        <v>79076.205795450878</v>
      </c>
      <c r="J58" s="107">
        <v>232556</v>
      </c>
      <c r="K58" s="107">
        <f>J58*(1+Doprava!K173)</f>
        <v>235021.09359999999</v>
      </c>
      <c r="L58" s="107">
        <f>K58*(1+Doprava!L173)</f>
        <v>237512.31719215997</v>
      </c>
      <c r="M58" s="107">
        <f>L58*(1+Doprava!M173)</f>
        <v>240029.94775439685</v>
      </c>
      <c r="N58" s="107">
        <f>M58*(1+Doprava!N173)</f>
        <v>242574.26520059345</v>
      </c>
      <c r="O58" s="107">
        <f>N58*(1+Doprava!O173)</f>
        <v>245145.55241171972</v>
      </c>
      <c r="P58" s="107">
        <f>O58*(1+Doprava!P173)</f>
        <v>247744.09526728393</v>
      </c>
      <c r="Q58" s="107">
        <f>R58*(1-Doprava!Q173)</f>
        <v>293952.57937842194</v>
      </c>
      <c r="R58" s="107">
        <f>S58*(1-Doprava!R173)</f>
        <v>297101.85908471997</v>
      </c>
      <c r="S58" s="107">
        <f>T58*(1-Doprava!S173)</f>
        <v>300284.87880000001</v>
      </c>
      <c r="T58" s="107">
        <v>303502</v>
      </c>
      <c r="U58" s="107">
        <f>T58*(1+Doprava!U173)</f>
        <v>304564.25700000004</v>
      </c>
      <c r="V58" s="107">
        <f>U58*(1+Doprava!V173)</f>
        <v>305630.23189950007</v>
      </c>
      <c r="W58" s="107">
        <f>V58*(1+Doprava!W173)</f>
        <v>306699.93771114835</v>
      </c>
      <c r="X58" s="107">
        <f>W58*(1+Doprava!X173)</f>
        <v>307773.38749313739</v>
      </c>
      <c r="Y58" s="107">
        <f>X58*(1+Doprava!Y173)</f>
        <v>308850.59434936341</v>
      </c>
      <c r="Z58" s="107">
        <f>Y58*(1+Doprava!Z173)</f>
        <v>309931.57142958621</v>
      </c>
      <c r="AA58" s="107">
        <f>Z58*(1+Doprava!AA173)</f>
        <v>311016.3319295898</v>
      </c>
      <c r="AB58" s="107">
        <f>AA58*(1+Doprava!AB173)</f>
        <v>312104.88909134339</v>
      </c>
      <c r="AC58" s="107">
        <f>AB58*(1+Doprava!AC173)</f>
        <v>313197.25620316312</v>
      </c>
      <c r="AD58" s="107">
        <f>AC58*(1+Doprava!AD173)</f>
        <v>314293.44659987424</v>
      </c>
      <c r="AE58" s="107">
        <f>AD58*(1+Doprava!AE173)</f>
        <v>315393.47366297379</v>
      </c>
    </row>
    <row r="59" spans="1:31" x14ac:dyDescent="0.2">
      <c r="A59" s="7" t="s">
        <v>367</v>
      </c>
      <c r="B59" s="107"/>
      <c r="C59" s="107"/>
      <c r="D59" s="107">
        <f>E59*(1-Doprava!D173)</f>
        <v>20565.721799999999</v>
      </c>
      <c r="E59" s="107">
        <v>20898</v>
      </c>
      <c r="F59" s="107">
        <f>E59*(1+Doprava!F173)</f>
        <v>21213.559799999999</v>
      </c>
      <c r="G59" s="107">
        <f>F59*(1+Doprava!G173)</f>
        <v>21533.884552979998</v>
      </c>
      <c r="H59" s="107">
        <f>G59*(1+Doprava!H173)</f>
        <v>21859.046209729993</v>
      </c>
      <c r="I59" s="107">
        <f>H59*(1+Doprava!I173)</f>
        <v>22189.117807496914</v>
      </c>
      <c r="J59" s="107">
        <v>85824</v>
      </c>
      <c r="K59" s="107">
        <f>J59*(1+Doprava!K173)</f>
        <v>86733.734400000001</v>
      </c>
      <c r="L59" s="107">
        <f>K59*(1+Doprava!L173)</f>
        <v>87653.111984639996</v>
      </c>
      <c r="M59" s="107">
        <f>L59*(1+Doprava!M173)</f>
        <v>88582.234971677171</v>
      </c>
      <c r="N59" s="107">
        <f>M59*(1+Doprava!N173)</f>
        <v>89521.20666237695</v>
      </c>
      <c r="O59" s="107">
        <f>N59*(1+Doprava!O173)</f>
        <v>90470.131452998146</v>
      </c>
      <c r="P59" s="107">
        <f>O59*(1+Doprava!P173)</f>
        <v>91429.114846399927</v>
      </c>
      <c r="Q59" s="107">
        <f>R59*(1-Doprava!Q173)</f>
        <v>129261.76827969358</v>
      </c>
      <c r="R59" s="107">
        <f>S59*(1-Doprava!R173)</f>
        <v>130646.62247795997</v>
      </c>
      <c r="S59" s="107">
        <f>T59*(1-Doprava!S173)</f>
        <v>132046.31339999998</v>
      </c>
      <c r="T59" s="107">
        <v>133461</v>
      </c>
      <c r="U59" s="107">
        <f>T59*(1+Doprava!U173)</f>
        <v>133928.11350000001</v>
      </c>
      <c r="V59" s="107">
        <f>U59*(1+Doprava!V173)</f>
        <v>134396.86189725003</v>
      </c>
      <c r="W59" s="107">
        <f>V59*(1+Doprava!W173)</f>
        <v>134867.2509138904</v>
      </c>
      <c r="X59" s="107">
        <f>W59*(1+Doprava!X173)</f>
        <v>135339.28629208903</v>
      </c>
      <c r="Y59" s="107">
        <f>X59*(1+Doprava!Y173)</f>
        <v>135812.97379411134</v>
      </c>
      <c r="Z59" s="107">
        <f>Y59*(1+Doprava!Z173)</f>
        <v>136288.31920239073</v>
      </c>
      <c r="AA59" s="107">
        <f>Z59*(1+Doprava!AA173)</f>
        <v>136765.3283195991</v>
      </c>
      <c r="AB59" s="107">
        <f>AA59*(1+Doprava!AB173)</f>
        <v>137244.0069687177</v>
      </c>
      <c r="AC59" s="107">
        <f>AB59*(1+Doprava!AC173)</f>
        <v>137724.36099310822</v>
      </c>
      <c r="AD59" s="107">
        <f>AC59*(1+Doprava!AD173)</f>
        <v>138206.39625658409</v>
      </c>
      <c r="AE59" s="107">
        <f>AD59*(1+Doprava!AE173)</f>
        <v>138690.11864348216</v>
      </c>
    </row>
    <row r="60" spans="1:31" x14ac:dyDescent="0.2">
      <c r="A60" s="7" t="s">
        <v>366</v>
      </c>
      <c r="B60" s="107"/>
      <c r="C60" s="107"/>
      <c r="D60" s="107">
        <f>E60*(1-Doprava!D173)</f>
        <v>59456.369699999996</v>
      </c>
      <c r="E60" s="107">
        <v>60417</v>
      </c>
      <c r="F60" s="107">
        <f>E60*(1+Doprava!F173)</f>
        <v>61329.296699999992</v>
      </c>
      <c r="G60" s="107">
        <f>F60*(1+Doprava!G173)</f>
        <v>62255.369080169985</v>
      </c>
      <c r="H60" s="107">
        <f>G60*(1+Doprava!H173)</f>
        <v>63195.425153280543</v>
      </c>
      <c r="I60" s="107">
        <f>H60*(1+Doprava!I173)</f>
        <v>64149.67607309507</v>
      </c>
      <c r="J60" s="107">
        <v>165015</v>
      </c>
      <c r="K60" s="107">
        <f>J60*(1+Doprava!K173)</f>
        <v>166764.15899999999</v>
      </c>
      <c r="L60" s="107">
        <f>K60*(1+Doprava!L173)</f>
        <v>168531.85908539998</v>
      </c>
      <c r="M60" s="107">
        <f>L60*(1+Doprava!M173)</f>
        <v>170318.29679170522</v>
      </c>
      <c r="N60" s="107">
        <f>M60*(1+Doprava!N173)</f>
        <v>172123.67073769728</v>
      </c>
      <c r="O60" s="107">
        <f>N60*(1+Doprava!O173)</f>
        <v>173948.18164751685</v>
      </c>
      <c r="P60" s="107">
        <f>O60*(1+Doprava!P173)</f>
        <v>175792.03237298052</v>
      </c>
      <c r="Q60" s="107">
        <f>R60*(1-Doprava!Q173)</f>
        <v>188418.00330705836</v>
      </c>
      <c r="R60" s="107">
        <f>S60*(1-Doprava!R173)</f>
        <v>190436.63160204</v>
      </c>
      <c r="S60" s="107">
        <f>T60*(1-Doprava!S173)</f>
        <v>192476.8866</v>
      </c>
      <c r="T60" s="107">
        <v>194539</v>
      </c>
      <c r="U60" s="107">
        <f>T60*(1+Doprava!U173)</f>
        <v>195219.88650000002</v>
      </c>
      <c r="V60" s="107">
        <f>U60*(1+Doprava!V173)</f>
        <v>195903.15610275004</v>
      </c>
      <c r="W60" s="107">
        <f>V60*(1+Doprava!W173)</f>
        <v>196588.81714910967</v>
      </c>
      <c r="X60" s="107">
        <f>W60*(1+Doprava!X173)</f>
        <v>197276.87800913156</v>
      </c>
      <c r="Y60" s="107">
        <f>X60*(1+Doprava!Y173)</f>
        <v>197967.34708216353</v>
      </c>
      <c r="Z60" s="107">
        <f>Y60*(1+Doprava!Z173)</f>
        <v>198660.23279695111</v>
      </c>
      <c r="AA60" s="107">
        <f>Z60*(1+Doprava!AA173)</f>
        <v>199355.54361174046</v>
      </c>
      <c r="AB60" s="107">
        <f>AA60*(1+Doprava!AB173)</f>
        <v>200053.28801438157</v>
      </c>
      <c r="AC60" s="107">
        <f>AB60*(1+Doprava!AC173)</f>
        <v>200753.4745224319</v>
      </c>
      <c r="AD60" s="107">
        <f>AC60*(1+Doprava!AD173)</f>
        <v>201456.11168326042</v>
      </c>
      <c r="AE60" s="107">
        <f>AD60*(1+Doprava!AE173)</f>
        <v>202161.20807415183</v>
      </c>
    </row>
    <row r="61" spans="1:31" x14ac:dyDescent="0.2">
      <c r="A61" s="7" t="s">
        <v>368</v>
      </c>
      <c r="B61" s="107"/>
      <c r="C61" s="107"/>
      <c r="D61" s="107">
        <f>E61*(1-Doprava!D173)</f>
        <v>12968.469799999999</v>
      </c>
      <c r="E61" s="107">
        <v>13178</v>
      </c>
      <c r="F61" s="107">
        <f>E61*(1+Doprava!F173)</f>
        <v>13376.987799999999</v>
      </c>
      <c r="G61" s="107">
        <f>F61*(1+Doprava!G173)</f>
        <v>13578.980315779998</v>
      </c>
      <c r="H61" s="107">
        <f>G61*(1+Doprava!H173)</f>
        <v>13784.022918548275</v>
      </c>
      <c r="I61" s="107">
        <f>H61*(1+Doprava!I173)</f>
        <v>13992.161664618352</v>
      </c>
      <c r="J61" s="107">
        <v>44393</v>
      </c>
      <c r="K61" s="107">
        <f>J61*(1+Doprava!K173)</f>
        <v>44863.565799999997</v>
      </c>
      <c r="L61" s="107">
        <f>K61*(1+Doprava!L173)</f>
        <v>45339.119597479992</v>
      </c>
      <c r="M61" s="107">
        <f>L61*(1+Doprava!M173)</f>
        <v>45819.714265213275</v>
      </c>
      <c r="N61" s="107">
        <f>M61*(1+Doprava!N173)</f>
        <v>46305.403236424536</v>
      </c>
      <c r="O61" s="107">
        <f>N61*(1+Doprava!O173)</f>
        <v>46796.240510730633</v>
      </c>
      <c r="P61" s="107">
        <f>O61*(1+Doprava!P173)</f>
        <v>47292.280660144374</v>
      </c>
      <c r="Q61" s="107">
        <f>R61*(1-Doprava!Q173)</f>
        <v>64091.893917627203</v>
      </c>
      <c r="R61" s="107">
        <f>S61*(1-Doprava!R173)</f>
        <v>64778.546510639993</v>
      </c>
      <c r="S61" s="107">
        <f>T61*(1-Doprava!S173)</f>
        <v>65472.5556</v>
      </c>
      <c r="T61" s="107">
        <v>66174</v>
      </c>
      <c r="U61" s="107">
        <f>T61*(1+Doprava!U173)</f>
        <v>66405.608999999997</v>
      </c>
      <c r="V61" s="107">
        <f>U61*(1+Doprava!V173)</f>
        <v>66638.028631499998</v>
      </c>
      <c r="W61" s="107">
        <f>V61*(1+Doprava!W173)</f>
        <v>66871.261731710256</v>
      </c>
      <c r="X61" s="107">
        <f>W61*(1+Doprava!X173)</f>
        <v>67105.311147771252</v>
      </c>
      <c r="Y61" s="107">
        <f>X61*(1+Doprava!Y173)</f>
        <v>67340.179736788457</v>
      </c>
      <c r="Z61" s="107">
        <f>Y61*(1+Doprava!Z173)</f>
        <v>67575.870365867217</v>
      </c>
      <c r="AA61" s="107">
        <f>Z61*(1+Doprava!AA173)</f>
        <v>67812.385912147758</v>
      </c>
      <c r="AB61" s="107">
        <f>AA61*(1+Doprava!AB173)</f>
        <v>68049.729262840279</v>
      </c>
      <c r="AC61" s="107">
        <f>AB61*(1+Doprava!AC173)</f>
        <v>68287.903315260221</v>
      </c>
      <c r="AD61" s="107">
        <f>AC61*(1+Doprava!AD173)</f>
        <v>68526.910976863641</v>
      </c>
      <c r="AE61" s="107">
        <f>AD61*(1+Doprava!AE173)</f>
        <v>68766.755165282666</v>
      </c>
    </row>
    <row r="62" spans="1:31" x14ac:dyDescent="0.2">
      <c r="A62" s="7" t="s">
        <v>359</v>
      </c>
      <c r="B62" s="107"/>
      <c r="C62" s="107"/>
      <c r="D62" s="107">
        <f>E62*(1-Doprava!D173)</f>
        <v>62859.387499999997</v>
      </c>
      <c r="E62" s="107">
        <v>63875</v>
      </c>
      <c r="F62" s="107">
        <f>E62*(1+Doprava!F173)</f>
        <v>64839.51249999999</v>
      </c>
      <c r="G62" s="107">
        <f>F62*(1+Doprava!G173)</f>
        <v>65818.589138749987</v>
      </c>
      <c r="H62" s="107">
        <f>G62*(1+Doprava!H173)</f>
        <v>66812.449834745101</v>
      </c>
      <c r="I62" s="107">
        <f>H62*(1+Doprava!I173)</f>
        <v>67821.317827249746</v>
      </c>
      <c r="J62" s="107">
        <f>K62*(1-Doprava!J173)</f>
        <v>247670.3379175287</v>
      </c>
      <c r="K62" s="107">
        <f>L62*(1-Doprava!K173)</f>
        <v>251467.49712410264</v>
      </c>
      <c r="L62" s="107">
        <f>M62*(1-Doprava!L173)</f>
        <v>254161.61019213931</v>
      </c>
      <c r="M62" s="107">
        <f>N62*(1-Doprava!M173)</f>
        <v>256884.58681235023</v>
      </c>
      <c r="N62" s="107">
        <f>O62*(1-Doprava!N173)</f>
        <v>259636.73621624243</v>
      </c>
      <c r="O62" s="107">
        <f>P62*(1-Doprava!O173)</f>
        <v>262418.37094829435</v>
      </c>
      <c r="P62" s="107">
        <f>Q62*(1-Doprava!P173)</f>
        <v>265229.80690144975</v>
      </c>
      <c r="Q62" s="107">
        <f>R62*(1-Doprava!Q173)</f>
        <v>268071.36335299147</v>
      </c>
      <c r="R62" s="107">
        <f>S62*(1-Doprava!R173)</f>
        <v>270943.36300079996</v>
      </c>
      <c r="S62" s="107">
        <f>T62*(1-Doprava!S173)</f>
        <v>273846.13199999998</v>
      </c>
      <c r="T62" s="107">
        <v>276780</v>
      </c>
      <c r="U62" s="107">
        <f>T62*(1+Doprava!U173)</f>
        <v>277748.73000000004</v>
      </c>
      <c r="V62" s="107">
        <f>U62*(1+Doprava!V173)</f>
        <v>278720.85055500007</v>
      </c>
      <c r="W62" s="107">
        <f>V62*(1+Doprava!W173)</f>
        <v>279696.37353194261</v>
      </c>
      <c r="X62" s="107">
        <f>W62*(1+Doprava!X173)</f>
        <v>280675.31083930441</v>
      </c>
      <c r="Y62" s="107">
        <f>X62*(1+Doprava!Y173)</f>
        <v>281657.67442724202</v>
      </c>
      <c r="Z62" s="107">
        <f>Y62*(1+Doprava!Z173)</f>
        <v>282643.47628773737</v>
      </c>
      <c r="AA62" s="107">
        <f>Z62*(1+Doprava!AA173)</f>
        <v>283632.72845474444</v>
      </c>
      <c r="AB62" s="107">
        <f>AA62*(1+Doprava!AB173)</f>
        <v>284625.44300433609</v>
      </c>
      <c r="AC62" s="107">
        <f>AB62*(1+Doprava!AC173)</f>
        <v>285621.63205485127</v>
      </c>
      <c r="AD62" s="107">
        <f>AC62*(1+Doprava!AD173)</f>
        <v>286621.3077670433</v>
      </c>
      <c r="AE62" s="107">
        <f>AD62*(1+Doprava!AE173)</f>
        <v>287624.48234422796</v>
      </c>
    </row>
    <row r="63" spans="1:31" x14ac:dyDescent="0.2">
      <c r="A63" s="7" t="s">
        <v>408</v>
      </c>
      <c r="B63" s="107"/>
      <c r="C63" s="107"/>
      <c r="D63" s="107"/>
      <c r="E63" s="107"/>
      <c r="F63" s="107">
        <v>9855</v>
      </c>
      <c r="G63" s="107">
        <f>F63*1.01</f>
        <v>9953.5499999999993</v>
      </c>
      <c r="H63" s="107">
        <f>G63*1.01</f>
        <v>10053.085499999999</v>
      </c>
      <c r="I63" s="107">
        <f>H63*1.01</f>
        <v>10153.616355</v>
      </c>
      <c r="J63" s="107">
        <f>I63*1.01+48238</f>
        <v>58493.15251855</v>
      </c>
      <c r="K63" s="107">
        <f>J63*1.01+23097</f>
        <v>82175.084043735493</v>
      </c>
      <c r="L63" s="107">
        <f>K63*1.01</f>
        <v>82996.834884172844</v>
      </c>
      <c r="M63" s="107">
        <f t="shared" ref="M63:O63" si="10">L63*1.01</f>
        <v>83826.80323301458</v>
      </c>
      <c r="N63" s="107">
        <f t="shared" si="10"/>
        <v>84665.071265344726</v>
      </c>
      <c r="O63" s="107">
        <f t="shared" si="10"/>
        <v>85511.721977998168</v>
      </c>
      <c r="P63" s="107">
        <f>O63*1.01+14213</f>
        <v>100579.83919777816</v>
      </c>
      <c r="Q63" s="107">
        <f>P63*1.01</f>
        <v>101585.63758975593</v>
      </c>
      <c r="R63" s="107">
        <f t="shared" ref="R63:T63" si="11">Q63*1.01</f>
        <v>102601.4939656535</v>
      </c>
      <c r="S63" s="107">
        <f t="shared" si="11"/>
        <v>103627.50890531004</v>
      </c>
      <c r="T63" s="107">
        <f t="shared" si="11"/>
        <v>104663.78399436314</v>
      </c>
      <c r="U63" s="107">
        <f>T63</f>
        <v>104663.78399436314</v>
      </c>
      <c r="V63" s="107">
        <f t="shared" ref="V63:AE63" si="12">U63</f>
        <v>104663.78399436314</v>
      </c>
      <c r="W63" s="107">
        <f t="shared" si="12"/>
        <v>104663.78399436314</v>
      </c>
      <c r="X63" s="107">
        <f t="shared" si="12"/>
        <v>104663.78399436314</v>
      </c>
      <c r="Y63" s="107">
        <f t="shared" si="12"/>
        <v>104663.78399436314</v>
      </c>
      <c r="Z63" s="107">
        <f t="shared" si="12"/>
        <v>104663.78399436314</v>
      </c>
      <c r="AA63" s="107">
        <f t="shared" si="12"/>
        <v>104663.78399436314</v>
      </c>
      <c r="AB63" s="107">
        <f t="shared" si="12"/>
        <v>104663.78399436314</v>
      </c>
      <c r="AC63" s="107">
        <f t="shared" si="12"/>
        <v>104663.78399436314</v>
      </c>
      <c r="AD63" s="107">
        <f t="shared" si="12"/>
        <v>104663.78399436314</v>
      </c>
      <c r="AE63" s="107">
        <f t="shared" si="12"/>
        <v>104663.78399436314</v>
      </c>
    </row>
    <row r="64" spans="1:31" s="162" customFormat="1" x14ac:dyDescent="0.2">
      <c r="A64" s="12" t="s">
        <v>465</v>
      </c>
      <c r="B64" s="12"/>
      <c r="C64" s="12"/>
      <c r="D64" s="274">
        <f>$T$64*Doprava!D183/Doprava!$T$183</f>
        <v>43453.862839293943</v>
      </c>
      <c r="E64" s="274">
        <f>$T$64*Doprava!E183/Doprava!$T$183</f>
        <v>44155.94232221719</v>
      </c>
      <c r="F64" s="274">
        <f>$T$64*Doprava!F183/Doprava!$T$183</f>
        <v>44822.697051282667</v>
      </c>
      <c r="G64" s="274">
        <f>$T$64*Doprava!G183/Doprava!$T$183</f>
        <v>45499.519776757021</v>
      </c>
      <c r="H64" s="274">
        <f>$T$64*Doprava!H183/Doprava!$T$183</f>
        <v>46186.562525386049</v>
      </c>
      <c r="I64" s="274">
        <f>$T$64*Doprava!I183/Doprava!$T$183</f>
        <v>46883.979619519378</v>
      </c>
      <c r="J64" s="274">
        <f>$T$64*Doprava!J183/Doprava!$T$183</f>
        <v>109399.96779210005</v>
      </c>
      <c r="K64" s="274">
        <f>$T$64*Doprava!K183/Doprava!$T$183</f>
        <v>110559.60745069631</v>
      </c>
      <c r="L64" s="274">
        <f>$T$64*Doprava!L183/Doprava!$T$183</f>
        <v>111731.53928967369</v>
      </c>
      <c r="M64" s="274">
        <f>$T$64*Doprava!M183/Doprava!$T$183</f>
        <v>112915.89360614422</v>
      </c>
      <c r="N64" s="274">
        <f>$T$64*Doprava!N183/Doprava!$T$183</f>
        <v>114112.80207836934</v>
      </c>
      <c r="O64" s="274">
        <f>$T$64*Doprava!O183/Doprava!$T$183</f>
        <v>115322.39778040003</v>
      </c>
      <c r="P64" s="274">
        <f>$T$64*Doprava!P183/Doprava!$T$183</f>
        <v>116544.81519687228</v>
      </c>
      <c r="Q64" s="274">
        <f>$T$64*Doprava!Q183/Doprava!$T$183</f>
        <v>117896.96815835536</v>
      </c>
      <c r="R64" s="274">
        <f>$T$64*Doprava!R183/Doprava!$T$183</f>
        <v>119160.06484572</v>
      </c>
      <c r="S64" s="274">
        <f>$T$64*Doprava!S183/Doprava!$T$183</f>
        <v>120436.69379999998</v>
      </c>
      <c r="T64" s="107">
        <v>121727</v>
      </c>
      <c r="U64" s="274">
        <f>$T$64*Doprava!U183/Doprava!$T$183</f>
        <v>122153.04450000002</v>
      </c>
      <c r="V64" s="274">
        <f>$T$64*Doprava!V183/Doprava!$T$183</f>
        <v>122580.58015575002</v>
      </c>
      <c r="W64" s="274">
        <f>$T$64*Doprava!W183/Doprava!$T$183</f>
        <v>123009.61218629513</v>
      </c>
      <c r="X64" s="274">
        <f>$T$64*Doprava!X183/Doprava!$T$183</f>
        <v>123440.14582894718</v>
      </c>
      <c r="Y64" s="274">
        <f>$T$64*Doprava!Y183/Doprava!$T$183</f>
        <v>123872.18633934851</v>
      </c>
      <c r="Z64" s="274">
        <f>$T$64*Doprava!Z183/Doprava!$T$183</f>
        <v>124305.73899153623</v>
      </c>
      <c r="AA64" s="274">
        <f>$T$64*Doprava!AA183/Doprava!$T$183</f>
        <v>124740.80907800664</v>
      </c>
      <c r="AB64" s="274">
        <f>$T$64*Doprava!AB183/Doprava!$T$183</f>
        <v>125177.40190977966</v>
      </c>
      <c r="AC64" s="274">
        <f>$T$64*Doprava!AC183/Doprava!$T$183</f>
        <v>125615.52281646391</v>
      </c>
      <c r="AD64" s="274">
        <f>$T$64*Doprava!AD183/Doprava!$T$183</f>
        <v>126055.17714632154</v>
      </c>
      <c r="AE64" s="274">
        <f>$T$64*Doprava!AE183/Doprava!$T$183</f>
        <v>126496.37026633369</v>
      </c>
    </row>
    <row r="65" spans="1:31" s="162" customFormat="1" x14ac:dyDescent="0.2">
      <c r="E65" s="226"/>
      <c r="J65" s="226"/>
    </row>
    <row r="66" spans="1:31" s="162" customFormat="1" ht="15" x14ac:dyDescent="0.25">
      <c r="A66" s="196" t="s">
        <v>131</v>
      </c>
    </row>
    <row r="67" spans="1:31" s="162" customFormat="1" x14ac:dyDescent="0.2">
      <c r="A67" s="192"/>
      <c r="B67" s="65">
        <f>Parametre!B12</f>
        <v>2022</v>
      </c>
      <c r="C67" s="65">
        <f>B67+1</f>
        <v>2023</v>
      </c>
      <c r="D67" s="65">
        <f t="shared" ref="D67:AE67" si="13">C67+1</f>
        <v>2024</v>
      </c>
      <c r="E67" s="65">
        <f t="shared" si="13"/>
        <v>2025</v>
      </c>
      <c r="F67" s="65">
        <f t="shared" si="13"/>
        <v>2026</v>
      </c>
      <c r="G67" s="65">
        <f t="shared" si="13"/>
        <v>2027</v>
      </c>
      <c r="H67" s="65">
        <f t="shared" si="13"/>
        <v>2028</v>
      </c>
      <c r="I67" s="65">
        <f t="shared" si="13"/>
        <v>2029</v>
      </c>
      <c r="J67" s="65">
        <f t="shared" si="13"/>
        <v>2030</v>
      </c>
      <c r="K67" s="65">
        <f t="shared" si="13"/>
        <v>2031</v>
      </c>
      <c r="L67" s="65">
        <f t="shared" si="13"/>
        <v>2032</v>
      </c>
      <c r="M67" s="65">
        <f t="shared" si="13"/>
        <v>2033</v>
      </c>
      <c r="N67" s="65">
        <f t="shared" si="13"/>
        <v>2034</v>
      </c>
      <c r="O67" s="65">
        <f t="shared" si="13"/>
        <v>2035</v>
      </c>
      <c r="P67" s="65">
        <f t="shared" si="13"/>
        <v>2036</v>
      </c>
      <c r="Q67" s="65">
        <f t="shared" si="13"/>
        <v>2037</v>
      </c>
      <c r="R67" s="65">
        <f t="shared" si="13"/>
        <v>2038</v>
      </c>
      <c r="S67" s="65">
        <f t="shared" si="13"/>
        <v>2039</v>
      </c>
      <c r="T67" s="65">
        <f t="shared" si="13"/>
        <v>2040</v>
      </c>
      <c r="U67" s="65">
        <f t="shared" si="13"/>
        <v>2041</v>
      </c>
      <c r="V67" s="65">
        <f t="shared" si="13"/>
        <v>2042</v>
      </c>
      <c r="W67" s="65">
        <f t="shared" si="13"/>
        <v>2043</v>
      </c>
      <c r="X67" s="65">
        <f t="shared" si="13"/>
        <v>2044</v>
      </c>
      <c r="Y67" s="65">
        <f t="shared" si="13"/>
        <v>2045</v>
      </c>
      <c r="Z67" s="65">
        <f t="shared" si="13"/>
        <v>2046</v>
      </c>
      <c r="AA67" s="65">
        <f t="shared" si="13"/>
        <v>2047</v>
      </c>
      <c r="AB67" s="65">
        <f t="shared" si="13"/>
        <v>2048</v>
      </c>
      <c r="AC67" s="65">
        <f t="shared" si="13"/>
        <v>2049</v>
      </c>
      <c r="AD67" s="65">
        <f t="shared" si="13"/>
        <v>2050</v>
      </c>
      <c r="AE67" s="65">
        <f t="shared" si="13"/>
        <v>2051</v>
      </c>
    </row>
    <row r="68" spans="1:31" s="162" customFormat="1" x14ac:dyDescent="0.2">
      <c r="A68" s="12" t="s">
        <v>509</v>
      </c>
      <c r="B68" s="197"/>
      <c r="C68" s="197"/>
      <c r="D68" s="197"/>
      <c r="E68" s="200"/>
      <c r="F68" s="200">
        <f>T68*Doprava!H168/Doprava!V168</f>
        <v>6253997.6160576753</v>
      </c>
      <c r="G68" s="197">
        <f>F68*Doprava!I168/Doprava!H168</f>
        <v>6402848.419046198</v>
      </c>
      <c r="H68" s="197">
        <f>G68*Doprava!J168/Doprava!I168</f>
        <v>6551699.2220347188</v>
      </c>
      <c r="I68" s="197">
        <f>H68*Doprava!K168/Doprava!J168</f>
        <v>6700550.0250232415</v>
      </c>
      <c r="J68" s="197">
        <f>I68*Doprava!L168/Doprava!K168</f>
        <v>6849400.8280117624</v>
      </c>
      <c r="K68" s="197">
        <f>J68*Doprava!M168/Doprava!L168</f>
        <v>6998251.631000285</v>
      </c>
      <c r="L68" s="197">
        <f>K68*Doprava!N168/Doprava!M168</f>
        <v>7147102.4339888068</v>
      </c>
      <c r="M68" s="197">
        <f>L68*Doprava!O168/Doprava!N168</f>
        <v>7295953.2369773285</v>
      </c>
      <c r="N68" s="197">
        <f>M68*Doprava!P168/Doprava!O168</f>
        <v>7444804.0399658494</v>
      </c>
      <c r="O68" s="197">
        <f>N68*Doprava!Q168/Doprava!P168</f>
        <v>7593654.8429543721</v>
      </c>
      <c r="P68" s="197">
        <f>O68*Doprava!R168/Doprava!Q168</f>
        <v>7742505.6459428957</v>
      </c>
      <c r="Q68" s="197">
        <f>P68*Doprava!S168/Doprava!R168</f>
        <v>7891356.4489314174</v>
      </c>
      <c r="R68" s="197">
        <f>Q68*Doprava!T168/Doprava!S168</f>
        <v>8040207.251919941</v>
      </c>
      <c r="S68" s="197">
        <f>R68*Doprava!U168/Doprava!T168</f>
        <v>8189058.0549084628</v>
      </c>
      <c r="T68" s="189">
        <f>(Doprava!B149-Doprava!B77)*Parametre!B80*55/60*365</f>
        <v>8337816.666666666</v>
      </c>
      <c r="U68" s="197">
        <f>T68*Doprava!W168/Doprava!V168</f>
        <v>8421194.8333333321</v>
      </c>
      <c r="V68" s="197">
        <f>T68*Doprava!X168/Doprava!V168</f>
        <v>8505406.7816666663</v>
      </c>
      <c r="W68" s="197">
        <f>T68*Doprava!Y168/Doprava!V168</f>
        <v>8590460.8494833335</v>
      </c>
      <c r="X68" s="197">
        <f>T68*Doprava!Z168/Doprava!V168</f>
        <v>8676365.4579781666</v>
      </c>
      <c r="Y68" s="197">
        <f>T68*Doprava!AA168/Doprava!V168</f>
        <v>8763129.1125579495</v>
      </c>
      <c r="Z68" s="197">
        <f>T68*Doprava!AB168/Doprava!V168</f>
        <v>8850760.4036835283</v>
      </c>
      <c r="AA68" s="197">
        <f>T68*Doprava!AC168/Doprava!V168</f>
        <v>8939268.0077203624</v>
      </c>
      <c r="AB68" s="197">
        <f>T68*Doprava!AD168/Doprava!V168</f>
        <v>9028660.6877975669</v>
      </c>
      <c r="AC68" s="197">
        <f>T68*Doprava!AE168/Doprava!V168</f>
        <v>9118947.294675542</v>
      </c>
      <c r="AD68" s="197">
        <f>T68*Doprava!AF168/Doprava!V168</f>
        <v>9210136.7676222976</v>
      </c>
      <c r="AE68" s="197">
        <f>T68*Doprava!AG168/Doprava!V168</f>
        <v>9302238.1352985222</v>
      </c>
    </row>
    <row r="69" spans="1:31" s="162" customFormat="1" x14ac:dyDescent="0.2">
      <c r="A69" s="12" t="s">
        <v>510</v>
      </c>
      <c r="B69" s="197"/>
      <c r="C69" s="197"/>
      <c r="D69" s="197"/>
      <c r="E69" s="200"/>
      <c r="F69" s="274">
        <f>F68/Parametre!$B$80</f>
        <v>8783.7045169349367</v>
      </c>
      <c r="G69" s="274">
        <f>G68/Parametre!$B$80</f>
        <v>8992.7646334918518</v>
      </c>
      <c r="H69" s="274">
        <f>H68/Parametre!$B$80</f>
        <v>9201.8247500487632</v>
      </c>
      <c r="I69" s="274">
        <f>I68/Parametre!$B$80</f>
        <v>9410.8848666056765</v>
      </c>
      <c r="J69" s="274">
        <f>J68/Parametre!$B$80</f>
        <v>9619.944983162588</v>
      </c>
      <c r="K69" s="274">
        <f>K68/Parametre!$B$80</f>
        <v>9829.0050997195012</v>
      </c>
      <c r="L69" s="274">
        <f>L68/Parametre!$B$80</f>
        <v>10038.065216276415</v>
      </c>
      <c r="M69" s="274">
        <f>M68/Parametre!$B$80</f>
        <v>10247.125332833326</v>
      </c>
      <c r="N69" s="274">
        <f>N68/Parametre!$B$80</f>
        <v>10456.185449390237</v>
      </c>
      <c r="O69" s="274">
        <f>O68/Parametre!$B$80</f>
        <v>10665.245565947152</v>
      </c>
      <c r="P69" s="274">
        <f>P68/Parametre!$B$80</f>
        <v>10874.305682504068</v>
      </c>
      <c r="Q69" s="274">
        <f>Q68/Parametre!$B$80</f>
        <v>11083.365799060979</v>
      </c>
      <c r="R69" s="274">
        <f>R68/Parametre!$B$80</f>
        <v>11292.425915617894</v>
      </c>
      <c r="S69" s="274">
        <f>S68/Parametre!$B$80</f>
        <v>11501.486032174807</v>
      </c>
      <c r="T69" s="274">
        <f>T68/Parametre!$B$80</f>
        <v>11710.416666666666</v>
      </c>
      <c r="U69" s="274">
        <f>U68/Parametre!$B$80</f>
        <v>11827.520833333332</v>
      </c>
      <c r="V69" s="274">
        <f>V68/Parametre!$B$80</f>
        <v>11945.796041666666</v>
      </c>
      <c r="W69" s="274">
        <f>W68/Parametre!$B$80</f>
        <v>12065.254002083333</v>
      </c>
      <c r="X69" s="274">
        <f>X68/Parametre!$B$80</f>
        <v>12185.906542104167</v>
      </c>
      <c r="Y69" s="274">
        <f>Y68/Parametre!$B$80</f>
        <v>12307.765607525211</v>
      </c>
      <c r="Z69" s="274">
        <f>Z68/Parametre!$B$80</f>
        <v>12430.843263600462</v>
      </c>
      <c r="AA69" s="274">
        <f>AA68/Parametre!$B$80</f>
        <v>12555.151696236464</v>
      </c>
      <c r="AB69" s="274">
        <f>AB68/Parametre!$B$80</f>
        <v>12680.703213198831</v>
      </c>
      <c r="AC69" s="274">
        <f>AC68/Parametre!$B$80</f>
        <v>12807.510245330817</v>
      </c>
      <c r="AD69" s="274">
        <f>AD68/Parametre!$B$80</f>
        <v>12935.585347784126</v>
      </c>
      <c r="AE69" s="274">
        <f>AE68/Parametre!$B$80</f>
        <v>13064.941201261969</v>
      </c>
    </row>
    <row r="70" spans="1:31" s="162" customFormat="1" x14ac:dyDescent="0.2">
      <c r="F70" s="199"/>
      <c r="T70" s="198"/>
    </row>
    <row r="71" spans="1:31" s="162" customFormat="1" ht="15" x14ac:dyDescent="0.25">
      <c r="A71" s="228" t="s">
        <v>390</v>
      </c>
      <c r="B71" s="193"/>
      <c r="C71" s="194"/>
      <c r="L71" s="228"/>
    </row>
    <row r="72" spans="1:31" x14ac:dyDescent="0.2">
      <c r="A72" s="251" t="s">
        <v>382</v>
      </c>
      <c r="L72" s="227"/>
    </row>
    <row r="73" spans="1:31" x14ac:dyDescent="0.2">
      <c r="A73" s="227" t="s">
        <v>383</v>
      </c>
      <c r="L73" s="227"/>
    </row>
    <row r="74" spans="1:31" x14ac:dyDescent="0.2">
      <c r="A74" s="227" t="s">
        <v>384</v>
      </c>
      <c r="L74" s="227"/>
    </row>
    <row r="75" spans="1:31" x14ac:dyDescent="0.2">
      <c r="A75" s="227" t="s">
        <v>386</v>
      </c>
      <c r="L75" s="227"/>
    </row>
    <row r="76" spans="1:31" x14ac:dyDescent="0.2">
      <c r="A76" s="227" t="s">
        <v>385</v>
      </c>
      <c r="L76" s="227"/>
    </row>
    <row r="77" spans="1:31" x14ac:dyDescent="0.2">
      <c r="A77" s="227" t="s">
        <v>589</v>
      </c>
      <c r="L77" s="227"/>
    </row>
    <row r="78" spans="1:31" x14ac:dyDescent="0.2">
      <c r="A78" s="227" t="s">
        <v>590</v>
      </c>
      <c r="L78" s="227"/>
    </row>
    <row r="79" spans="1:31" x14ac:dyDescent="0.2">
      <c r="A79" s="227" t="s">
        <v>591</v>
      </c>
      <c r="L79" s="227"/>
    </row>
    <row r="80" spans="1:31" x14ac:dyDescent="0.2">
      <c r="L80" s="227"/>
    </row>
    <row r="81" spans="1:12" x14ac:dyDescent="0.2">
      <c r="A81" s="227" t="s">
        <v>387</v>
      </c>
      <c r="L81" s="227"/>
    </row>
    <row r="82" spans="1:12" x14ac:dyDescent="0.2">
      <c r="A82" s="227" t="s">
        <v>388</v>
      </c>
      <c r="L82" s="227"/>
    </row>
    <row r="83" spans="1:12" x14ac:dyDescent="0.2">
      <c r="A83" s="227" t="s">
        <v>389</v>
      </c>
      <c r="L83" s="227"/>
    </row>
    <row r="84" spans="1:12" x14ac:dyDescent="0.2">
      <c r="A84" s="227" t="s">
        <v>460</v>
      </c>
      <c r="L84" s="227"/>
    </row>
    <row r="85" spans="1:12" x14ac:dyDescent="0.2">
      <c r="A85" s="227" t="s">
        <v>519</v>
      </c>
      <c r="L85" s="227"/>
    </row>
    <row r="86" spans="1:12" x14ac:dyDescent="0.2">
      <c r="A86" s="227" t="s">
        <v>461</v>
      </c>
      <c r="L86" s="227"/>
    </row>
    <row r="87" spans="1:12" x14ac:dyDescent="0.2">
      <c r="A87" s="227" t="s">
        <v>462</v>
      </c>
      <c r="L87" s="227"/>
    </row>
    <row r="88" spans="1:12" x14ac:dyDescent="0.2">
      <c r="A88" s="227" t="s">
        <v>463</v>
      </c>
      <c r="L88" s="227"/>
    </row>
    <row r="89" spans="1:12" x14ac:dyDescent="0.2">
      <c r="A89" s="227" t="s">
        <v>464</v>
      </c>
      <c r="L89" s="227"/>
    </row>
    <row r="90" spans="1:12" x14ac:dyDescent="0.2">
      <c r="L90" s="227"/>
    </row>
    <row r="91" spans="1:12" x14ac:dyDescent="0.2">
      <c r="A91" s="251" t="s">
        <v>391</v>
      </c>
      <c r="L91" s="227"/>
    </row>
    <row r="92" spans="1:12" x14ac:dyDescent="0.2">
      <c r="A92" s="227" t="s">
        <v>392</v>
      </c>
      <c r="L92" s="227"/>
    </row>
    <row r="93" spans="1:12" x14ac:dyDescent="0.2">
      <c r="A93" s="227" t="s">
        <v>493</v>
      </c>
      <c r="L93" s="227"/>
    </row>
    <row r="94" spans="1:12" x14ac:dyDescent="0.2">
      <c r="A94" s="227" t="s">
        <v>442</v>
      </c>
      <c r="L94" s="227"/>
    </row>
    <row r="95" spans="1:12" x14ac:dyDescent="0.2">
      <c r="A95" s="227" t="s">
        <v>393</v>
      </c>
    </row>
    <row r="96" spans="1:12" x14ac:dyDescent="0.2">
      <c r="A96" s="1" t="s">
        <v>455</v>
      </c>
      <c r="L96" s="227"/>
    </row>
    <row r="97" spans="1:12" x14ac:dyDescent="0.2">
      <c r="A97" s="227" t="s">
        <v>456</v>
      </c>
      <c r="L97" s="227"/>
    </row>
    <row r="98" spans="1:12" x14ac:dyDescent="0.2">
      <c r="L98" s="227"/>
    </row>
    <row r="99" spans="1:12" x14ac:dyDescent="0.2">
      <c r="A99" s="227" t="s">
        <v>387</v>
      </c>
    </row>
    <row r="100" spans="1:12" x14ac:dyDescent="0.2">
      <c r="A100" s="227" t="s">
        <v>505</v>
      </c>
      <c r="L100" s="227"/>
    </row>
    <row r="101" spans="1:12" x14ac:dyDescent="0.2">
      <c r="A101" s="227" t="s">
        <v>494</v>
      </c>
      <c r="L101" s="227"/>
    </row>
    <row r="102" spans="1:12" x14ac:dyDescent="0.2">
      <c r="A102" s="227" t="s">
        <v>495</v>
      </c>
      <c r="L102" s="227"/>
    </row>
    <row r="103" spans="1:12" x14ac:dyDescent="0.2">
      <c r="A103" s="227" t="s">
        <v>496</v>
      </c>
      <c r="L103" s="227"/>
    </row>
    <row r="104" spans="1:12" x14ac:dyDescent="0.2">
      <c r="A104" s="227" t="s">
        <v>464</v>
      </c>
      <c r="L104" s="227"/>
    </row>
    <row r="105" spans="1:12" x14ac:dyDescent="0.2">
      <c r="L105" s="227"/>
    </row>
    <row r="106" spans="1:12" x14ac:dyDescent="0.2">
      <c r="A106" s="251" t="s">
        <v>592</v>
      </c>
    </row>
    <row r="107" spans="1:12" x14ac:dyDescent="0.2">
      <c r="A107" s="227" t="s">
        <v>394</v>
      </c>
    </row>
    <row r="108" spans="1:12" x14ac:dyDescent="0.2">
      <c r="A108" s="227" t="s">
        <v>457</v>
      </c>
    </row>
    <row r="109" spans="1:12" x14ac:dyDescent="0.2">
      <c r="A109" s="227" t="s">
        <v>594</v>
      </c>
    </row>
    <row r="110" spans="1:12" x14ac:dyDescent="0.2">
      <c r="A110" s="227" t="s">
        <v>497</v>
      </c>
    </row>
    <row r="111" spans="1:12" x14ac:dyDescent="0.2">
      <c r="A111" s="1" t="s">
        <v>595</v>
      </c>
    </row>
    <row r="112" spans="1:12" x14ac:dyDescent="0.2">
      <c r="L112" s="227"/>
    </row>
    <row r="113" spans="1:12" x14ac:dyDescent="0.2">
      <c r="A113" s="227" t="s">
        <v>387</v>
      </c>
      <c r="L113" s="227"/>
    </row>
    <row r="114" spans="1:12" x14ac:dyDescent="0.2">
      <c r="A114" s="227" t="s">
        <v>494</v>
      </c>
      <c r="L114" s="13"/>
    </row>
    <row r="115" spans="1:12" x14ac:dyDescent="0.2">
      <c r="A115" s="227" t="s">
        <v>495</v>
      </c>
      <c r="L115" s="227"/>
    </row>
    <row r="116" spans="1:12" x14ac:dyDescent="0.2">
      <c r="A116" s="227" t="s">
        <v>496</v>
      </c>
      <c r="L116" s="227"/>
    </row>
    <row r="117" spans="1:12" x14ac:dyDescent="0.2">
      <c r="A117" s="227" t="s">
        <v>464</v>
      </c>
      <c r="L117" s="227"/>
    </row>
    <row r="118" spans="1:12" x14ac:dyDescent="0.2">
      <c r="L118" s="227"/>
    </row>
    <row r="119" spans="1:12" x14ac:dyDescent="0.2">
      <c r="A119" s="251" t="s">
        <v>593</v>
      </c>
      <c r="L119" s="227"/>
    </row>
    <row r="120" spans="1:12" ht="15" x14ac:dyDescent="0.25">
      <c r="A120" s="227" t="s">
        <v>458</v>
      </c>
      <c r="L120"/>
    </row>
    <row r="121" spans="1:12" ht="15" x14ac:dyDescent="0.25">
      <c r="A121" s="251"/>
      <c r="L121"/>
    </row>
    <row r="122" spans="1:12" x14ac:dyDescent="0.2">
      <c r="L122" s="227"/>
    </row>
    <row r="123" spans="1:12" x14ac:dyDescent="0.2">
      <c r="L123" s="227"/>
    </row>
    <row r="124" spans="1:12" x14ac:dyDescent="0.2">
      <c r="L124" s="227"/>
    </row>
    <row r="125" spans="1:12" x14ac:dyDescent="0.2">
      <c r="L125" s="227"/>
    </row>
    <row r="126" spans="1:12" x14ac:dyDescent="0.2">
      <c r="L126" s="227"/>
    </row>
    <row r="127" spans="1:12" x14ac:dyDescent="0.2">
      <c r="L127" s="227"/>
    </row>
  </sheetData>
  <mergeCells count="35">
    <mergeCell ref="E33:F33"/>
    <mergeCell ref="E34:F34"/>
    <mergeCell ref="E29:F29"/>
    <mergeCell ref="E30:F30"/>
    <mergeCell ref="E26:F26"/>
    <mergeCell ref="E27:F27"/>
    <mergeCell ref="E28:F28"/>
    <mergeCell ref="E31:F31"/>
    <mergeCell ref="E32:F32"/>
    <mergeCell ref="F13:I13"/>
    <mergeCell ref="K13:M13"/>
    <mergeCell ref="N14:N16"/>
    <mergeCell ref="O14:P14"/>
    <mergeCell ref="O15:P16"/>
    <mergeCell ref="E14:E15"/>
    <mergeCell ref="K14:K16"/>
    <mergeCell ref="L14:M14"/>
    <mergeCell ref="L15:M15"/>
    <mergeCell ref="I16:I20"/>
    <mergeCell ref="T13:U13"/>
    <mergeCell ref="T14:U14"/>
    <mergeCell ref="T15:U16"/>
    <mergeCell ref="T17:U17"/>
    <mergeCell ref="N13:P13"/>
    <mergeCell ref="Q14:Q16"/>
    <mergeCell ref="Q13:S13"/>
    <mergeCell ref="R14:S14"/>
    <mergeCell ref="R15:S16"/>
    <mergeCell ref="O17:P17"/>
    <mergeCell ref="N25:O25"/>
    <mergeCell ref="R17:S17"/>
    <mergeCell ref="R18:S18"/>
    <mergeCell ref="R19:S19"/>
    <mergeCell ref="R20:S20"/>
    <mergeCell ref="O18:P18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1" fitToHeight="0" orientation="landscape" r:id="rId1"/>
  <headerFooter>
    <oddHeader xml:space="preserve">&amp;CŽSR, dopravný uzol Bratislava - štúdia realizovateľnosti </oddHeader>
    <oddFooter xml:space="preserve">&amp;C
Štúdia realizovateľnosti - Vstupné dáta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AM134"/>
  <sheetViews>
    <sheetView zoomScale="85" zoomScaleNormal="85" workbookViewId="0">
      <selection activeCell="D3" sqref="D3"/>
    </sheetView>
  </sheetViews>
  <sheetFormatPr defaultColWidth="4.42578125" defaultRowHeight="14.25" x14ac:dyDescent="0.2"/>
  <cols>
    <col min="1" max="1" width="60.7109375" style="1" customWidth="1"/>
    <col min="2" max="39" width="12.7109375" style="1" customWidth="1"/>
    <col min="40" max="77" width="10.7109375" style="1" customWidth="1"/>
    <col min="78" max="16384" width="4.42578125" style="1"/>
  </cols>
  <sheetData>
    <row r="2" spans="1:8" ht="15.75" x14ac:dyDescent="0.25">
      <c r="A2" s="2" t="s">
        <v>586</v>
      </c>
    </row>
    <row r="3" spans="1:8" x14ac:dyDescent="0.2">
      <c r="A3" s="1" t="s">
        <v>0</v>
      </c>
    </row>
    <row r="4" spans="1:8" x14ac:dyDescent="0.2">
      <c r="A4" s="3" t="s">
        <v>1</v>
      </c>
    </row>
    <row r="5" spans="1:8" x14ac:dyDescent="0.2">
      <c r="A5" s="40" t="s">
        <v>486</v>
      </c>
    </row>
    <row r="6" spans="1:8" x14ac:dyDescent="0.2">
      <c r="A6" s="40"/>
    </row>
    <row r="7" spans="1:8" x14ac:dyDescent="0.2">
      <c r="A7" s="3"/>
    </row>
    <row r="8" spans="1:8" x14ac:dyDescent="0.2">
      <c r="A8" s="13" t="s">
        <v>2</v>
      </c>
      <c r="B8" s="100" t="s">
        <v>156</v>
      </c>
    </row>
    <row r="9" spans="1:8" x14ac:dyDescent="0.2">
      <c r="A9" s="12" t="s">
        <v>3</v>
      </c>
      <c r="B9" s="4">
        <v>0.04</v>
      </c>
    </row>
    <row r="10" spans="1:8" x14ac:dyDescent="0.2">
      <c r="A10" s="12" t="s">
        <v>4</v>
      </c>
      <c r="B10" s="5">
        <v>0.05</v>
      </c>
      <c r="H10" s="1" t="s">
        <v>64</v>
      </c>
    </row>
    <row r="11" spans="1:8" x14ac:dyDescent="0.2">
      <c r="A11" s="12" t="s">
        <v>5</v>
      </c>
      <c r="B11" s="6">
        <v>2018</v>
      </c>
      <c r="C11" s="13" t="s">
        <v>6</v>
      </c>
      <c r="G11" s="1" t="s">
        <v>64</v>
      </c>
    </row>
    <row r="12" spans="1:8" x14ac:dyDescent="0.2">
      <c r="A12" s="12" t="s">
        <v>120</v>
      </c>
      <c r="B12" s="6">
        <v>2022</v>
      </c>
    </row>
    <row r="13" spans="1:8" x14ac:dyDescent="0.2">
      <c r="A13" s="12" t="s">
        <v>190</v>
      </c>
      <c r="B13" s="7">
        <v>30</v>
      </c>
    </row>
    <row r="14" spans="1:8" x14ac:dyDescent="0.2">
      <c r="A14" s="12" t="s">
        <v>7</v>
      </c>
      <c r="B14" s="7">
        <v>2051</v>
      </c>
    </row>
    <row r="15" spans="1:8" x14ac:dyDescent="0.2">
      <c r="A15" s="12" t="s">
        <v>8</v>
      </c>
      <c r="B15" s="8" t="s">
        <v>9</v>
      </c>
    </row>
    <row r="17" spans="1:39" x14ac:dyDescent="0.2">
      <c r="A17" s="13" t="s">
        <v>10</v>
      </c>
      <c r="B17" s="100" t="s">
        <v>151</v>
      </c>
    </row>
    <row r="18" spans="1:39" x14ac:dyDescent="0.2">
      <c r="A18" s="12" t="s">
        <v>18</v>
      </c>
      <c r="B18" s="7">
        <v>0.9</v>
      </c>
    </row>
    <row r="19" spans="1:39" x14ac:dyDescent="0.2">
      <c r="A19" s="12" t="s">
        <v>17</v>
      </c>
      <c r="B19" s="7">
        <v>0.5</v>
      </c>
    </row>
    <row r="20" spans="1:39" x14ac:dyDescent="0.2">
      <c r="A20" s="12" t="s">
        <v>11</v>
      </c>
      <c r="B20" s="9">
        <v>1</v>
      </c>
    </row>
    <row r="21" spans="1:39" x14ac:dyDescent="0.2">
      <c r="A21" s="12" t="s">
        <v>14</v>
      </c>
      <c r="B21" s="9">
        <v>1</v>
      </c>
    </row>
    <row r="22" spans="1:39" x14ac:dyDescent="0.2">
      <c r="E22" s="100" t="s">
        <v>189</v>
      </c>
    </row>
    <row r="23" spans="1:39" ht="42.75" x14ac:dyDescent="0.2">
      <c r="A23" s="22" t="s">
        <v>12</v>
      </c>
      <c r="B23" s="23" t="s">
        <v>18</v>
      </c>
      <c r="C23" s="23" t="s">
        <v>13</v>
      </c>
      <c r="D23" s="23" t="s">
        <v>14</v>
      </c>
      <c r="E23" s="23" t="s">
        <v>15</v>
      </c>
      <c r="F23" s="23" t="s">
        <v>19</v>
      </c>
    </row>
    <row r="24" spans="1:39" x14ac:dyDescent="0.2">
      <c r="A24" s="22" t="s">
        <v>28</v>
      </c>
      <c r="B24" s="27">
        <v>0</v>
      </c>
      <c r="C24" s="27">
        <v>0</v>
      </c>
      <c r="D24" s="27">
        <v>1</v>
      </c>
      <c r="E24" s="27">
        <f t="shared" ref="E24:E29" si="0">SUM(B24:D24)</f>
        <v>1</v>
      </c>
      <c r="F24" s="15">
        <v>1</v>
      </c>
    </row>
    <row r="25" spans="1:39" x14ac:dyDescent="0.2">
      <c r="A25" s="22" t="s">
        <v>187</v>
      </c>
      <c r="B25" s="27">
        <v>0.25</v>
      </c>
      <c r="C25" s="27">
        <v>0.15</v>
      </c>
      <c r="D25" s="27">
        <v>0.6</v>
      </c>
      <c r="E25" s="27">
        <f t="shared" si="0"/>
        <v>1</v>
      </c>
      <c r="F25" s="15">
        <f>(B25*B18)+(B19*C25)+(B21*D25)</f>
        <v>0.89999999999999991</v>
      </c>
    </row>
    <row r="26" spans="1:39" x14ac:dyDescent="0.2">
      <c r="A26" s="14" t="s">
        <v>188</v>
      </c>
      <c r="B26" s="27">
        <v>0.7</v>
      </c>
      <c r="C26" s="27">
        <v>0.05</v>
      </c>
      <c r="D26" s="27">
        <v>0.25</v>
      </c>
      <c r="E26" s="27">
        <f t="shared" si="0"/>
        <v>1</v>
      </c>
      <c r="F26" s="15">
        <f>(B26*B18)+(B19*C26)+(B21*D26)</f>
        <v>0.90500000000000003</v>
      </c>
    </row>
    <row r="27" spans="1:39" x14ac:dyDescent="0.2">
      <c r="A27" s="14" t="s">
        <v>279</v>
      </c>
      <c r="B27" s="27">
        <v>0.5</v>
      </c>
      <c r="C27" s="27">
        <v>0.2</v>
      </c>
      <c r="D27" s="27">
        <v>0.3</v>
      </c>
      <c r="E27" s="27">
        <f t="shared" si="0"/>
        <v>1</v>
      </c>
      <c r="F27" s="15">
        <f>(B27*B18)+(B19*C27)+(B21*D27)</f>
        <v>0.85000000000000009</v>
      </c>
    </row>
    <row r="28" spans="1:39" x14ac:dyDescent="0.2">
      <c r="A28" s="14" t="s">
        <v>270</v>
      </c>
      <c r="B28" s="27">
        <v>0.9</v>
      </c>
      <c r="C28" s="27">
        <v>0</v>
      </c>
      <c r="D28" s="27">
        <v>0.1</v>
      </c>
      <c r="E28" s="27">
        <f t="shared" si="0"/>
        <v>1</v>
      </c>
      <c r="F28" s="15">
        <f>(B28*B18)+(B19*C28)+(B21*D28)</f>
        <v>0.91</v>
      </c>
    </row>
    <row r="29" spans="1:39" x14ac:dyDescent="0.2">
      <c r="A29" s="14" t="s">
        <v>271</v>
      </c>
      <c r="B29" s="27">
        <v>0.3</v>
      </c>
      <c r="C29" s="27">
        <v>0.1</v>
      </c>
      <c r="D29" s="27">
        <v>0.6</v>
      </c>
      <c r="E29" s="27">
        <f t="shared" si="0"/>
        <v>1</v>
      </c>
      <c r="F29" s="15">
        <f>(B29*B18)+(B19*C29)+(B21*D29)</f>
        <v>0.91999999999999993</v>
      </c>
    </row>
    <row r="30" spans="1:39" x14ac:dyDescent="0.2">
      <c r="A30" s="11"/>
      <c r="B30" s="190"/>
    </row>
    <row r="31" spans="1:39" x14ac:dyDescent="0.2">
      <c r="A31" s="10" t="s">
        <v>269</v>
      </c>
      <c r="C31" s="49" t="s">
        <v>281</v>
      </c>
    </row>
    <row r="32" spans="1:39" x14ac:dyDescent="0.2">
      <c r="A32" s="6"/>
      <c r="B32" s="17">
        <v>2015</v>
      </c>
      <c r="C32" s="17">
        <f>B32+1</f>
        <v>2016</v>
      </c>
      <c r="D32" s="163">
        <f t="shared" ref="D32:AM32" si="1">C32+1</f>
        <v>2017</v>
      </c>
      <c r="E32" s="163">
        <f t="shared" si="1"/>
        <v>2018</v>
      </c>
      <c r="F32" s="163">
        <f t="shared" si="1"/>
        <v>2019</v>
      </c>
      <c r="G32" s="163">
        <f t="shared" si="1"/>
        <v>2020</v>
      </c>
      <c r="H32" s="163">
        <f t="shared" si="1"/>
        <v>2021</v>
      </c>
      <c r="I32" s="163">
        <f t="shared" si="1"/>
        <v>2022</v>
      </c>
      <c r="J32" s="163">
        <f t="shared" si="1"/>
        <v>2023</v>
      </c>
      <c r="K32" s="163">
        <f t="shared" si="1"/>
        <v>2024</v>
      </c>
      <c r="L32" s="163">
        <f t="shared" si="1"/>
        <v>2025</v>
      </c>
      <c r="M32" s="163">
        <f t="shared" si="1"/>
        <v>2026</v>
      </c>
      <c r="N32" s="163">
        <f t="shared" si="1"/>
        <v>2027</v>
      </c>
      <c r="O32" s="163">
        <f t="shared" si="1"/>
        <v>2028</v>
      </c>
      <c r="P32" s="163">
        <f t="shared" si="1"/>
        <v>2029</v>
      </c>
      <c r="Q32" s="163">
        <f t="shared" si="1"/>
        <v>2030</v>
      </c>
      <c r="R32" s="163">
        <f t="shared" si="1"/>
        <v>2031</v>
      </c>
      <c r="S32" s="163">
        <f t="shared" si="1"/>
        <v>2032</v>
      </c>
      <c r="T32" s="163">
        <f t="shared" si="1"/>
        <v>2033</v>
      </c>
      <c r="U32" s="163">
        <f t="shared" si="1"/>
        <v>2034</v>
      </c>
      <c r="V32" s="163">
        <f t="shared" si="1"/>
        <v>2035</v>
      </c>
      <c r="W32" s="163">
        <f t="shared" si="1"/>
        <v>2036</v>
      </c>
      <c r="X32" s="163">
        <f t="shared" si="1"/>
        <v>2037</v>
      </c>
      <c r="Y32" s="163">
        <f t="shared" si="1"/>
        <v>2038</v>
      </c>
      <c r="Z32" s="163">
        <f t="shared" si="1"/>
        <v>2039</v>
      </c>
      <c r="AA32" s="163">
        <f t="shared" si="1"/>
        <v>2040</v>
      </c>
      <c r="AB32" s="163">
        <f t="shared" si="1"/>
        <v>2041</v>
      </c>
      <c r="AC32" s="163">
        <f t="shared" si="1"/>
        <v>2042</v>
      </c>
      <c r="AD32" s="163">
        <f t="shared" si="1"/>
        <v>2043</v>
      </c>
      <c r="AE32" s="163">
        <f t="shared" si="1"/>
        <v>2044</v>
      </c>
      <c r="AF32" s="163">
        <f t="shared" si="1"/>
        <v>2045</v>
      </c>
      <c r="AG32" s="163">
        <f t="shared" si="1"/>
        <v>2046</v>
      </c>
      <c r="AH32" s="163">
        <f t="shared" si="1"/>
        <v>2047</v>
      </c>
      <c r="AI32" s="163">
        <f t="shared" si="1"/>
        <v>2048</v>
      </c>
      <c r="AJ32" s="163">
        <f t="shared" si="1"/>
        <v>2049</v>
      </c>
      <c r="AK32" s="163">
        <f t="shared" si="1"/>
        <v>2050</v>
      </c>
      <c r="AL32" s="163">
        <f>AK32+1</f>
        <v>2051</v>
      </c>
      <c r="AM32" s="163">
        <f t="shared" si="1"/>
        <v>2052</v>
      </c>
    </row>
    <row r="33" spans="1:39" x14ac:dyDescent="0.2">
      <c r="A33" s="16" t="s">
        <v>282</v>
      </c>
      <c r="B33" s="158">
        <v>3.7999999999999999E-2</v>
      </c>
      <c r="C33" s="158">
        <v>3.3000000000000002E-2</v>
      </c>
      <c r="D33" s="158">
        <v>3.3000000000000002E-2</v>
      </c>
      <c r="E33" s="158">
        <v>0.04</v>
      </c>
      <c r="F33" s="159">
        <v>4.3999999999999997E-2</v>
      </c>
      <c r="G33" s="158">
        <v>3.7999999999999999E-2</v>
      </c>
      <c r="H33" s="158">
        <v>3.5999999999999997E-2</v>
      </c>
      <c r="I33" s="159">
        <v>3.5000000000000003E-2</v>
      </c>
      <c r="J33" s="159">
        <v>3.3000000000000002E-2</v>
      </c>
      <c r="K33" s="159">
        <v>3.2000000000000001E-2</v>
      </c>
      <c r="L33" s="159">
        <v>0.03</v>
      </c>
      <c r="M33" s="159">
        <v>2.9000000000000001E-2</v>
      </c>
      <c r="N33" s="159">
        <v>2.8000000000000001E-2</v>
      </c>
      <c r="O33" s="159">
        <v>2.7E-2</v>
      </c>
      <c r="P33" s="159">
        <v>2.5999999999999999E-2</v>
      </c>
      <c r="Q33" s="159">
        <v>2.5000000000000001E-2</v>
      </c>
      <c r="R33" s="159">
        <v>2.3E-2</v>
      </c>
      <c r="S33" s="159">
        <v>0.02</v>
      </c>
      <c r="T33" s="159">
        <v>1.7999999999999999E-2</v>
      </c>
      <c r="U33" s="159">
        <v>1.4999999999999999E-2</v>
      </c>
      <c r="V33" s="159">
        <v>1.2999999999999999E-2</v>
      </c>
      <c r="W33" s="159">
        <v>1.2E-2</v>
      </c>
      <c r="X33" s="159">
        <v>1.0999999999999999E-2</v>
      </c>
      <c r="Y33" s="159">
        <v>8.9999999999999993E-3</v>
      </c>
      <c r="Z33" s="159">
        <v>8.0000000000000002E-3</v>
      </c>
      <c r="AA33" s="159">
        <v>7.0000000000000001E-3</v>
      </c>
      <c r="AB33" s="159">
        <v>7.0000000000000001E-3</v>
      </c>
      <c r="AC33" s="159">
        <v>7.0000000000000001E-3</v>
      </c>
      <c r="AD33" s="159">
        <v>6.0000000000000001E-3</v>
      </c>
      <c r="AE33" s="159">
        <v>6.0000000000000001E-3</v>
      </c>
      <c r="AF33" s="159">
        <v>6.0000000000000001E-3</v>
      </c>
      <c r="AG33" s="159">
        <v>6.0000000000000001E-3</v>
      </c>
      <c r="AH33" s="159">
        <v>6.0000000000000001E-3</v>
      </c>
      <c r="AI33" s="159">
        <v>5.0000000000000001E-3</v>
      </c>
      <c r="AJ33" s="159">
        <v>5.0000000000000001E-3</v>
      </c>
      <c r="AK33" s="159">
        <v>5.0000000000000001E-3</v>
      </c>
      <c r="AL33" s="159">
        <v>5.0000000000000001E-3</v>
      </c>
      <c r="AM33" s="159">
        <v>5.0000000000000001E-3</v>
      </c>
    </row>
    <row r="34" spans="1:39" x14ac:dyDescent="0.2">
      <c r="A34" s="16" t="s">
        <v>283</v>
      </c>
      <c r="B34" s="160">
        <f>B33*0.7</f>
        <v>2.6599999999999999E-2</v>
      </c>
      <c r="C34" s="160">
        <f>C33*0.7</f>
        <v>2.3099999999999999E-2</v>
      </c>
      <c r="D34" s="160">
        <f t="shared" ref="D34:I34" si="2">D33*0.7</f>
        <v>2.3099999999999999E-2</v>
      </c>
      <c r="E34" s="160">
        <f t="shared" si="2"/>
        <v>2.7999999999999997E-2</v>
      </c>
      <c r="F34" s="161">
        <f t="shared" si="2"/>
        <v>3.0799999999999998E-2</v>
      </c>
      <c r="G34" s="160">
        <f t="shared" si="2"/>
        <v>2.6599999999999999E-2</v>
      </c>
      <c r="H34" s="160">
        <f t="shared" si="2"/>
        <v>2.5199999999999997E-2</v>
      </c>
      <c r="I34" s="161">
        <f t="shared" si="2"/>
        <v>2.4500000000000001E-2</v>
      </c>
      <c r="J34" s="161">
        <f t="shared" ref="J34:AM34" si="3">J33*0.7</f>
        <v>2.3099999999999999E-2</v>
      </c>
      <c r="K34" s="161">
        <f t="shared" si="3"/>
        <v>2.24E-2</v>
      </c>
      <c r="L34" s="161">
        <f t="shared" si="3"/>
        <v>2.0999999999999998E-2</v>
      </c>
      <c r="M34" s="161">
        <f t="shared" si="3"/>
        <v>2.0299999999999999E-2</v>
      </c>
      <c r="N34" s="161">
        <f t="shared" si="3"/>
        <v>1.9599999999999999E-2</v>
      </c>
      <c r="O34" s="161">
        <f t="shared" si="3"/>
        <v>1.89E-2</v>
      </c>
      <c r="P34" s="161">
        <f t="shared" si="3"/>
        <v>1.8199999999999997E-2</v>
      </c>
      <c r="Q34" s="161">
        <f t="shared" si="3"/>
        <v>1.7499999999999998E-2</v>
      </c>
      <c r="R34" s="161">
        <f t="shared" si="3"/>
        <v>1.61E-2</v>
      </c>
      <c r="S34" s="161">
        <f t="shared" si="3"/>
        <v>1.3999999999999999E-2</v>
      </c>
      <c r="T34" s="161">
        <f t="shared" si="3"/>
        <v>1.2599999999999998E-2</v>
      </c>
      <c r="U34" s="161">
        <f t="shared" si="3"/>
        <v>1.0499999999999999E-2</v>
      </c>
      <c r="V34" s="161">
        <f t="shared" si="3"/>
        <v>9.0999999999999987E-3</v>
      </c>
      <c r="W34" s="161">
        <f t="shared" si="3"/>
        <v>8.3999999999999995E-3</v>
      </c>
      <c r="X34" s="161">
        <f t="shared" si="3"/>
        <v>7.6999999999999994E-3</v>
      </c>
      <c r="Y34" s="161">
        <f t="shared" si="3"/>
        <v>6.2999999999999992E-3</v>
      </c>
      <c r="Z34" s="161">
        <f t="shared" si="3"/>
        <v>5.5999999999999999E-3</v>
      </c>
      <c r="AA34" s="161">
        <f t="shared" si="3"/>
        <v>4.8999999999999998E-3</v>
      </c>
      <c r="AB34" s="161">
        <f t="shared" si="3"/>
        <v>4.8999999999999998E-3</v>
      </c>
      <c r="AC34" s="161">
        <f t="shared" si="3"/>
        <v>4.8999999999999998E-3</v>
      </c>
      <c r="AD34" s="161">
        <f t="shared" si="3"/>
        <v>4.1999999999999997E-3</v>
      </c>
      <c r="AE34" s="161">
        <f t="shared" si="3"/>
        <v>4.1999999999999997E-3</v>
      </c>
      <c r="AF34" s="161">
        <f t="shared" si="3"/>
        <v>4.1999999999999997E-3</v>
      </c>
      <c r="AG34" s="161">
        <f t="shared" si="3"/>
        <v>4.1999999999999997E-3</v>
      </c>
      <c r="AH34" s="161">
        <f t="shared" si="3"/>
        <v>4.1999999999999997E-3</v>
      </c>
      <c r="AI34" s="161">
        <f t="shared" si="3"/>
        <v>3.4999999999999996E-3</v>
      </c>
      <c r="AJ34" s="161">
        <f t="shared" si="3"/>
        <v>3.4999999999999996E-3</v>
      </c>
      <c r="AK34" s="161">
        <f t="shared" si="3"/>
        <v>3.4999999999999996E-3</v>
      </c>
      <c r="AL34" s="161">
        <f t="shared" si="3"/>
        <v>3.4999999999999996E-3</v>
      </c>
      <c r="AM34" s="161">
        <f t="shared" si="3"/>
        <v>3.4999999999999996E-3</v>
      </c>
    </row>
    <row r="35" spans="1:39" x14ac:dyDescent="0.2">
      <c r="A35" s="16" t="s">
        <v>284</v>
      </c>
      <c r="B35" s="160">
        <f>B33*0.5</f>
        <v>1.9E-2</v>
      </c>
      <c r="C35" s="160">
        <f>C33*0.5</f>
        <v>1.6500000000000001E-2</v>
      </c>
      <c r="D35" s="160">
        <f t="shared" ref="D35:I35" si="4">D33*0.5</f>
        <v>1.6500000000000001E-2</v>
      </c>
      <c r="E35" s="160">
        <f t="shared" si="4"/>
        <v>0.02</v>
      </c>
      <c r="F35" s="160">
        <f t="shared" si="4"/>
        <v>2.1999999999999999E-2</v>
      </c>
      <c r="G35" s="160">
        <f t="shared" si="4"/>
        <v>1.9E-2</v>
      </c>
      <c r="H35" s="160">
        <f t="shared" si="4"/>
        <v>1.7999999999999999E-2</v>
      </c>
      <c r="I35" s="160">
        <f t="shared" si="4"/>
        <v>1.7500000000000002E-2</v>
      </c>
      <c r="J35" s="160">
        <f t="shared" ref="J35:AM35" si="5">J33*0.5</f>
        <v>1.6500000000000001E-2</v>
      </c>
      <c r="K35" s="160">
        <f t="shared" si="5"/>
        <v>1.6E-2</v>
      </c>
      <c r="L35" s="160">
        <f t="shared" si="5"/>
        <v>1.4999999999999999E-2</v>
      </c>
      <c r="M35" s="160">
        <f t="shared" si="5"/>
        <v>1.4500000000000001E-2</v>
      </c>
      <c r="N35" s="160">
        <f t="shared" si="5"/>
        <v>1.4E-2</v>
      </c>
      <c r="O35" s="160">
        <f t="shared" si="5"/>
        <v>1.35E-2</v>
      </c>
      <c r="P35" s="160">
        <f t="shared" si="5"/>
        <v>1.2999999999999999E-2</v>
      </c>
      <c r="Q35" s="160">
        <f t="shared" si="5"/>
        <v>1.2500000000000001E-2</v>
      </c>
      <c r="R35" s="160">
        <f t="shared" si="5"/>
        <v>1.15E-2</v>
      </c>
      <c r="S35" s="160">
        <f t="shared" si="5"/>
        <v>0.01</v>
      </c>
      <c r="T35" s="160">
        <f t="shared" si="5"/>
        <v>8.9999999999999993E-3</v>
      </c>
      <c r="U35" s="160">
        <f t="shared" si="5"/>
        <v>7.4999999999999997E-3</v>
      </c>
      <c r="V35" s="160">
        <f t="shared" si="5"/>
        <v>6.4999999999999997E-3</v>
      </c>
      <c r="W35" s="160">
        <f t="shared" si="5"/>
        <v>6.0000000000000001E-3</v>
      </c>
      <c r="X35" s="160">
        <f t="shared" si="5"/>
        <v>5.4999999999999997E-3</v>
      </c>
      <c r="Y35" s="160">
        <f t="shared" si="5"/>
        <v>4.4999999999999997E-3</v>
      </c>
      <c r="Z35" s="160">
        <f t="shared" si="5"/>
        <v>4.0000000000000001E-3</v>
      </c>
      <c r="AA35" s="160">
        <f t="shared" si="5"/>
        <v>3.5000000000000001E-3</v>
      </c>
      <c r="AB35" s="160">
        <f t="shared" si="5"/>
        <v>3.5000000000000001E-3</v>
      </c>
      <c r="AC35" s="160">
        <f t="shared" si="5"/>
        <v>3.5000000000000001E-3</v>
      </c>
      <c r="AD35" s="160">
        <f t="shared" si="5"/>
        <v>3.0000000000000001E-3</v>
      </c>
      <c r="AE35" s="160">
        <f t="shared" si="5"/>
        <v>3.0000000000000001E-3</v>
      </c>
      <c r="AF35" s="160">
        <f t="shared" si="5"/>
        <v>3.0000000000000001E-3</v>
      </c>
      <c r="AG35" s="160">
        <f t="shared" si="5"/>
        <v>3.0000000000000001E-3</v>
      </c>
      <c r="AH35" s="160">
        <f t="shared" si="5"/>
        <v>3.0000000000000001E-3</v>
      </c>
      <c r="AI35" s="160">
        <f t="shared" si="5"/>
        <v>2.5000000000000001E-3</v>
      </c>
      <c r="AJ35" s="160">
        <f t="shared" si="5"/>
        <v>2.5000000000000001E-3</v>
      </c>
      <c r="AK35" s="160">
        <f t="shared" si="5"/>
        <v>2.5000000000000001E-3</v>
      </c>
      <c r="AL35" s="160">
        <f t="shared" si="5"/>
        <v>2.5000000000000001E-3</v>
      </c>
      <c r="AM35" s="160">
        <f t="shared" si="5"/>
        <v>2.5000000000000001E-3</v>
      </c>
    </row>
    <row r="36" spans="1:39" x14ac:dyDescent="0.2">
      <c r="A36" s="16" t="s">
        <v>285</v>
      </c>
      <c r="B36" s="158"/>
      <c r="C36" s="158"/>
      <c r="D36" s="158"/>
      <c r="E36" s="158">
        <v>3.125E-2</v>
      </c>
      <c r="F36" s="158">
        <v>3.0300000000000001E-2</v>
      </c>
      <c r="G36" s="158">
        <v>2.9409999999999999E-2</v>
      </c>
      <c r="H36" s="158">
        <v>2.8570000000000002E-2</v>
      </c>
      <c r="I36" s="158">
        <v>2.7779999999999999E-2</v>
      </c>
      <c r="J36" s="158">
        <v>2.7029999999999998E-2</v>
      </c>
      <c r="K36" s="158">
        <v>2.632E-2</v>
      </c>
      <c r="L36" s="158">
        <v>2.564E-2</v>
      </c>
      <c r="M36" s="158">
        <v>2.5000000000000001E-2</v>
      </c>
      <c r="N36" s="158">
        <v>2.4389999999999998E-2</v>
      </c>
      <c r="O36" s="158">
        <v>2.3810000000000001E-2</v>
      </c>
      <c r="P36" s="158">
        <v>2.3259999999999999E-2</v>
      </c>
      <c r="Q36" s="158">
        <v>2.273E-2</v>
      </c>
      <c r="R36" s="158">
        <v>1.111E-2</v>
      </c>
      <c r="S36" s="158">
        <v>1.099E-2</v>
      </c>
      <c r="T36" s="158">
        <v>1.0869999999999999E-2</v>
      </c>
      <c r="U36" s="158">
        <v>1.0749999999999999E-2</v>
      </c>
      <c r="V36" s="158">
        <v>1.064E-2</v>
      </c>
      <c r="W36" s="158">
        <v>1.0529999999999999E-2</v>
      </c>
      <c r="X36" s="158">
        <v>1.042E-2</v>
      </c>
      <c r="Y36" s="158">
        <v>1.031E-2</v>
      </c>
      <c r="Z36" s="158">
        <v>1.0200000000000001E-2</v>
      </c>
      <c r="AA36" s="158">
        <v>1.01E-2</v>
      </c>
      <c r="AB36" s="158">
        <v>0.01</v>
      </c>
      <c r="AC36" s="158">
        <v>9.9000000000000008E-3</v>
      </c>
      <c r="AD36" s="158">
        <v>9.7999999999999997E-3</v>
      </c>
      <c r="AE36" s="158">
        <v>9.7099999999999999E-3</v>
      </c>
      <c r="AF36" s="158">
        <v>9.6200000000000001E-3</v>
      </c>
      <c r="AG36" s="158">
        <v>9.5200000000000007E-3</v>
      </c>
      <c r="AH36" s="158">
        <v>9.4299999999999991E-3</v>
      </c>
      <c r="AI36" s="158">
        <v>9.3500000000000007E-3</v>
      </c>
      <c r="AJ36" s="158">
        <v>9.2599999999999991E-3</v>
      </c>
      <c r="AK36" s="158">
        <v>9.1699999999999993E-3</v>
      </c>
      <c r="AL36" s="158">
        <v>9.0900000000000009E-3</v>
      </c>
      <c r="AM36" s="158">
        <v>9.0100000000000006E-3</v>
      </c>
    </row>
    <row r="37" spans="1:39" x14ac:dyDescent="0.2">
      <c r="A37" s="21"/>
      <c r="B37" s="202"/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</row>
    <row r="38" spans="1:39" x14ac:dyDescent="0.2">
      <c r="A38" s="21" t="s">
        <v>280</v>
      </c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</row>
    <row r="39" spans="1:39" x14ac:dyDescent="0.2">
      <c r="B39" s="202"/>
      <c r="C39" s="203">
        <v>2017</v>
      </c>
      <c r="D39" s="203">
        <f>C39+1</f>
        <v>2018</v>
      </c>
      <c r="E39" s="203">
        <f t="shared" ref="E39:AL39" si="6">D39+1</f>
        <v>2019</v>
      </c>
      <c r="F39" s="203">
        <f t="shared" si="6"/>
        <v>2020</v>
      </c>
      <c r="G39" s="203">
        <f t="shared" si="6"/>
        <v>2021</v>
      </c>
      <c r="H39" s="203">
        <f t="shared" si="6"/>
        <v>2022</v>
      </c>
      <c r="I39" s="203">
        <f t="shared" si="6"/>
        <v>2023</v>
      </c>
      <c r="J39" s="203">
        <f t="shared" si="6"/>
        <v>2024</v>
      </c>
      <c r="K39" s="203">
        <f t="shared" si="6"/>
        <v>2025</v>
      </c>
      <c r="L39" s="203">
        <f t="shared" si="6"/>
        <v>2026</v>
      </c>
      <c r="M39" s="203">
        <f t="shared" si="6"/>
        <v>2027</v>
      </c>
      <c r="N39" s="203">
        <f t="shared" si="6"/>
        <v>2028</v>
      </c>
      <c r="O39" s="203">
        <f t="shared" si="6"/>
        <v>2029</v>
      </c>
      <c r="P39" s="203">
        <f t="shared" si="6"/>
        <v>2030</v>
      </c>
      <c r="Q39" s="203">
        <f t="shared" si="6"/>
        <v>2031</v>
      </c>
      <c r="R39" s="203">
        <f t="shared" si="6"/>
        <v>2032</v>
      </c>
      <c r="S39" s="203">
        <f t="shared" si="6"/>
        <v>2033</v>
      </c>
      <c r="T39" s="203">
        <f t="shared" si="6"/>
        <v>2034</v>
      </c>
      <c r="U39" s="203">
        <f t="shared" si="6"/>
        <v>2035</v>
      </c>
      <c r="V39" s="203">
        <f t="shared" si="6"/>
        <v>2036</v>
      </c>
      <c r="W39" s="203">
        <f t="shared" si="6"/>
        <v>2037</v>
      </c>
      <c r="X39" s="203">
        <f t="shared" si="6"/>
        <v>2038</v>
      </c>
      <c r="Y39" s="203">
        <f t="shared" si="6"/>
        <v>2039</v>
      </c>
      <c r="Z39" s="203">
        <f t="shared" si="6"/>
        <v>2040</v>
      </c>
      <c r="AA39" s="203">
        <f t="shared" si="6"/>
        <v>2041</v>
      </c>
      <c r="AB39" s="203">
        <f t="shared" si="6"/>
        <v>2042</v>
      </c>
      <c r="AC39" s="203">
        <f t="shared" si="6"/>
        <v>2043</v>
      </c>
      <c r="AD39" s="203">
        <f t="shared" si="6"/>
        <v>2044</v>
      </c>
      <c r="AE39" s="203">
        <f t="shared" si="6"/>
        <v>2045</v>
      </c>
      <c r="AF39" s="203">
        <f t="shared" si="6"/>
        <v>2046</v>
      </c>
      <c r="AG39" s="203">
        <f t="shared" si="6"/>
        <v>2047</v>
      </c>
      <c r="AH39" s="203">
        <f t="shared" si="6"/>
        <v>2048</v>
      </c>
      <c r="AI39" s="203">
        <f t="shared" si="6"/>
        <v>2049</v>
      </c>
      <c r="AJ39" s="203">
        <f t="shared" si="6"/>
        <v>2050</v>
      </c>
      <c r="AK39" s="203">
        <f t="shared" si="6"/>
        <v>2051</v>
      </c>
      <c r="AL39" s="203">
        <f t="shared" si="6"/>
        <v>2052</v>
      </c>
    </row>
    <row r="40" spans="1:39" x14ac:dyDescent="0.2">
      <c r="A40" s="367" t="s">
        <v>499</v>
      </c>
      <c r="B40" s="368"/>
      <c r="C40" s="204">
        <v>1</v>
      </c>
      <c r="D40" s="204">
        <f>C40*(1+E34)</f>
        <v>1.028</v>
      </c>
      <c r="E40" s="204">
        <f t="shared" ref="E40:AL40" si="7">D40*(1+F34)</f>
        <v>1.0596623999999999</v>
      </c>
      <c r="F40" s="204">
        <f t="shared" si="7"/>
        <v>1.0878494198399999</v>
      </c>
      <c r="G40" s="204">
        <f t="shared" si="7"/>
        <v>1.1152632252199679</v>
      </c>
      <c r="H40" s="204">
        <f t="shared" si="7"/>
        <v>1.1425871742378571</v>
      </c>
      <c r="I40" s="204">
        <f t="shared" si="7"/>
        <v>1.1689809379627514</v>
      </c>
      <c r="J40" s="204">
        <f t="shared" si="7"/>
        <v>1.1951661109731169</v>
      </c>
      <c r="K40" s="204">
        <f t="shared" si="7"/>
        <v>1.2202645993035521</v>
      </c>
      <c r="L40" s="204">
        <f t="shared" si="7"/>
        <v>1.2450359706694143</v>
      </c>
      <c r="M40" s="204">
        <f t="shared" si="7"/>
        <v>1.2694386756945348</v>
      </c>
      <c r="N40" s="204">
        <f t="shared" si="7"/>
        <v>1.2934310666651614</v>
      </c>
      <c r="O40" s="204">
        <f t="shared" si="7"/>
        <v>1.3169715120784673</v>
      </c>
      <c r="P40" s="204">
        <f t="shared" si="7"/>
        <v>1.3400185135398406</v>
      </c>
      <c r="Q40" s="204">
        <f t="shared" si="7"/>
        <v>1.361592811607832</v>
      </c>
      <c r="R40" s="204">
        <f t="shared" si="7"/>
        <v>1.3806551109703415</v>
      </c>
      <c r="S40" s="204">
        <f t="shared" si="7"/>
        <v>1.3980513653685678</v>
      </c>
      <c r="T40" s="204">
        <f t="shared" si="7"/>
        <v>1.4127309047049377</v>
      </c>
      <c r="U40" s="204">
        <f t="shared" si="7"/>
        <v>1.4255867559377529</v>
      </c>
      <c r="V40" s="204">
        <f t="shared" si="7"/>
        <v>1.43756168468763</v>
      </c>
      <c r="W40" s="204">
        <f t="shared" si="7"/>
        <v>1.4486309096597247</v>
      </c>
      <c r="X40" s="204">
        <f t="shared" si="7"/>
        <v>1.4577572843905811</v>
      </c>
      <c r="Y40" s="204">
        <f t="shared" si="7"/>
        <v>1.4659207251831683</v>
      </c>
      <c r="Z40" s="204">
        <f t="shared" si="7"/>
        <v>1.4731037367365656</v>
      </c>
      <c r="AA40" s="204">
        <f t="shared" si="7"/>
        <v>1.4803219450465745</v>
      </c>
      <c r="AB40" s="204">
        <f t="shared" si="7"/>
        <v>1.4875755225773026</v>
      </c>
      <c r="AC40" s="204">
        <f t="shared" si="7"/>
        <v>1.4938233397721272</v>
      </c>
      <c r="AD40" s="204">
        <f t="shared" si="7"/>
        <v>1.5000973977991701</v>
      </c>
      <c r="AE40" s="204">
        <f t="shared" si="7"/>
        <v>1.5063978068699266</v>
      </c>
      <c r="AF40" s="204">
        <f t="shared" si="7"/>
        <v>1.5127246776587804</v>
      </c>
      <c r="AG40" s="204">
        <f t="shared" si="7"/>
        <v>1.5190781213049471</v>
      </c>
      <c r="AH40" s="204">
        <f t="shared" si="7"/>
        <v>1.5243948947295145</v>
      </c>
      <c r="AI40" s="204">
        <f t="shared" si="7"/>
        <v>1.5297302768610679</v>
      </c>
      <c r="AJ40" s="204">
        <f t="shared" si="7"/>
        <v>1.5350843328300816</v>
      </c>
      <c r="AK40" s="204">
        <f t="shared" si="7"/>
        <v>1.540457127994987</v>
      </c>
      <c r="AL40" s="204">
        <f t="shared" si="7"/>
        <v>1.5458487279429696</v>
      </c>
    </row>
    <row r="41" spans="1:39" x14ac:dyDescent="0.2">
      <c r="A41" s="369" t="s">
        <v>500</v>
      </c>
      <c r="B41" s="370"/>
      <c r="C41" s="204">
        <v>1</v>
      </c>
      <c r="D41" s="204">
        <f>C41*(1+E35)</f>
        <v>1.02</v>
      </c>
      <c r="E41" s="204">
        <f t="shared" ref="E41:AL41" si="8">D41*(1+F35)</f>
        <v>1.04244</v>
      </c>
      <c r="F41" s="204">
        <f t="shared" si="8"/>
        <v>1.0622463599999998</v>
      </c>
      <c r="G41" s="204">
        <f t="shared" si="8"/>
        <v>1.0813667944799998</v>
      </c>
      <c r="H41" s="204">
        <f t="shared" si="8"/>
        <v>1.1002907133833999</v>
      </c>
      <c r="I41" s="204">
        <f t="shared" si="8"/>
        <v>1.1184455101542259</v>
      </c>
      <c r="J41" s="204">
        <f t="shared" si="8"/>
        <v>1.1363406383166934</v>
      </c>
      <c r="K41" s="204">
        <f t="shared" si="8"/>
        <v>1.1533857478914438</v>
      </c>
      <c r="L41" s="204">
        <f t="shared" si="8"/>
        <v>1.1701098412358697</v>
      </c>
      <c r="M41" s="204">
        <f t="shared" si="8"/>
        <v>1.1864913790131719</v>
      </c>
      <c r="N41" s="204">
        <f t="shared" si="8"/>
        <v>1.2025090126298499</v>
      </c>
      <c r="O41" s="204">
        <f t="shared" si="8"/>
        <v>1.2181416297940377</v>
      </c>
      <c r="P41" s="204">
        <f t="shared" si="8"/>
        <v>1.2333684001664631</v>
      </c>
      <c r="Q41" s="204">
        <f t="shared" si="8"/>
        <v>1.2475521367683775</v>
      </c>
      <c r="R41" s="204">
        <f t="shared" si="8"/>
        <v>1.2600276581360612</v>
      </c>
      <c r="S41" s="204">
        <f t="shared" si="8"/>
        <v>1.2713679070592856</v>
      </c>
      <c r="T41" s="204">
        <f t="shared" si="8"/>
        <v>1.2809031663622303</v>
      </c>
      <c r="U41" s="204">
        <f t="shared" si="8"/>
        <v>1.2892290369435848</v>
      </c>
      <c r="V41" s="204">
        <f t="shared" si="8"/>
        <v>1.2969644111652463</v>
      </c>
      <c r="W41" s="204">
        <f t="shared" si="8"/>
        <v>1.3040977154266553</v>
      </c>
      <c r="X41" s="204">
        <f t="shared" si="8"/>
        <v>1.3099661551460753</v>
      </c>
      <c r="Y41" s="204">
        <f t="shared" si="8"/>
        <v>1.3152060197666595</v>
      </c>
      <c r="Z41" s="204">
        <f t="shared" si="8"/>
        <v>1.3198092408358428</v>
      </c>
      <c r="AA41" s="204">
        <f t="shared" si="8"/>
        <v>1.3244285731787684</v>
      </c>
      <c r="AB41" s="204">
        <f t="shared" si="8"/>
        <v>1.3290640731848942</v>
      </c>
      <c r="AC41" s="204">
        <f t="shared" si="8"/>
        <v>1.3330512654044486</v>
      </c>
      <c r="AD41" s="204">
        <f t="shared" si="8"/>
        <v>1.3370504192006618</v>
      </c>
      <c r="AE41" s="204">
        <f t="shared" si="8"/>
        <v>1.3410615704582636</v>
      </c>
      <c r="AF41" s="204">
        <f t="shared" si="8"/>
        <v>1.3450847551696383</v>
      </c>
      <c r="AG41" s="204">
        <f t="shared" si="8"/>
        <v>1.349120009435147</v>
      </c>
      <c r="AH41" s="204">
        <f t="shared" si="8"/>
        <v>1.3524928094587347</v>
      </c>
      <c r="AI41" s="204">
        <f t="shared" si="8"/>
        <v>1.3558740414823816</v>
      </c>
      <c r="AJ41" s="204">
        <f t="shared" si="8"/>
        <v>1.3592637265860874</v>
      </c>
      <c r="AK41" s="204">
        <f t="shared" si="8"/>
        <v>1.3626618859025525</v>
      </c>
      <c r="AL41" s="204">
        <f t="shared" si="8"/>
        <v>1.3660685406173088</v>
      </c>
    </row>
    <row r="42" spans="1:39" x14ac:dyDescent="0.2">
      <c r="A42" s="369" t="s">
        <v>286</v>
      </c>
      <c r="B42" s="370"/>
      <c r="C42" s="204">
        <v>1</v>
      </c>
      <c r="D42" s="204">
        <f>C42*(1+E36)</f>
        <v>1.03125</v>
      </c>
      <c r="E42" s="204">
        <f t="shared" ref="E42:AL42" si="9">D42*(1+F36)</f>
        <v>1.0624968749999999</v>
      </c>
      <c r="F42" s="204">
        <f t="shared" si="9"/>
        <v>1.0937449080937498</v>
      </c>
      <c r="G42" s="204">
        <f t="shared" si="9"/>
        <v>1.1249932001179883</v>
      </c>
      <c r="H42" s="204">
        <f t="shared" si="9"/>
        <v>1.156245511217266</v>
      </c>
      <c r="I42" s="204">
        <f t="shared" si="9"/>
        <v>1.1874988273854685</v>
      </c>
      <c r="J42" s="204">
        <f t="shared" si="9"/>
        <v>1.2187537965222539</v>
      </c>
      <c r="K42" s="204">
        <f t="shared" si="9"/>
        <v>1.2500026438650846</v>
      </c>
      <c r="L42" s="204">
        <f t="shared" si="9"/>
        <v>1.2812527099617117</v>
      </c>
      <c r="M42" s="204">
        <f t="shared" si="9"/>
        <v>1.3125024635576776</v>
      </c>
      <c r="N42" s="204">
        <f t="shared" si="9"/>
        <v>1.3437531472149862</v>
      </c>
      <c r="O42" s="204">
        <f t="shared" si="9"/>
        <v>1.3750088454192069</v>
      </c>
      <c r="P42" s="204">
        <f t="shared" si="9"/>
        <v>1.4062627964755854</v>
      </c>
      <c r="Q42" s="204">
        <f t="shared" si="9"/>
        <v>1.4218863761444291</v>
      </c>
      <c r="R42" s="204">
        <f t="shared" si="9"/>
        <v>1.4375129074182564</v>
      </c>
      <c r="S42" s="204">
        <f t="shared" si="9"/>
        <v>1.4531386727218929</v>
      </c>
      <c r="T42" s="204">
        <f t="shared" si="9"/>
        <v>1.4687599134536533</v>
      </c>
      <c r="U42" s="204">
        <f t="shared" si="9"/>
        <v>1.4843875189328002</v>
      </c>
      <c r="V42" s="204">
        <f t="shared" si="9"/>
        <v>1.5000181195071625</v>
      </c>
      <c r="W42" s="204">
        <f t="shared" si="9"/>
        <v>1.5156483083124273</v>
      </c>
      <c r="X42" s="204">
        <f t="shared" si="9"/>
        <v>1.5312746423711285</v>
      </c>
      <c r="Y42" s="204">
        <f t="shared" si="9"/>
        <v>1.5468936437233141</v>
      </c>
      <c r="Z42" s="204">
        <f t="shared" si="9"/>
        <v>1.5625172695249194</v>
      </c>
      <c r="AA42" s="204">
        <f t="shared" si="9"/>
        <v>1.5781424422201686</v>
      </c>
      <c r="AB42" s="204">
        <f t="shared" si="9"/>
        <v>1.5937660523981483</v>
      </c>
      <c r="AC42" s="204">
        <f t="shared" si="9"/>
        <v>1.6093849597116501</v>
      </c>
      <c r="AD42" s="204">
        <f t="shared" si="9"/>
        <v>1.6250120876704504</v>
      </c>
      <c r="AE42" s="204">
        <f t="shared" si="9"/>
        <v>1.6406447039538401</v>
      </c>
      <c r="AF42" s="204">
        <f t="shared" si="9"/>
        <v>1.6562636415354806</v>
      </c>
      <c r="AG42" s="204">
        <f t="shared" si="9"/>
        <v>1.6718822076751603</v>
      </c>
      <c r="AH42" s="204">
        <f t="shared" si="9"/>
        <v>1.6875143063169229</v>
      </c>
      <c r="AI42" s="204">
        <f t="shared" si="9"/>
        <v>1.7031406887934177</v>
      </c>
      <c r="AJ42" s="204">
        <f t="shared" si="9"/>
        <v>1.7187584889096532</v>
      </c>
      <c r="AK42" s="204">
        <f t="shared" si="9"/>
        <v>1.734382003573842</v>
      </c>
      <c r="AL42" s="204">
        <f t="shared" si="9"/>
        <v>1.7500087854260422</v>
      </c>
    </row>
    <row r="43" spans="1:39" x14ac:dyDescent="0.2">
      <c r="A43" s="21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</row>
    <row r="44" spans="1:39" x14ac:dyDescent="0.2">
      <c r="B44" s="63"/>
    </row>
    <row r="45" spans="1:39" x14ac:dyDescent="0.2">
      <c r="A45" s="21" t="s">
        <v>511</v>
      </c>
      <c r="B45" s="11"/>
      <c r="C45" s="49" t="s">
        <v>512</v>
      </c>
      <c r="Q45" s="13"/>
    </row>
    <row r="46" spans="1:39" x14ac:dyDescent="0.2">
      <c r="A46" s="16"/>
      <c r="B46" s="17">
        <v>2016</v>
      </c>
      <c r="C46" s="65">
        <v>2017</v>
      </c>
      <c r="D46" s="17">
        <f t="shared" ref="D46:R46" si="10">(C46+1)</f>
        <v>2018</v>
      </c>
      <c r="E46" s="17">
        <f t="shared" si="10"/>
        <v>2019</v>
      </c>
      <c r="F46" s="17">
        <f t="shared" si="10"/>
        <v>2020</v>
      </c>
      <c r="G46" s="17">
        <f t="shared" si="10"/>
        <v>2021</v>
      </c>
      <c r="H46" s="17">
        <f t="shared" si="10"/>
        <v>2022</v>
      </c>
      <c r="I46" s="17">
        <f t="shared" si="10"/>
        <v>2023</v>
      </c>
      <c r="J46" s="17">
        <f t="shared" si="10"/>
        <v>2024</v>
      </c>
      <c r="K46" s="17">
        <f t="shared" si="10"/>
        <v>2025</v>
      </c>
      <c r="L46" s="17">
        <f t="shared" si="10"/>
        <v>2026</v>
      </c>
      <c r="M46" s="17">
        <f t="shared" si="10"/>
        <v>2027</v>
      </c>
      <c r="N46" s="17">
        <f t="shared" si="10"/>
        <v>2028</v>
      </c>
      <c r="O46" s="17">
        <f t="shared" si="10"/>
        <v>2029</v>
      </c>
      <c r="P46" s="17">
        <f t="shared" si="10"/>
        <v>2030</v>
      </c>
      <c r="Q46" s="17">
        <f t="shared" si="10"/>
        <v>2031</v>
      </c>
      <c r="R46" s="17">
        <f t="shared" si="10"/>
        <v>2032</v>
      </c>
      <c r="S46" s="163">
        <f t="shared" ref="S46:AL46" si="11">(R46+1)</f>
        <v>2033</v>
      </c>
      <c r="T46" s="163">
        <f t="shared" si="11"/>
        <v>2034</v>
      </c>
      <c r="U46" s="163">
        <f t="shared" si="11"/>
        <v>2035</v>
      </c>
      <c r="V46" s="163">
        <f t="shared" si="11"/>
        <v>2036</v>
      </c>
      <c r="W46" s="163">
        <f t="shared" si="11"/>
        <v>2037</v>
      </c>
      <c r="X46" s="163">
        <f t="shared" si="11"/>
        <v>2038</v>
      </c>
      <c r="Y46" s="163">
        <f t="shared" si="11"/>
        <v>2039</v>
      </c>
      <c r="Z46" s="163">
        <f t="shared" si="11"/>
        <v>2040</v>
      </c>
      <c r="AA46" s="163">
        <f t="shared" si="11"/>
        <v>2041</v>
      </c>
      <c r="AB46" s="163">
        <f t="shared" si="11"/>
        <v>2042</v>
      </c>
      <c r="AC46" s="163">
        <f t="shared" si="11"/>
        <v>2043</v>
      </c>
      <c r="AD46" s="163">
        <f t="shared" si="11"/>
        <v>2044</v>
      </c>
      <c r="AE46" s="163">
        <f t="shared" si="11"/>
        <v>2045</v>
      </c>
      <c r="AF46" s="163">
        <f t="shared" si="11"/>
        <v>2046</v>
      </c>
      <c r="AG46" s="163">
        <f t="shared" si="11"/>
        <v>2047</v>
      </c>
      <c r="AH46" s="163">
        <f t="shared" si="11"/>
        <v>2048</v>
      </c>
      <c r="AI46" s="163">
        <f t="shared" si="11"/>
        <v>2049</v>
      </c>
      <c r="AJ46" s="163">
        <f t="shared" si="11"/>
        <v>2050</v>
      </c>
      <c r="AK46" s="163">
        <f t="shared" si="11"/>
        <v>2051</v>
      </c>
      <c r="AL46" s="163">
        <f t="shared" si="11"/>
        <v>2052</v>
      </c>
    </row>
    <row r="47" spans="1:39" x14ac:dyDescent="0.2">
      <c r="A47" s="7" t="s">
        <v>371</v>
      </c>
      <c r="B47" s="28">
        <v>15.76</v>
      </c>
      <c r="C47" s="66">
        <f>B47*(1+D34)</f>
        <v>16.124056</v>
      </c>
      <c r="D47" s="66">
        <f t="shared" ref="D47:AL47" si="12">C47*(1+E34)</f>
        <v>16.575529568</v>
      </c>
      <c r="E47" s="66">
        <f t="shared" si="12"/>
        <v>17.086055878694399</v>
      </c>
      <c r="F47" s="66">
        <f t="shared" si="12"/>
        <v>17.540544965067671</v>
      </c>
      <c r="G47" s="66">
        <f t="shared" si="12"/>
        <v>17.982566698187373</v>
      </c>
      <c r="H47" s="66">
        <f t="shared" si="12"/>
        <v>18.423139582292961</v>
      </c>
      <c r="I47" s="66">
        <f t="shared" si="12"/>
        <v>18.848714106643929</v>
      </c>
      <c r="J47" s="66">
        <f t="shared" si="12"/>
        <v>19.270925302632751</v>
      </c>
      <c r="K47" s="66">
        <f t="shared" si="12"/>
        <v>19.675614733988038</v>
      </c>
      <c r="L47" s="66">
        <f t="shared" si="12"/>
        <v>20.075029713087996</v>
      </c>
      <c r="M47" s="66">
        <f t="shared" si="12"/>
        <v>20.468500295464523</v>
      </c>
      <c r="N47" s="66">
        <f t="shared" si="12"/>
        <v>20.855354951048799</v>
      </c>
      <c r="O47" s="66">
        <f t="shared" si="12"/>
        <v>21.234922411157886</v>
      </c>
      <c r="P47" s="66">
        <f t="shared" si="12"/>
        <v>21.606533553353149</v>
      </c>
      <c r="Q47" s="66">
        <f t="shared" si="12"/>
        <v>21.954398743562134</v>
      </c>
      <c r="R47" s="66">
        <f t="shared" si="12"/>
        <v>22.261760325972006</v>
      </c>
      <c r="S47" s="66">
        <f t="shared" si="12"/>
        <v>22.54225850607925</v>
      </c>
      <c r="T47" s="66">
        <f t="shared" si="12"/>
        <v>22.77895222039308</v>
      </c>
      <c r="U47" s="66">
        <f t="shared" si="12"/>
        <v>22.986240685598659</v>
      </c>
      <c r="V47" s="66">
        <f t="shared" si="12"/>
        <v>23.179325107357688</v>
      </c>
      <c r="W47" s="66">
        <f t="shared" si="12"/>
        <v>23.357805910684341</v>
      </c>
      <c r="X47" s="66">
        <f t="shared" si="12"/>
        <v>23.504960087921653</v>
      </c>
      <c r="Y47" s="66">
        <f t="shared" si="12"/>
        <v>23.636587864414015</v>
      </c>
      <c r="Z47" s="66">
        <f t="shared" si="12"/>
        <v>23.75240714494964</v>
      </c>
      <c r="AA47" s="66">
        <f t="shared" si="12"/>
        <v>23.86879393995989</v>
      </c>
      <c r="AB47" s="66">
        <f t="shared" si="12"/>
        <v>23.985751030265689</v>
      </c>
      <c r="AC47" s="66">
        <f t="shared" si="12"/>
        <v>24.086491184592806</v>
      </c>
      <c r="AD47" s="66">
        <f t="shared" si="12"/>
        <v>24.187654447568097</v>
      </c>
      <c r="AE47" s="66">
        <f t="shared" si="12"/>
        <v>24.289242596247881</v>
      </c>
      <c r="AF47" s="66">
        <f t="shared" si="12"/>
        <v>24.391257415152122</v>
      </c>
      <c r="AG47" s="66">
        <f t="shared" si="12"/>
        <v>24.493700696295761</v>
      </c>
      <c r="AH47" s="66">
        <f t="shared" si="12"/>
        <v>24.579428648732797</v>
      </c>
      <c r="AI47" s="66">
        <f t="shared" si="12"/>
        <v>24.665456649003364</v>
      </c>
      <c r="AJ47" s="66">
        <f t="shared" si="12"/>
        <v>24.751785747274877</v>
      </c>
      <c r="AK47" s="66">
        <f t="shared" si="12"/>
        <v>24.83841699739034</v>
      </c>
      <c r="AL47" s="66">
        <f t="shared" si="12"/>
        <v>24.925351456881206</v>
      </c>
    </row>
    <row r="48" spans="1:39" x14ac:dyDescent="0.2">
      <c r="A48" s="7" t="s">
        <v>377</v>
      </c>
      <c r="B48" s="28">
        <v>12.65</v>
      </c>
      <c r="C48" s="66">
        <f>B48*(1+D34)</f>
        <v>12.942214999999999</v>
      </c>
      <c r="D48" s="66">
        <f t="shared" ref="D48:AL48" si="13">C48*(1+E34)</f>
        <v>13.304597019999999</v>
      </c>
      <c r="E48" s="66">
        <f t="shared" si="13"/>
        <v>13.714378608215998</v>
      </c>
      <c r="F48" s="66">
        <f t="shared" si="13"/>
        <v>14.079181079194543</v>
      </c>
      <c r="G48" s="66">
        <f t="shared" si="13"/>
        <v>14.433976442390243</v>
      </c>
      <c r="H48" s="66">
        <f t="shared" si="13"/>
        <v>14.787608865228803</v>
      </c>
      <c r="I48" s="66">
        <f t="shared" si="13"/>
        <v>15.129202630015588</v>
      </c>
      <c r="J48" s="66">
        <f t="shared" si="13"/>
        <v>15.468096768927936</v>
      </c>
      <c r="K48" s="66">
        <f t="shared" si="13"/>
        <v>15.792926801075421</v>
      </c>
      <c r="L48" s="66">
        <f t="shared" si="13"/>
        <v>16.113523215137253</v>
      </c>
      <c r="M48" s="66">
        <f t="shared" si="13"/>
        <v>16.429348270153945</v>
      </c>
      <c r="N48" s="66">
        <f t="shared" si="13"/>
        <v>16.739862952459852</v>
      </c>
      <c r="O48" s="66">
        <f t="shared" si="13"/>
        <v>17.04452845819462</v>
      </c>
      <c r="P48" s="66">
        <f t="shared" si="13"/>
        <v>17.342807706213026</v>
      </c>
      <c r="Q48" s="66">
        <f t="shared" si="13"/>
        <v>17.622026910283058</v>
      </c>
      <c r="R48" s="66">
        <f t="shared" si="13"/>
        <v>17.868735287027022</v>
      </c>
      <c r="S48" s="66">
        <f t="shared" si="13"/>
        <v>18.09388135164356</v>
      </c>
      <c r="T48" s="66">
        <f t="shared" si="13"/>
        <v>18.283867105835817</v>
      </c>
      <c r="U48" s="66">
        <f t="shared" si="13"/>
        <v>18.450250296498925</v>
      </c>
      <c r="V48" s="66">
        <f t="shared" si="13"/>
        <v>18.605232398989514</v>
      </c>
      <c r="W48" s="66">
        <f t="shared" si="13"/>
        <v>18.748492688461734</v>
      </c>
      <c r="X48" s="66">
        <f t="shared" si="13"/>
        <v>18.866608192399042</v>
      </c>
      <c r="Y48" s="66">
        <f t="shared" si="13"/>
        <v>18.972261198276478</v>
      </c>
      <c r="Z48" s="66">
        <f t="shared" si="13"/>
        <v>19.065225278148031</v>
      </c>
      <c r="AA48" s="66">
        <f t="shared" si="13"/>
        <v>19.158644882010954</v>
      </c>
      <c r="AB48" s="66">
        <f t="shared" si="13"/>
        <v>19.252522241932805</v>
      </c>
      <c r="AC48" s="66">
        <f t="shared" si="13"/>
        <v>19.333382835348921</v>
      </c>
      <c r="AD48" s="66">
        <f t="shared" si="13"/>
        <v>19.414583043257387</v>
      </c>
      <c r="AE48" s="66">
        <f t="shared" si="13"/>
        <v>19.496124292039067</v>
      </c>
      <c r="AF48" s="66">
        <f t="shared" si="13"/>
        <v>19.578008014065631</v>
      </c>
      <c r="AG48" s="66">
        <f t="shared" si="13"/>
        <v>19.660235647724708</v>
      </c>
      <c r="AH48" s="66">
        <f t="shared" si="13"/>
        <v>19.729046472491746</v>
      </c>
      <c r="AI48" s="66">
        <f t="shared" si="13"/>
        <v>19.798098135145469</v>
      </c>
      <c r="AJ48" s="66">
        <f t="shared" si="13"/>
        <v>19.86739147861848</v>
      </c>
      <c r="AK48" s="66">
        <f t="shared" si="13"/>
        <v>19.936927348793645</v>
      </c>
      <c r="AL48" s="66">
        <f t="shared" si="13"/>
        <v>20.006706594514423</v>
      </c>
    </row>
    <row r="49" spans="1:38" x14ac:dyDescent="0.2">
      <c r="A49" s="7" t="s">
        <v>372</v>
      </c>
      <c r="B49" s="106">
        <v>5.86</v>
      </c>
      <c r="C49" s="66">
        <f>B49*(1+D35)</f>
        <v>5.95669</v>
      </c>
      <c r="D49" s="66">
        <f t="shared" ref="D49:AL49" si="14">C49*(1+E35)</f>
        <v>6.0758238000000002</v>
      </c>
      <c r="E49" s="66">
        <f t="shared" si="14"/>
        <v>6.2094919235999999</v>
      </c>
      <c r="F49" s="66">
        <f t="shared" si="14"/>
        <v>6.327472270148399</v>
      </c>
      <c r="G49" s="66">
        <f t="shared" si="14"/>
        <v>6.4413667710110705</v>
      </c>
      <c r="H49" s="66">
        <f t="shared" si="14"/>
        <v>6.5540906895037647</v>
      </c>
      <c r="I49" s="66">
        <f t="shared" si="14"/>
        <v>6.6622331858805763</v>
      </c>
      <c r="J49" s="66">
        <f t="shared" si="14"/>
        <v>6.768828916854666</v>
      </c>
      <c r="K49" s="66">
        <f t="shared" si="14"/>
        <v>6.8703613506074852</v>
      </c>
      <c r="L49" s="66">
        <f t="shared" si="14"/>
        <v>6.9699815901912938</v>
      </c>
      <c r="M49" s="66">
        <f t="shared" si="14"/>
        <v>7.0675613324539723</v>
      </c>
      <c r="N49" s="66">
        <f t="shared" si="14"/>
        <v>7.1629734104421017</v>
      </c>
      <c r="O49" s="66">
        <f t="shared" si="14"/>
        <v>7.2560920647778486</v>
      </c>
      <c r="P49" s="66">
        <f t="shared" si="14"/>
        <v>7.3467932155875717</v>
      </c>
      <c r="Q49" s="66">
        <f t="shared" si="14"/>
        <v>7.431281337566829</v>
      </c>
      <c r="R49" s="66">
        <f t="shared" si="14"/>
        <v>7.505594150942497</v>
      </c>
      <c r="S49" s="66">
        <f t="shared" si="14"/>
        <v>7.5731444983009784</v>
      </c>
      <c r="T49" s="66">
        <f t="shared" si="14"/>
        <v>7.6299430820382366</v>
      </c>
      <c r="U49" s="66">
        <f t="shared" si="14"/>
        <v>7.6795377120714852</v>
      </c>
      <c r="V49" s="66">
        <f t="shared" si="14"/>
        <v>7.7256149383439139</v>
      </c>
      <c r="W49" s="66">
        <f t="shared" si="14"/>
        <v>7.7681058205048057</v>
      </c>
      <c r="X49" s="66">
        <f t="shared" si="14"/>
        <v>7.8030622966970773</v>
      </c>
      <c r="Y49" s="66">
        <f t="shared" si="14"/>
        <v>7.8342745458838658</v>
      </c>
      <c r="Z49" s="66">
        <f t="shared" si="14"/>
        <v>7.8616945067944597</v>
      </c>
      <c r="AA49" s="66">
        <f t="shared" si="14"/>
        <v>7.8892104375682406</v>
      </c>
      <c r="AB49" s="66">
        <f t="shared" si="14"/>
        <v>7.9168226740997296</v>
      </c>
      <c r="AC49" s="66">
        <f t="shared" si="14"/>
        <v>7.9405731421220276</v>
      </c>
      <c r="AD49" s="66">
        <f t="shared" si="14"/>
        <v>7.964394861548393</v>
      </c>
      <c r="AE49" s="66">
        <f t="shared" si="14"/>
        <v>7.9882880461330377</v>
      </c>
      <c r="AF49" s="66">
        <f t="shared" si="14"/>
        <v>8.0122529102714353</v>
      </c>
      <c r="AG49" s="66">
        <f t="shared" si="14"/>
        <v>8.0362896690022492</v>
      </c>
      <c r="AH49" s="66">
        <f t="shared" si="14"/>
        <v>8.056380393174754</v>
      </c>
      <c r="AI49" s="66">
        <f t="shared" si="14"/>
        <v>8.0765213441576904</v>
      </c>
      <c r="AJ49" s="66">
        <f t="shared" si="14"/>
        <v>8.0967126475180837</v>
      </c>
      <c r="AK49" s="66">
        <f t="shared" si="14"/>
        <v>8.1169544291368787</v>
      </c>
      <c r="AL49" s="66">
        <f t="shared" si="14"/>
        <v>8.1372468152097213</v>
      </c>
    </row>
    <row r="50" spans="1:38" x14ac:dyDescent="0.2">
      <c r="A50" s="7" t="s">
        <v>378</v>
      </c>
      <c r="B50" s="106">
        <v>4.22</v>
      </c>
      <c r="C50" s="66">
        <f>B50*(1+D35)</f>
        <v>4.2896299999999998</v>
      </c>
      <c r="D50" s="66">
        <f t="shared" ref="D50:AL50" si="15">C50*(1+E35)</f>
        <v>4.3754226000000003</v>
      </c>
      <c r="E50" s="66">
        <f t="shared" si="15"/>
        <v>4.4716818972000008</v>
      </c>
      <c r="F50" s="66">
        <f t="shared" si="15"/>
        <v>4.5566438532468005</v>
      </c>
      <c r="G50" s="66">
        <f t="shared" si="15"/>
        <v>4.6386634426052433</v>
      </c>
      <c r="H50" s="66">
        <f t="shared" si="15"/>
        <v>4.7198400528508353</v>
      </c>
      <c r="I50" s="66">
        <f t="shared" si="15"/>
        <v>4.7977174137228742</v>
      </c>
      <c r="J50" s="66">
        <f t="shared" si="15"/>
        <v>4.8744808923424401</v>
      </c>
      <c r="K50" s="66">
        <f t="shared" si="15"/>
        <v>4.9475981057275762</v>
      </c>
      <c r="L50" s="66">
        <f t="shared" si="15"/>
        <v>5.0193382782606255</v>
      </c>
      <c r="M50" s="66">
        <f t="shared" si="15"/>
        <v>5.0896090141562746</v>
      </c>
      <c r="N50" s="66">
        <f t="shared" si="15"/>
        <v>5.1583187358473843</v>
      </c>
      <c r="O50" s="66">
        <f t="shared" si="15"/>
        <v>5.2253768794133997</v>
      </c>
      <c r="P50" s="66">
        <f t="shared" si="15"/>
        <v>5.2906940904060669</v>
      </c>
      <c r="Q50" s="66">
        <f t="shared" si="15"/>
        <v>5.351537072445737</v>
      </c>
      <c r="R50" s="66">
        <f t="shared" si="15"/>
        <v>5.4050524431701943</v>
      </c>
      <c r="S50" s="66">
        <f t="shared" si="15"/>
        <v>5.4536979151587257</v>
      </c>
      <c r="T50" s="66">
        <f t="shared" si="15"/>
        <v>5.4946006495224164</v>
      </c>
      <c r="U50" s="66">
        <f t="shared" si="15"/>
        <v>5.5303155537443116</v>
      </c>
      <c r="V50" s="66">
        <f t="shared" si="15"/>
        <v>5.5634974470667773</v>
      </c>
      <c r="W50" s="66">
        <f t="shared" si="15"/>
        <v>5.5940966830256453</v>
      </c>
      <c r="X50" s="66">
        <f t="shared" si="15"/>
        <v>5.6192701180992604</v>
      </c>
      <c r="Y50" s="66">
        <f t="shared" si="15"/>
        <v>5.6417471985716574</v>
      </c>
      <c r="Z50" s="66">
        <f t="shared" si="15"/>
        <v>5.6614933137666581</v>
      </c>
      <c r="AA50" s="66">
        <f t="shared" si="15"/>
        <v>5.6813085403648413</v>
      </c>
      <c r="AB50" s="66">
        <f t="shared" si="15"/>
        <v>5.7011931202561188</v>
      </c>
      <c r="AC50" s="66">
        <f t="shared" si="15"/>
        <v>5.7182966996168867</v>
      </c>
      <c r="AD50" s="66">
        <f t="shared" si="15"/>
        <v>5.735451589715737</v>
      </c>
      <c r="AE50" s="66">
        <f t="shared" si="15"/>
        <v>5.7526579444848833</v>
      </c>
      <c r="AF50" s="66">
        <f t="shared" si="15"/>
        <v>5.7699159183183371</v>
      </c>
      <c r="AG50" s="66">
        <f t="shared" si="15"/>
        <v>5.787225666073291</v>
      </c>
      <c r="AH50" s="66">
        <f t="shared" si="15"/>
        <v>5.8016937302384743</v>
      </c>
      <c r="AI50" s="66">
        <f t="shared" si="15"/>
        <v>5.8161979645640702</v>
      </c>
      <c r="AJ50" s="66">
        <f t="shared" si="15"/>
        <v>5.8307384594754801</v>
      </c>
      <c r="AK50" s="66">
        <f t="shared" si="15"/>
        <v>5.8453153056241689</v>
      </c>
      <c r="AL50" s="66">
        <f t="shared" si="15"/>
        <v>5.8599285938882293</v>
      </c>
    </row>
    <row r="51" spans="1:38" x14ac:dyDescent="0.2">
      <c r="A51" s="7" t="s">
        <v>373</v>
      </c>
      <c r="B51" s="28">
        <v>7.54</v>
      </c>
      <c r="C51" s="66">
        <f>B51*(1+D35)</f>
        <v>7.6644100000000002</v>
      </c>
      <c r="D51" s="66">
        <f t="shared" ref="D51:AL51" si="16">C51*(1+E35)</f>
        <v>7.8176982000000006</v>
      </c>
      <c r="E51" s="66">
        <f t="shared" si="16"/>
        <v>7.9896875604000011</v>
      </c>
      <c r="F51" s="66">
        <f t="shared" si="16"/>
        <v>8.1414916240475996</v>
      </c>
      <c r="G51" s="66">
        <f t="shared" si="16"/>
        <v>8.2880384732804568</v>
      </c>
      <c r="H51" s="66">
        <f t="shared" si="16"/>
        <v>8.4330791465628661</v>
      </c>
      <c r="I51" s="66">
        <f t="shared" si="16"/>
        <v>8.5722249524811538</v>
      </c>
      <c r="J51" s="66">
        <f t="shared" si="16"/>
        <v>8.7093805517208516</v>
      </c>
      <c r="K51" s="66">
        <f t="shared" si="16"/>
        <v>8.8400212599966643</v>
      </c>
      <c r="L51" s="66">
        <f t="shared" si="16"/>
        <v>8.9682015682666147</v>
      </c>
      <c r="M51" s="66">
        <f t="shared" si="16"/>
        <v>9.0937563902223477</v>
      </c>
      <c r="N51" s="66">
        <f t="shared" si="16"/>
        <v>9.2165221014903498</v>
      </c>
      <c r="O51" s="66">
        <f t="shared" si="16"/>
        <v>9.3363368888097238</v>
      </c>
      <c r="P51" s="66">
        <f t="shared" si="16"/>
        <v>9.4530410999198455</v>
      </c>
      <c r="Q51" s="66">
        <f t="shared" si="16"/>
        <v>9.5617510725689243</v>
      </c>
      <c r="R51" s="66">
        <f t="shared" si="16"/>
        <v>9.6573685832946143</v>
      </c>
      <c r="S51" s="66">
        <f t="shared" si="16"/>
        <v>9.7442849005442653</v>
      </c>
      <c r="T51" s="66">
        <f t="shared" si="16"/>
        <v>9.8173670372983484</v>
      </c>
      <c r="U51" s="66">
        <f t="shared" si="16"/>
        <v>9.8811799230407864</v>
      </c>
      <c r="V51" s="66">
        <f t="shared" si="16"/>
        <v>9.940467002579032</v>
      </c>
      <c r="W51" s="66">
        <f t="shared" si="16"/>
        <v>9.9951395710932172</v>
      </c>
      <c r="X51" s="66">
        <f t="shared" si="16"/>
        <v>10.040117699163137</v>
      </c>
      <c r="Y51" s="66">
        <f t="shared" si="16"/>
        <v>10.08027816995979</v>
      </c>
      <c r="Z51" s="66">
        <f t="shared" si="16"/>
        <v>10.11555914355465</v>
      </c>
      <c r="AA51" s="66">
        <f t="shared" si="16"/>
        <v>10.150963600557091</v>
      </c>
      <c r="AB51" s="66">
        <f t="shared" si="16"/>
        <v>10.186491973159042</v>
      </c>
      <c r="AC51" s="66">
        <f t="shared" si="16"/>
        <v>10.217051449078518</v>
      </c>
      <c r="AD51" s="66">
        <f t="shared" si="16"/>
        <v>10.247702603425752</v>
      </c>
      <c r="AE51" s="66">
        <f t="shared" si="16"/>
        <v>10.278445711236028</v>
      </c>
      <c r="AF51" s="66">
        <f t="shared" si="16"/>
        <v>10.309281048369735</v>
      </c>
      <c r="AG51" s="66">
        <f t="shared" si="16"/>
        <v>10.340208891514843</v>
      </c>
      <c r="AH51" s="66">
        <f t="shared" si="16"/>
        <v>10.366059413743629</v>
      </c>
      <c r="AI51" s="66">
        <f t="shared" si="16"/>
        <v>10.391974562277989</v>
      </c>
      <c r="AJ51" s="66">
        <f t="shared" si="16"/>
        <v>10.417954498683683</v>
      </c>
      <c r="AK51" s="66">
        <f t="shared" si="16"/>
        <v>10.443999384930391</v>
      </c>
      <c r="AL51" s="66">
        <f t="shared" si="16"/>
        <v>10.470109383392717</v>
      </c>
    </row>
    <row r="52" spans="1:38" x14ac:dyDescent="0.2">
      <c r="A52" s="7" t="s">
        <v>379</v>
      </c>
      <c r="B52" s="28">
        <v>5.42</v>
      </c>
      <c r="C52" s="66">
        <f>B52*(1+D35)</f>
        <v>5.50943</v>
      </c>
      <c r="D52" s="66">
        <f t="shared" ref="D52:AL52" si="17">C52*(1+E35)</f>
        <v>5.6196185999999999</v>
      </c>
      <c r="E52" s="66">
        <f t="shared" si="17"/>
        <v>5.7432502092000002</v>
      </c>
      <c r="F52" s="66">
        <f t="shared" si="17"/>
        <v>5.8523719631747992</v>
      </c>
      <c r="G52" s="66">
        <f t="shared" si="17"/>
        <v>5.9577146585119456</v>
      </c>
      <c r="H52" s="66">
        <f t="shared" si="17"/>
        <v>6.0619746650359048</v>
      </c>
      <c r="I52" s="66">
        <f t="shared" si="17"/>
        <v>6.1619972470089968</v>
      </c>
      <c r="J52" s="66">
        <f t="shared" si="17"/>
        <v>6.2605892029611407</v>
      </c>
      <c r="K52" s="66">
        <f t="shared" si="17"/>
        <v>6.3544980410055576</v>
      </c>
      <c r="L52" s="66">
        <f t="shared" si="17"/>
        <v>6.4466382626001382</v>
      </c>
      <c r="M52" s="66">
        <f t="shared" si="17"/>
        <v>6.5368911982765399</v>
      </c>
      <c r="N52" s="66">
        <f t="shared" si="17"/>
        <v>6.6251392294532732</v>
      </c>
      <c r="O52" s="66">
        <f t="shared" si="17"/>
        <v>6.7112660394361647</v>
      </c>
      <c r="P52" s="66">
        <f t="shared" si="17"/>
        <v>6.7951568649291163</v>
      </c>
      <c r="Q52" s="66">
        <f t="shared" si="17"/>
        <v>6.8733011688758019</v>
      </c>
      <c r="R52" s="66">
        <f t="shared" si="17"/>
        <v>6.9420341805645602</v>
      </c>
      <c r="S52" s="66">
        <f t="shared" si="17"/>
        <v>7.0045124881896408</v>
      </c>
      <c r="T52" s="66">
        <f t="shared" si="17"/>
        <v>7.0570463318510637</v>
      </c>
      <c r="U52" s="66">
        <f t="shared" si="17"/>
        <v>7.1029171330080949</v>
      </c>
      <c r="V52" s="66">
        <f t="shared" si="17"/>
        <v>7.1455346358061433</v>
      </c>
      <c r="W52" s="66">
        <f t="shared" si="17"/>
        <v>7.1848350763030773</v>
      </c>
      <c r="X52" s="66">
        <f t="shared" si="17"/>
        <v>7.2171668341464406</v>
      </c>
      <c r="Y52" s="66">
        <f t="shared" si="17"/>
        <v>7.2460355014830267</v>
      </c>
      <c r="Z52" s="66">
        <f t="shared" si="17"/>
        <v>7.2713966257382179</v>
      </c>
      <c r="AA52" s="66">
        <f t="shared" si="17"/>
        <v>7.2968465139283021</v>
      </c>
      <c r="AB52" s="66">
        <f t="shared" si="17"/>
        <v>7.3223854767270513</v>
      </c>
      <c r="AC52" s="66">
        <f t="shared" si="17"/>
        <v>7.3443526331572313</v>
      </c>
      <c r="AD52" s="66">
        <f t="shared" si="17"/>
        <v>7.3663856910567018</v>
      </c>
      <c r="AE52" s="66">
        <f t="shared" si="17"/>
        <v>7.3884848481298713</v>
      </c>
      <c r="AF52" s="66">
        <f t="shared" si="17"/>
        <v>7.4106503026742603</v>
      </c>
      <c r="AG52" s="66">
        <f t="shared" si="17"/>
        <v>7.4328822535822825</v>
      </c>
      <c r="AH52" s="66">
        <f t="shared" si="17"/>
        <v>7.451464459216238</v>
      </c>
      <c r="AI52" s="66">
        <f t="shared" si="17"/>
        <v>7.470093120364278</v>
      </c>
      <c r="AJ52" s="66">
        <f t="shared" si="17"/>
        <v>7.4887683531651881</v>
      </c>
      <c r="AK52" s="66">
        <f t="shared" si="17"/>
        <v>7.5074902740481004</v>
      </c>
      <c r="AL52" s="66">
        <f t="shared" si="17"/>
        <v>7.5262589997332201</v>
      </c>
    </row>
    <row r="53" spans="1:38" x14ac:dyDescent="0.2">
      <c r="A53" s="7" t="s">
        <v>374</v>
      </c>
      <c r="B53" s="28">
        <v>4.92</v>
      </c>
      <c r="C53" s="66">
        <f>B53*(1+D35)</f>
        <v>5.0011799999999997</v>
      </c>
      <c r="D53" s="66">
        <f t="shared" ref="D53:AL53" si="18">C53*(1+E35)</f>
        <v>5.1012035999999998</v>
      </c>
      <c r="E53" s="66">
        <f t="shared" si="18"/>
        <v>5.2134300792000001</v>
      </c>
      <c r="F53" s="66">
        <f t="shared" si="18"/>
        <v>5.3124852507047997</v>
      </c>
      <c r="G53" s="66">
        <f t="shared" si="18"/>
        <v>5.4081099852174859</v>
      </c>
      <c r="H53" s="66">
        <f t="shared" si="18"/>
        <v>5.5027519099587918</v>
      </c>
      <c r="I53" s="66">
        <f t="shared" si="18"/>
        <v>5.5935473164731118</v>
      </c>
      <c r="J53" s="66">
        <f t="shared" si="18"/>
        <v>5.6830440735366814</v>
      </c>
      <c r="K53" s="66">
        <f t="shared" si="18"/>
        <v>5.7682897346397315</v>
      </c>
      <c r="L53" s="66">
        <f t="shared" si="18"/>
        <v>5.8519299357920076</v>
      </c>
      <c r="M53" s="66">
        <f t="shared" si="18"/>
        <v>5.9338569548930957</v>
      </c>
      <c r="N53" s="66">
        <f t="shared" si="18"/>
        <v>6.013964023784153</v>
      </c>
      <c r="O53" s="66">
        <f t="shared" si="18"/>
        <v>6.092145556093346</v>
      </c>
      <c r="P53" s="66">
        <f t="shared" si="18"/>
        <v>6.1682973755445127</v>
      </c>
      <c r="Q53" s="66">
        <f t="shared" si="18"/>
        <v>6.2392327953632751</v>
      </c>
      <c r="R53" s="66">
        <f t="shared" si="18"/>
        <v>6.3016251233169083</v>
      </c>
      <c r="S53" s="66">
        <f t="shared" si="18"/>
        <v>6.3583397494267597</v>
      </c>
      <c r="T53" s="66">
        <f t="shared" si="18"/>
        <v>6.4060272975474613</v>
      </c>
      <c r="U53" s="66">
        <f t="shared" si="18"/>
        <v>6.4476664749815198</v>
      </c>
      <c r="V53" s="66">
        <f t="shared" si="18"/>
        <v>6.4863524738314089</v>
      </c>
      <c r="W53" s="66">
        <f t="shared" si="18"/>
        <v>6.522027412437482</v>
      </c>
      <c r="X53" s="66">
        <f t="shared" si="18"/>
        <v>6.5513765357934499</v>
      </c>
      <c r="Y53" s="66">
        <f t="shared" si="18"/>
        <v>6.5775820419366235</v>
      </c>
      <c r="Z53" s="66">
        <f t="shared" si="18"/>
        <v>6.6006035790834021</v>
      </c>
      <c r="AA53" s="66">
        <f t="shared" si="18"/>
        <v>6.6237056916101942</v>
      </c>
      <c r="AB53" s="66">
        <f t="shared" si="18"/>
        <v>6.6468886615308307</v>
      </c>
      <c r="AC53" s="66">
        <f t="shared" si="18"/>
        <v>6.6668293275154227</v>
      </c>
      <c r="AD53" s="66">
        <f t="shared" si="18"/>
        <v>6.6868298154979682</v>
      </c>
      <c r="AE53" s="66">
        <f t="shared" si="18"/>
        <v>6.7068903049444613</v>
      </c>
      <c r="AF53" s="66">
        <f t="shared" si="18"/>
        <v>6.7270109758592938</v>
      </c>
      <c r="AG53" s="66">
        <f t="shared" si="18"/>
        <v>6.7471920087868709</v>
      </c>
      <c r="AH53" s="66">
        <f t="shared" si="18"/>
        <v>6.764059988808838</v>
      </c>
      <c r="AI53" s="66">
        <f t="shared" si="18"/>
        <v>6.7809701387808596</v>
      </c>
      <c r="AJ53" s="66">
        <f t="shared" si="18"/>
        <v>6.7979225641278118</v>
      </c>
      <c r="AK53" s="66">
        <f t="shared" si="18"/>
        <v>6.8149173705381312</v>
      </c>
      <c r="AL53" s="66">
        <f t="shared" si="18"/>
        <v>6.8319546639644759</v>
      </c>
    </row>
    <row r="54" spans="1:38" x14ac:dyDescent="0.2">
      <c r="A54" s="7" t="s">
        <v>380</v>
      </c>
      <c r="B54" s="28">
        <v>3.54</v>
      </c>
      <c r="C54" s="66">
        <f>B54*(1+D35)</f>
        <v>3.5984099999999999</v>
      </c>
      <c r="D54" s="66">
        <f t="shared" ref="D54:AL54" si="19">C54*(1+E35)</f>
        <v>3.6703782</v>
      </c>
      <c r="E54" s="66">
        <f t="shared" si="19"/>
        <v>3.7511265204000002</v>
      </c>
      <c r="F54" s="66">
        <f t="shared" si="19"/>
        <v>3.8223979242875998</v>
      </c>
      <c r="G54" s="66">
        <f t="shared" si="19"/>
        <v>3.8912010869247768</v>
      </c>
      <c r="H54" s="66">
        <f t="shared" si="19"/>
        <v>3.9592971059459607</v>
      </c>
      <c r="I54" s="66">
        <f t="shared" si="19"/>
        <v>4.0246255081940685</v>
      </c>
      <c r="J54" s="66">
        <f t="shared" si="19"/>
        <v>4.0890195163251732</v>
      </c>
      <c r="K54" s="66">
        <f t="shared" si="19"/>
        <v>4.1503548090700502</v>
      </c>
      <c r="L54" s="66">
        <f t="shared" si="19"/>
        <v>4.2105349538015657</v>
      </c>
      <c r="M54" s="66">
        <f t="shared" si="19"/>
        <v>4.2694824431547875</v>
      </c>
      <c r="N54" s="66">
        <f t="shared" si="19"/>
        <v>4.3271204561373775</v>
      </c>
      <c r="O54" s="66">
        <f t="shared" si="19"/>
        <v>4.3833730220671629</v>
      </c>
      <c r="P54" s="66">
        <f t="shared" si="19"/>
        <v>4.4381651848430019</v>
      </c>
      <c r="Q54" s="66">
        <f t="shared" si="19"/>
        <v>4.4892040844686969</v>
      </c>
      <c r="R54" s="66">
        <f t="shared" si="19"/>
        <v>4.5340961253133836</v>
      </c>
      <c r="S54" s="66">
        <f t="shared" si="19"/>
        <v>4.5749029904412035</v>
      </c>
      <c r="T54" s="66">
        <f t="shared" si="19"/>
        <v>4.609214762869513</v>
      </c>
      <c r="U54" s="66">
        <f t="shared" si="19"/>
        <v>4.639174658828165</v>
      </c>
      <c r="V54" s="66">
        <f t="shared" si="19"/>
        <v>4.6670097067811342</v>
      </c>
      <c r="W54" s="66">
        <f t="shared" si="19"/>
        <v>4.6926782601684307</v>
      </c>
      <c r="X54" s="66">
        <f t="shared" si="19"/>
        <v>4.7137953123391885</v>
      </c>
      <c r="Y54" s="66">
        <f t="shared" si="19"/>
        <v>4.7326504935885456</v>
      </c>
      <c r="Z54" s="66">
        <f t="shared" si="19"/>
        <v>4.7492147703161054</v>
      </c>
      <c r="AA54" s="66">
        <f t="shared" si="19"/>
        <v>4.7658370220122119</v>
      </c>
      <c r="AB54" s="66">
        <f t="shared" si="19"/>
        <v>4.7825174515892552</v>
      </c>
      <c r="AC54" s="66">
        <f t="shared" si="19"/>
        <v>4.7968650039440224</v>
      </c>
      <c r="AD54" s="66">
        <f t="shared" si="19"/>
        <v>4.8112555989558539</v>
      </c>
      <c r="AE54" s="66">
        <f t="shared" si="19"/>
        <v>4.8256893657527211</v>
      </c>
      <c r="AF54" s="66">
        <f t="shared" si="19"/>
        <v>4.840166433849979</v>
      </c>
      <c r="AG54" s="66">
        <f t="shared" si="19"/>
        <v>4.8546869331515285</v>
      </c>
      <c r="AH54" s="66">
        <f t="shared" si="19"/>
        <v>4.8668236504844069</v>
      </c>
      <c r="AI54" s="66">
        <f t="shared" si="19"/>
        <v>4.8789907096106173</v>
      </c>
      <c r="AJ54" s="66">
        <f t="shared" si="19"/>
        <v>4.8911881863846434</v>
      </c>
      <c r="AK54" s="66">
        <f t="shared" si="19"/>
        <v>4.9034161568506045</v>
      </c>
      <c r="AL54" s="66">
        <f t="shared" si="19"/>
        <v>4.9156746972427303</v>
      </c>
    </row>
    <row r="55" spans="1:38" x14ac:dyDescent="0.2">
      <c r="A55" s="7" t="s">
        <v>375</v>
      </c>
      <c r="B55" s="28">
        <v>6.33</v>
      </c>
      <c r="C55" s="66">
        <f>B55*(1+D35)</f>
        <v>6.4344450000000002</v>
      </c>
      <c r="D55" s="66">
        <f t="shared" ref="D55:AL55" si="20">C55*(1+E35)</f>
        <v>6.5631339000000004</v>
      </c>
      <c r="E55" s="66">
        <f t="shared" si="20"/>
        <v>6.7075228458000007</v>
      </c>
      <c r="F55" s="66">
        <f t="shared" si="20"/>
        <v>6.8349657798701999</v>
      </c>
      <c r="G55" s="66">
        <f t="shared" si="20"/>
        <v>6.9579951639078637</v>
      </c>
      <c r="H55" s="66">
        <f t="shared" si="20"/>
        <v>7.0797600792762516</v>
      </c>
      <c r="I55" s="66">
        <f t="shared" si="20"/>
        <v>7.1965761205843091</v>
      </c>
      <c r="J55" s="66">
        <f t="shared" si="20"/>
        <v>7.3117213385136584</v>
      </c>
      <c r="K55" s="66">
        <f t="shared" si="20"/>
        <v>7.421397158591363</v>
      </c>
      <c r="L55" s="66">
        <f t="shared" si="20"/>
        <v>7.5290074173909378</v>
      </c>
      <c r="M55" s="66">
        <f t="shared" si="20"/>
        <v>7.6344135212344106</v>
      </c>
      <c r="N55" s="66">
        <f t="shared" si="20"/>
        <v>7.7374781037710756</v>
      </c>
      <c r="O55" s="66">
        <f t="shared" si="20"/>
        <v>7.8380653191200986</v>
      </c>
      <c r="P55" s="66">
        <f t="shared" si="20"/>
        <v>7.9360411356090994</v>
      </c>
      <c r="Q55" s="66">
        <f t="shared" si="20"/>
        <v>8.0273056086686054</v>
      </c>
      <c r="R55" s="66">
        <f t="shared" si="20"/>
        <v>8.107578664755291</v>
      </c>
      <c r="S55" s="66">
        <f t="shared" si="20"/>
        <v>8.1805468727380877</v>
      </c>
      <c r="T55" s="66">
        <f t="shared" si="20"/>
        <v>8.2419009742836238</v>
      </c>
      <c r="U55" s="66">
        <f t="shared" si="20"/>
        <v>8.295473330616467</v>
      </c>
      <c r="V55" s="66">
        <f t="shared" si="20"/>
        <v>8.3452461706001664</v>
      </c>
      <c r="W55" s="66">
        <f t="shared" si="20"/>
        <v>8.3911450245384671</v>
      </c>
      <c r="X55" s="66">
        <f t="shared" si="20"/>
        <v>8.4289051771488896</v>
      </c>
      <c r="Y55" s="66">
        <f t="shared" si="20"/>
        <v>8.4626207978574861</v>
      </c>
      <c r="Z55" s="66">
        <f t="shared" si="20"/>
        <v>8.4922399706499885</v>
      </c>
      <c r="AA55" s="66">
        <f t="shared" si="20"/>
        <v>8.5219628105472633</v>
      </c>
      <c r="AB55" s="66">
        <f t="shared" si="20"/>
        <v>8.5517896803841786</v>
      </c>
      <c r="AC55" s="66">
        <f t="shared" si="20"/>
        <v>8.5774450494253305</v>
      </c>
      <c r="AD55" s="66">
        <f t="shared" si="20"/>
        <v>8.6031773845736055</v>
      </c>
      <c r="AE55" s="66">
        <f t="shared" si="20"/>
        <v>8.6289869167273245</v>
      </c>
      <c r="AF55" s="66">
        <f t="shared" si="20"/>
        <v>8.654873877477506</v>
      </c>
      <c r="AG55" s="66">
        <f t="shared" si="20"/>
        <v>8.680838499109937</v>
      </c>
      <c r="AH55" s="66">
        <f t="shared" si="20"/>
        <v>8.7025405953577106</v>
      </c>
      <c r="AI55" s="66">
        <f t="shared" si="20"/>
        <v>8.7242969468461045</v>
      </c>
      <c r="AJ55" s="66">
        <f t="shared" si="20"/>
        <v>8.7461076892132201</v>
      </c>
      <c r="AK55" s="66">
        <f t="shared" si="20"/>
        <v>8.7679729584362534</v>
      </c>
      <c r="AL55" s="66">
        <f t="shared" si="20"/>
        <v>8.789892890832343</v>
      </c>
    </row>
    <row r="56" spans="1:38" x14ac:dyDescent="0.2">
      <c r="A56" s="7" t="s">
        <v>381</v>
      </c>
      <c r="B56" s="28">
        <v>4.55</v>
      </c>
      <c r="C56" s="66">
        <f>B56*(1+D35)</f>
        <v>4.6250749999999998</v>
      </c>
      <c r="D56" s="66">
        <f t="shared" ref="D56:AL56" si="21">C56*(1+E35)</f>
        <v>4.7175764999999998</v>
      </c>
      <c r="E56" s="66">
        <f t="shared" si="21"/>
        <v>4.8213631829999999</v>
      </c>
      <c r="F56" s="66">
        <f t="shared" si="21"/>
        <v>4.912969083476999</v>
      </c>
      <c r="G56" s="66">
        <f t="shared" si="21"/>
        <v>5.001402526979585</v>
      </c>
      <c r="H56" s="66">
        <f t="shared" si="21"/>
        <v>5.088927071201728</v>
      </c>
      <c r="I56" s="66">
        <f t="shared" si="21"/>
        <v>5.1728943678765562</v>
      </c>
      <c r="J56" s="66">
        <f t="shared" si="21"/>
        <v>5.2556606777625809</v>
      </c>
      <c r="K56" s="66">
        <f t="shared" si="21"/>
        <v>5.3344955879290188</v>
      </c>
      <c r="L56" s="66">
        <f t="shared" si="21"/>
        <v>5.4118457739539894</v>
      </c>
      <c r="M56" s="66">
        <f t="shared" si="21"/>
        <v>5.487611614789345</v>
      </c>
      <c r="N56" s="66">
        <f t="shared" si="21"/>
        <v>5.5616943715890015</v>
      </c>
      <c r="O56" s="66">
        <f t="shared" si="21"/>
        <v>5.6339963984196579</v>
      </c>
      <c r="P56" s="66">
        <f t="shared" si="21"/>
        <v>5.7044213533999031</v>
      </c>
      <c r="Q56" s="66">
        <f t="shared" si="21"/>
        <v>5.7700221989640026</v>
      </c>
      <c r="R56" s="66">
        <f t="shared" si="21"/>
        <v>5.8277224209536422</v>
      </c>
      <c r="S56" s="66">
        <f t="shared" si="21"/>
        <v>5.8801719227422247</v>
      </c>
      <c r="T56" s="66">
        <f t="shared" si="21"/>
        <v>5.9242732121627917</v>
      </c>
      <c r="U56" s="66">
        <f t="shared" si="21"/>
        <v>5.9627809880418496</v>
      </c>
      <c r="V56" s="66">
        <f t="shared" si="21"/>
        <v>5.998557673970101</v>
      </c>
      <c r="W56" s="66">
        <f t="shared" si="21"/>
        <v>6.0315497411769368</v>
      </c>
      <c r="X56" s="66">
        <f t="shared" si="21"/>
        <v>6.058691715012233</v>
      </c>
      <c r="Y56" s="66">
        <f t="shared" si="21"/>
        <v>6.0829264818722821</v>
      </c>
      <c r="Z56" s="66">
        <f t="shared" si="21"/>
        <v>6.1042167245588352</v>
      </c>
      <c r="AA56" s="66">
        <f t="shared" si="21"/>
        <v>6.1255814830947912</v>
      </c>
      <c r="AB56" s="66">
        <f t="shared" si="21"/>
        <v>6.1470210182856233</v>
      </c>
      <c r="AC56" s="66">
        <f t="shared" si="21"/>
        <v>6.1654620813404799</v>
      </c>
      <c r="AD56" s="66">
        <f t="shared" si="21"/>
        <v>6.1839584675845005</v>
      </c>
      <c r="AE56" s="66">
        <f t="shared" si="21"/>
        <v>6.202510342987253</v>
      </c>
      <c r="AF56" s="66">
        <f t="shared" si="21"/>
        <v>6.2211178740162145</v>
      </c>
      <c r="AG56" s="66">
        <f t="shared" si="21"/>
        <v>6.2397812276382627</v>
      </c>
      <c r="AH56" s="66">
        <f t="shared" si="21"/>
        <v>6.2553806807073578</v>
      </c>
      <c r="AI56" s="66">
        <f t="shared" si="21"/>
        <v>6.2710191324091262</v>
      </c>
      <c r="AJ56" s="66">
        <f t="shared" si="21"/>
        <v>6.2866966802401487</v>
      </c>
      <c r="AK56" s="66">
        <f t="shared" si="21"/>
        <v>6.3024134219407486</v>
      </c>
      <c r="AL56" s="66">
        <f t="shared" si="21"/>
        <v>6.3181694554956005</v>
      </c>
    </row>
    <row r="57" spans="1:38" x14ac:dyDescent="0.2">
      <c r="A57" s="7" t="s">
        <v>369</v>
      </c>
      <c r="B57" s="28">
        <v>4.92</v>
      </c>
      <c r="C57" s="66">
        <f>B57*(1+D35)</f>
        <v>5.0011799999999997</v>
      </c>
      <c r="D57" s="66">
        <f t="shared" ref="D57:AL57" si="22">C57*(1+E35)</f>
        <v>5.1012035999999998</v>
      </c>
      <c r="E57" s="66">
        <f t="shared" si="22"/>
        <v>5.2134300792000001</v>
      </c>
      <c r="F57" s="66">
        <f t="shared" si="22"/>
        <v>5.3124852507047997</v>
      </c>
      <c r="G57" s="66">
        <f t="shared" si="22"/>
        <v>5.4081099852174859</v>
      </c>
      <c r="H57" s="66">
        <f t="shared" si="22"/>
        <v>5.5027519099587918</v>
      </c>
      <c r="I57" s="66">
        <f t="shared" si="22"/>
        <v>5.5935473164731118</v>
      </c>
      <c r="J57" s="66">
        <f t="shared" si="22"/>
        <v>5.6830440735366814</v>
      </c>
      <c r="K57" s="66">
        <f t="shared" si="22"/>
        <v>5.7682897346397315</v>
      </c>
      <c r="L57" s="66">
        <f t="shared" si="22"/>
        <v>5.8519299357920076</v>
      </c>
      <c r="M57" s="66">
        <f t="shared" si="22"/>
        <v>5.9338569548930957</v>
      </c>
      <c r="N57" s="66">
        <f t="shared" si="22"/>
        <v>6.013964023784153</v>
      </c>
      <c r="O57" s="66">
        <f t="shared" si="22"/>
        <v>6.092145556093346</v>
      </c>
      <c r="P57" s="66">
        <f t="shared" si="22"/>
        <v>6.1682973755445127</v>
      </c>
      <c r="Q57" s="66">
        <f t="shared" si="22"/>
        <v>6.2392327953632751</v>
      </c>
      <c r="R57" s="66">
        <f t="shared" si="22"/>
        <v>6.3016251233169083</v>
      </c>
      <c r="S57" s="66">
        <f t="shared" si="22"/>
        <v>6.3583397494267597</v>
      </c>
      <c r="T57" s="66">
        <f t="shared" si="22"/>
        <v>6.4060272975474613</v>
      </c>
      <c r="U57" s="66">
        <f t="shared" si="22"/>
        <v>6.4476664749815198</v>
      </c>
      <c r="V57" s="66">
        <f t="shared" si="22"/>
        <v>6.4863524738314089</v>
      </c>
      <c r="W57" s="66">
        <f t="shared" si="22"/>
        <v>6.522027412437482</v>
      </c>
      <c r="X57" s="66">
        <f t="shared" si="22"/>
        <v>6.5513765357934499</v>
      </c>
      <c r="Y57" s="66">
        <f t="shared" si="22"/>
        <v>6.5775820419366235</v>
      </c>
      <c r="Z57" s="66">
        <f t="shared" si="22"/>
        <v>6.6006035790834021</v>
      </c>
      <c r="AA57" s="66">
        <f t="shared" si="22"/>
        <v>6.6237056916101942</v>
      </c>
      <c r="AB57" s="66">
        <f t="shared" si="22"/>
        <v>6.6468886615308307</v>
      </c>
      <c r="AC57" s="66">
        <f t="shared" si="22"/>
        <v>6.6668293275154227</v>
      </c>
      <c r="AD57" s="66">
        <f t="shared" si="22"/>
        <v>6.6868298154979682</v>
      </c>
      <c r="AE57" s="66">
        <f t="shared" si="22"/>
        <v>6.7068903049444613</v>
      </c>
      <c r="AF57" s="66">
        <f t="shared" si="22"/>
        <v>6.7270109758592938</v>
      </c>
      <c r="AG57" s="66">
        <f t="shared" si="22"/>
        <v>6.7471920087868709</v>
      </c>
      <c r="AH57" s="66">
        <f t="shared" si="22"/>
        <v>6.764059988808838</v>
      </c>
      <c r="AI57" s="66">
        <f t="shared" si="22"/>
        <v>6.7809701387808596</v>
      </c>
      <c r="AJ57" s="66">
        <f t="shared" si="22"/>
        <v>6.7979225641278118</v>
      </c>
      <c r="AK57" s="66">
        <f t="shared" si="22"/>
        <v>6.8149173705381312</v>
      </c>
      <c r="AL57" s="66">
        <f t="shared" si="22"/>
        <v>6.8319546639644759</v>
      </c>
    </row>
    <row r="58" spans="1:38" x14ac:dyDescent="0.2">
      <c r="A58" s="7" t="s">
        <v>370</v>
      </c>
      <c r="B58" s="28">
        <v>4.92</v>
      </c>
      <c r="C58" s="66">
        <f>B58*(1+D35)</f>
        <v>5.0011799999999997</v>
      </c>
      <c r="D58" s="66">
        <f t="shared" ref="D58:AL58" si="23">C58*(1+E35)</f>
        <v>5.1012035999999998</v>
      </c>
      <c r="E58" s="66">
        <f t="shared" si="23"/>
        <v>5.2134300792000001</v>
      </c>
      <c r="F58" s="66">
        <f t="shared" si="23"/>
        <v>5.3124852507047997</v>
      </c>
      <c r="G58" s="66">
        <f t="shared" si="23"/>
        <v>5.4081099852174859</v>
      </c>
      <c r="H58" s="66">
        <f t="shared" si="23"/>
        <v>5.5027519099587918</v>
      </c>
      <c r="I58" s="66">
        <f t="shared" si="23"/>
        <v>5.5935473164731118</v>
      </c>
      <c r="J58" s="66">
        <f t="shared" si="23"/>
        <v>5.6830440735366814</v>
      </c>
      <c r="K58" s="66">
        <f t="shared" si="23"/>
        <v>5.7682897346397315</v>
      </c>
      <c r="L58" s="66">
        <f t="shared" si="23"/>
        <v>5.8519299357920076</v>
      </c>
      <c r="M58" s="66">
        <f t="shared" si="23"/>
        <v>5.9338569548930957</v>
      </c>
      <c r="N58" s="66">
        <f t="shared" si="23"/>
        <v>6.013964023784153</v>
      </c>
      <c r="O58" s="66">
        <f t="shared" si="23"/>
        <v>6.092145556093346</v>
      </c>
      <c r="P58" s="66">
        <f t="shared" si="23"/>
        <v>6.1682973755445127</v>
      </c>
      <c r="Q58" s="66">
        <f t="shared" si="23"/>
        <v>6.2392327953632751</v>
      </c>
      <c r="R58" s="66">
        <f t="shared" si="23"/>
        <v>6.3016251233169083</v>
      </c>
      <c r="S58" s="66">
        <f t="shared" si="23"/>
        <v>6.3583397494267597</v>
      </c>
      <c r="T58" s="66">
        <f t="shared" si="23"/>
        <v>6.4060272975474613</v>
      </c>
      <c r="U58" s="66">
        <f t="shared" si="23"/>
        <v>6.4476664749815198</v>
      </c>
      <c r="V58" s="66">
        <f t="shared" si="23"/>
        <v>6.4863524738314089</v>
      </c>
      <c r="W58" s="66">
        <f t="shared" si="23"/>
        <v>6.522027412437482</v>
      </c>
      <c r="X58" s="66">
        <f t="shared" si="23"/>
        <v>6.5513765357934499</v>
      </c>
      <c r="Y58" s="66">
        <f t="shared" si="23"/>
        <v>6.5775820419366235</v>
      </c>
      <c r="Z58" s="66">
        <f t="shared" si="23"/>
        <v>6.6006035790834021</v>
      </c>
      <c r="AA58" s="66">
        <f t="shared" si="23"/>
        <v>6.6237056916101942</v>
      </c>
      <c r="AB58" s="66">
        <f t="shared" si="23"/>
        <v>6.6468886615308307</v>
      </c>
      <c r="AC58" s="66">
        <f t="shared" si="23"/>
        <v>6.6668293275154227</v>
      </c>
      <c r="AD58" s="66">
        <f t="shared" si="23"/>
        <v>6.6868298154979682</v>
      </c>
      <c r="AE58" s="66">
        <f t="shared" si="23"/>
        <v>6.7068903049444613</v>
      </c>
      <c r="AF58" s="66">
        <f t="shared" si="23"/>
        <v>6.7270109758592938</v>
      </c>
      <c r="AG58" s="66">
        <f t="shared" si="23"/>
        <v>6.7471920087868709</v>
      </c>
      <c r="AH58" s="66">
        <f t="shared" si="23"/>
        <v>6.764059988808838</v>
      </c>
      <c r="AI58" s="66">
        <f t="shared" si="23"/>
        <v>6.7809701387808596</v>
      </c>
      <c r="AJ58" s="66">
        <f t="shared" si="23"/>
        <v>6.7979225641278118</v>
      </c>
      <c r="AK58" s="66">
        <f t="shared" si="23"/>
        <v>6.8149173705381312</v>
      </c>
      <c r="AL58" s="66">
        <f t="shared" si="23"/>
        <v>6.8319546639644759</v>
      </c>
    </row>
    <row r="59" spans="1:38" x14ac:dyDescent="0.2">
      <c r="A59" s="6" t="s">
        <v>513</v>
      </c>
      <c r="B59" s="133"/>
      <c r="C59" s="66"/>
      <c r="D59" s="66">
        <v>0.224</v>
      </c>
      <c r="E59" s="66">
        <v>0.224</v>
      </c>
      <c r="F59" s="66">
        <v>0.224</v>
      </c>
      <c r="G59" s="66">
        <v>0.224</v>
      </c>
      <c r="H59" s="66">
        <v>0.224</v>
      </c>
      <c r="I59" s="66">
        <v>0.224</v>
      </c>
      <c r="J59" s="66">
        <v>0.224</v>
      </c>
      <c r="K59" s="66">
        <v>0.224</v>
      </c>
      <c r="L59" s="66">
        <v>0.224</v>
      </c>
      <c r="M59" s="66">
        <v>0.224</v>
      </c>
      <c r="N59" s="66">
        <v>0.224</v>
      </c>
      <c r="O59" s="66">
        <v>0.224</v>
      </c>
      <c r="P59" s="66">
        <v>0.224</v>
      </c>
      <c r="Q59" s="66">
        <v>0.224</v>
      </c>
      <c r="R59" s="66">
        <v>0.224</v>
      </c>
      <c r="S59" s="66">
        <v>0.224</v>
      </c>
      <c r="T59" s="66">
        <v>0.224</v>
      </c>
      <c r="U59" s="66">
        <v>0.224</v>
      </c>
      <c r="V59" s="66">
        <v>0.224</v>
      </c>
      <c r="W59" s="66">
        <v>0.224</v>
      </c>
      <c r="X59" s="66">
        <v>0.224</v>
      </c>
      <c r="Y59" s="66">
        <v>0.224</v>
      </c>
      <c r="Z59" s="66">
        <v>0.224</v>
      </c>
      <c r="AA59" s="66">
        <v>0.224</v>
      </c>
      <c r="AB59" s="66">
        <v>0.224</v>
      </c>
      <c r="AC59" s="66">
        <v>0.224</v>
      </c>
      <c r="AD59" s="66">
        <v>0.224</v>
      </c>
      <c r="AE59" s="66">
        <v>0.224</v>
      </c>
      <c r="AF59" s="66">
        <v>0.224</v>
      </c>
      <c r="AG59" s="66">
        <v>0.224</v>
      </c>
      <c r="AH59" s="66">
        <v>0.224</v>
      </c>
      <c r="AI59" s="66">
        <v>0.224</v>
      </c>
      <c r="AJ59" s="66">
        <v>0.224</v>
      </c>
      <c r="AK59" s="66">
        <v>0.224</v>
      </c>
      <c r="AL59" s="66">
        <v>0.224</v>
      </c>
    </row>
    <row r="60" spans="1:38" x14ac:dyDescent="0.2">
      <c r="A60" s="6" t="s">
        <v>514</v>
      </c>
      <c r="B60" s="133"/>
      <c r="C60" s="66"/>
      <c r="D60" s="66">
        <v>375.96</v>
      </c>
      <c r="E60" s="66">
        <v>375.96</v>
      </c>
      <c r="F60" s="66">
        <v>375.96</v>
      </c>
      <c r="G60" s="66">
        <v>375.96</v>
      </c>
      <c r="H60" s="66">
        <v>375.96</v>
      </c>
      <c r="I60" s="66">
        <v>375.96</v>
      </c>
      <c r="J60" s="66">
        <v>375.96</v>
      </c>
      <c r="K60" s="66">
        <v>375.96</v>
      </c>
      <c r="L60" s="66">
        <v>375.96</v>
      </c>
      <c r="M60" s="66">
        <v>375.96</v>
      </c>
      <c r="N60" s="66">
        <v>375.96</v>
      </c>
      <c r="O60" s="66">
        <v>375.96</v>
      </c>
      <c r="P60" s="66">
        <v>375.96</v>
      </c>
      <c r="Q60" s="66">
        <v>375.96</v>
      </c>
      <c r="R60" s="66">
        <v>375.96</v>
      </c>
      <c r="S60" s="66">
        <v>375.96</v>
      </c>
      <c r="T60" s="66">
        <v>375.96</v>
      </c>
      <c r="U60" s="66">
        <v>375.96</v>
      </c>
      <c r="V60" s="66">
        <v>375.96</v>
      </c>
      <c r="W60" s="66">
        <v>375.96</v>
      </c>
      <c r="X60" s="66">
        <v>375.96</v>
      </c>
      <c r="Y60" s="66">
        <v>375.96</v>
      </c>
      <c r="Z60" s="66">
        <v>375.96</v>
      </c>
      <c r="AA60" s="66">
        <v>375.96</v>
      </c>
      <c r="AB60" s="66">
        <v>375.96</v>
      </c>
      <c r="AC60" s="66">
        <v>375.96</v>
      </c>
      <c r="AD60" s="66">
        <v>375.96</v>
      </c>
      <c r="AE60" s="66">
        <v>375.96</v>
      </c>
      <c r="AF60" s="66">
        <v>375.96</v>
      </c>
      <c r="AG60" s="66">
        <v>375.96</v>
      </c>
      <c r="AH60" s="66">
        <v>375.96</v>
      </c>
      <c r="AI60" s="66">
        <v>375.96</v>
      </c>
      <c r="AJ60" s="66">
        <v>375.96</v>
      </c>
      <c r="AK60" s="66">
        <v>375.96</v>
      </c>
      <c r="AL60" s="66">
        <v>375.96</v>
      </c>
    </row>
    <row r="62" spans="1:38" x14ac:dyDescent="0.2">
      <c r="A62" s="1" t="s">
        <v>597</v>
      </c>
    </row>
    <row r="63" spans="1:38" x14ac:dyDescent="0.2">
      <c r="A63" s="7"/>
      <c r="B63" s="17" t="s">
        <v>50</v>
      </c>
      <c r="C63" s="100" t="s">
        <v>602</v>
      </c>
    </row>
    <row r="64" spans="1:38" x14ac:dyDescent="0.2">
      <c r="A64" s="7" t="s">
        <v>268</v>
      </c>
      <c r="B64" s="189">
        <f>F119</f>
        <v>41.619673198864767</v>
      </c>
      <c r="C64" s="1" t="s">
        <v>598</v>
      </c>
    </row>
    <row r="65" spans="1:6" x14ac:dyDescent="0.2">
      <c r="A65" s="7" t="s">
        <v>107</v>
      </c>
      <c r="B65" s="189">
        <v>0.71</v>
      </c>
      <c r="C65" s="1" t="s">
        <v>599</v>
      </c>
    </row>
    <row r="66" spans="1:6" x14ac:dyDescent="0.2">
      <c r="A66" s="7" t="s">
        <v>108</v>
      </c>
      <c r="B66" s="66">
        <v>0.25</v>
      </c>
      <c r="C66" s="1" t="s">
        <v>600</v>
      </c>
    </row>
    <row r="67" spans="1:6" x14ac:dyDescent="0.2">
      <c r="A67" s="11"/>
      <c r="B67" s="67"/>
      <c r="C67" s="67"/>
      <c r="D67" s="67"/>
      <c r="E67" s="67"/>
      <c r="F67" s="68"/>
    </row>
    <row r="68" spans="1:6" x14ac:dyDescent="0.2">
      <c r="A68" s="11" t="s">
        <v>355</v>
      </c>
      <c r="B68" s="67"/>
      <c r="C68" s="100" t="s">
        <v>278</v>
      </c>
      <c r="D68" s="67"/>
      <c r="E68" s="67"/>
      <c r="F68" s="68"/>
    </row>
    <row r="69" spans="1:6" ht="28.5" x14ac:dyDescent="0.2">
      <c r="A69" s="7"/>
      <c r="B69" s="82" t="s">
        <v>152</v>
      </c>
      <c r="C69" s="82" t="s">
        <v>153</v>
      </c>
      <c r="D69" s="17" t="s">
        <v>51</v>
      </c>
      <c r="E69" s="68"/>
    </row>
    <row r="70" spans="1:6" x14ac:dyDescent="0.2">
      <c r="A70" s="7" t="s">
        <v>48</v>
      </c>
      <c r="B70" s="20">
        <v>1.67</v>
      </c>
      <c r="C70" s="20">
        <v>3.19</v>
      </c>
      <c r="D70" s="20">
        <v>0.92</v>
      </c>
      <c r="E70" s="68"/>
    </row>
    <row r="71" spans="1:6" x14ac:dyDescent="0.2">
      <c r="A71" s="7" t="s">
        <v>47</v>
      </c>
      <c r="B71" s="201">
        <v>17.89</v>
      </c>
      <c r="C71" s="20">
        <v>8.17</v>
      </c>
      <c r="D71" s="20">
        <v>4.59</v>
      </c>
      <c r="E71" s="68"/>
    </row>
    <row r="72" spans="1:6" x14ac:dyDescent="0.2">
      <c r="A72" s="7" t="s">
        <v>107</v>
      </c>
      <c r="B72" s="28">
        <v>102.57</v>
      </c>
      <c r="C72" s="28" t="s">
        <v>357</v>
      </c>
      <c r="D72" s="20">
        <v>167.69</v>
      </c>
      <c r="E72" s="68"/>
    </row>
    <row r="73" spans="1:6" x14ac:dyDescent="0.2">
      <c r="A73" s="7" t="s">
        <v>106</v>
      </c>
      <c r="B73" s="28">
        <v>15.17</v>
      </c>
      <c r="C73" s="28">
        <v>11.69</v>
      </c>
      <c r="D73" s="28">
        <v>8.98</v>
      </c>
      <c r="E73" s="68"/>
    </row>
    <row r="74" spans="1:6" x14ac:dyDescent="0.2">
      <c r="A74" s="7" t="s">
        <v>108</v>
      </c>
      <c r="B74" s="28">
        <v>145.33000000000001</v>
      </c>
      <c r="C74" s="28" t="s">
        <v>358</v>
      </c>
      <c r="D74" s="28">
        <v>904.23</v>
      </c>
      <c r="E74" s="68"/>
    </row>
    <row r="75" spans="1:6" x14ac:dyDescent="0.2">
      <c r="A75" s="11" t="s">
        <v>319</v>
      </c>
      <c r="B75" s="67"/>
      <c r="C75" s="67"/>
      <c r="D75" s="67"/>
      <c r="E75" s="68"/>
    </row>
    <row r="76" spans="1:6" x14ac:dyDescent="0.2">
      <c r="A76" s="11"/>
      <c r="B76" s="67"/>
      <c r="C76" s="67"/>
      <c r="D76" s="67"/>
      <c r="E76" s="68"/>
    </row>
    <row r="77" spans="1:6" x14ac:dyDescent="0.2">
      <c r="A77" s="11"/>
      <c r="B77" s="100" t="s">
        <v>447</v>
      </c>
      <c r="C77" s="67"/>
      <c r="D77" s="67"/>
      <c r="E77" s="67"/>
      <c r="F77" s="68"/>
    </row>
    <row r="78" spans="1:6" x14ac:dyDescent="0.2">
      <c r="A78" s="7" t="s">
        <v>105</v>
      </c>
      <c r="B78" s="16">
        <v>1.5</v>
      </c>
    </row>
    <row r="79" spans="1:6" x14ac:dyDescent="0.2">
      <c r="A79" s="7" t="s">
        <v>135</v>
      </c>
      <c r="B79" s="12">
        <v>18</v>
      </c>
    </row>
    <row r="80" spans="1:6" x14ac:dyDescent="0.2">
      <c r="A80" s="7" t="s">
        <v>446</v>
      </c>
      <c r="B80" s="12">
        <v>712</v>
      </c>
    </row>
    <row r="81" spans="1:17" x14ac:dyDescent="0.2">
      <c r="A81" s="11"/>
    </row>
    <row r="82" spans="1:17" x14ac:dyDescent="0.2">
      <c r="A82" s="1" t="s">
        <v>356</v>
      </c>
    </row>
    <row r="83" spans="1:17" x14ac:dyDescent="0.2">
      <c r="A83" s="7"/>
      <c r="B83" s="167" t="s">
        <v>266</v>
      </c>
      <c r="C83" s="167" t="s">
        <v>267</v>
      </c>
      <c r="D83" s="100" t="s">
        <v>601</v>
      </c>
    </row>
    <row r="84" spans="1:17" x14ac:dyDescent="0.2">
      <c r="A84" s="186" t="s">
        <v>148</v>
      </c>
      <c r="B84" s="66">
        <v>9.5500000000000007</v>
      </c>
      <c r="C84" s="187">
        <v>8.66</v>
      </c>
      <c r="D84" s="188"/>
    </row>
    <row r="85" spans="1:17" x14ac:dyDescent="0.2">
      <c r="A85" s="165" t="s">
        <v>47</v>
      </c>
      <c r="B85" s="66">
        <v>0.88</v>
      </c>
      <c r="C85" s="187">
        <v>0.66</v>
      </c>
      <c r="D85" s="188"/>
    </row>
    <row r="86" spans="1:17" x14ac:dyDescent="0.2">
      <c r="A86" s="165" t="s">
        <v>48</v>
      </c>
      <c r="B86" s="66">
        <v>0.25</v>
      </c>
      <c r="C86" s="187">
        <v>0.2</v>
      </c>
      <c r="D86" s="188"/>
    </row>
    <row r="87" spans="1:17" x14ac:dyDescent="0.2">
      <c r="A87" s="292" t="s">
        <v>515</v>
      </c>
      <c r="B87" s="66">
        <v>3.49</v>
      </c>
      <c r="C87" s="187">
        <v>3.49</v>
      </c>
      <c r="D87" s="188"/>
    </row>
    <row r="88" spans="1:17" x14ac:dyDescent="0.2">
      <c r="A88" s="292" t="s">
        <v>516</v>
      </c>
      <c r="B88" s="66">
        <v>6.25</v>
      </c>
      <c r="C88" s="187">
        <v>5</v>
      </c>
      <c r="D88" s="188"/>
    </row>
    <row r="89" spans="1:17" x14ac:dyDescent="0.2">
      <c r="A89" s="165" t="s">
        <v>104</v>
      </c>
      <c r="B89" s="66">
        <v>1.65</v>
      </c>
      <c r="C89" s="187">
        <v>1.24</v>
      </c>
      <c r="D89" s="188"/>
    </row>
    <row r="91" spans="1:17" x14ac:dyDescent="0.2">
      <c r="A91" s="1" t="s">
        <v>66</v>
      </c>
      <c r="B91" s="8" t="s">
        <v>67</v>
      </c>
      <c r="C91" s="7">
        <v>2</v>
      </c>
      <c r="D91" s="7">
        <v>3</v>
      </c>
      <c r="E91" s="7">
        <v>4</v>
      </c>
      <c r="F91" s="7">
        <v>5</v>
      </c>
      <c r="G91" s="7">
        <v>6</v>
      </c>
      <c r="H91" s="7">
        <v>7</v>
      </c>
      <c r="I91" s="7">
        <v>8</v>
      </c>
      <c r="J91" s="7">
        <v>9</v>
      </c>
      <c r="K91" s="7">
        <v>10</v>
      </c>
      <c r="L91" s="7">
        <v>11</v>
      </c>
      <c r="M91" s="7">
        <v>12</v>
      </c>
      <c r="N91" s="7">
        <v>13</v>
      </c>
      <c r="O91" s="7">
        <v>14</v>
      </c>
      <c r="P91" s="7">
        <v>15</v>
      </c>
      <c r="Q91" s="7">
        <v>16</v>
      </c>
    </row>
    <row r="92" spans="1:17" x14ac:dyDescent="0.2">
      <c r="A92" s="7" t="s">
        <v>121</v>
      </c>
      <c r="B92" s="7">
        <f>1/1.04</f>
        <v>0.96153846153846145</v>
      </c>
      <c r="C92" s="7">
        <f>B92/1.04</f>
        <v>0.92455621301775137</v>
      </c>
      <c r="D92" s="7">
        <f t="shared" ref="D92:Q92" si="24">C92/1.04</f>
        <v>0.88899635867091475</v>
      </c>
      <c r="E92" s="7">
        <f t="shared" si="24"/>
        <v>0.85480419102972571</v>
      </c>
      <c r="F92" s="7">
        <f t="shared" si="24"/>
        <v>0.82192710675935166</v>
      </c>
      <c r="G92" s="7">
        <f t="shared" si="24"/>
        <v>0.79031452573014582</v>
      </c>
      <c r="H92" s="7">
        <f t="shared" si="24"/>
        <v>0.75991781320206331</v>
      </c>
      <c r="I92" s="7">
        <f t="shared" si="24"/>
        <v>0.73069020500198389</v>
      </c>
      <c r="J92" s="7">
        <f t="shared" si="24"/>
        <v>0.70258673557883067</v>
      </c>
      <c r="K92" s="7">
        <f t="shared" si="24"/>
        <v>0.67556416882579873</v>
      </c>
      <c r="L92" s="7">
        <f t="shared" si="24"/>
        <v>0.64958093156326802</v>
      </c>
      <c r="M92" s="7">
        <f t="shared" si="24"/>
        <v>0.62459704958006534</v>
      </c>
      <c r="N92" s="7">
        <f t="shared" si="24"/>
        <v>0.60057408613467822</v>
      </c>
      <c r="O92" s="7">
        <f t="shared" si="24"/>
        <v>0.57747508282180593</v>
      </c>
      <c r="P92" s="7">
        <f t="shared" si="24"/>
        <v>0.55526450271327488</v>
      </c>
      <c r="Q92" s="7">
        <f t="shared" si="24"/>
        <v>0.53390817568584126</v>
      </c>
    </row>
    <row r="93" spans="1:17" x14ac:dyDescent="0.2">
      <c r="A93" s="7" t="s">
        <v>122</v>
      </c>
      <c r="B93" s="7">
        <f>1/1.05</f>
        <v>0.95238095238095233</v>
      </c>
      <c r="C93" s="7">
        <f>B93/1.05</f>
        <v>0.90702947845804982</v>
      </c>
      <c r="D93" s="7">
        <f t="shared" ref="D93:Q93" si="25">C93/1.05</f>
        <v>0.86383759853147601</v>
      </c>
      <c r="E93" s="7">
        <f t="shared" si="25"/>
        <v>0.82270247479188185</v>
      </c>
      <c r="F93" s="7">
        <f t="shared" si="25"/>
        <v>0.78352616646845885</v>
      </c>
      <c r="G93" s="7">
        <f t="shared" si="25"/>
        <v>0.74621539663662739</v>
      </c>
      <c r="H93" s="7">
        <f t="shared" si="25"/>
        <v>0.71068133013012125</v>
      </c>
      <c r="I93" s="7">
        <f t="shared" si="25"/>
        <v>0.67683936202868689</v>
      </c>
      <c r="J93" s="7">
        <f t="shared" si="25"/>
        <v>0.64460891621779703</v>
      </c>
      <c r="K93" s="7">
        <f t="shared" si="25"/>
        <v>0.6139132535407591</v>
      </c>
      <c r="L93" s="7">
        <f t="shared" si="25"/>
        <v>0.58467928908643718</v>
      </c>
      <c r="M93" s="7">
        <f t="shared" si="25"/>
        <v>0.55683741817755916</v>
      </c>
      <c r="N93" s="7">
        <f t="shared" si="25"/>
        <v>0.5303213506452944</v>
      </c>
      <c r="O93" s="7">
        <f t="shared" si="25"/>
        <v>0.50506795299551843</v>
      </c>
      <c r="P93" s="7">
        <f t="shared" si="25"/>
        <v>0.48101709809096993</v>
      </c>
      <c r="Q93" s="7">
        <f t="shared" si="25"/>
        <v>0.45811152199139993</v>
      </c>
    </row>
    <row r="94" spans="1:17" x14ac:dyDescent="0.2">
      <c r="A94" s="7"/>
      <c r="B94" s="7">
        <v>17</v>
      </c>
      <c r="C94" s="7">
        <v>18</v>
      </c>
      <c r="D94" s="7">
        <v>19</v>
      </c>
      <c r="E94" s="7">
        <v>20</v>
      </c>
      <c r="F94" s="7">
        <v>21</v>
      </c>
      <c r="G94" s="7">
        <v>22</v>
      </c>
      <c r="H94" s="7">
        <v>23</v>
      </c>
      <c r="I94" s="7">
        <v>24</v>
      </c>
      <c r="J94" s="7">
        <v>25</v>
      </c>
      <c r="K94" s="7">
        <v>26</v>
      </c>
      <c r="L94" s="7">
        <v>27</v>
      </c>
      <c r="M94" s="7">
        <v>28</v>
      </c>
      <c r="N94" s="7">
        <v>29</v>
      </c>
      <c r="O94" s="7">
        <v>30</v>
      </c>
    </row>
    <row r="95" spans="1:17" x14ac:dyDescent="0.2">
      <c r="A95" s="7" t="s">
        <v>121</v>
      </c>
      <c r="B95" s="7">
        <f>Q92/1.04</f>
        <v>0.51337324585177047</v>
      </c>
      <c r="C95" s="7">
        <f>B95/1.04</f>
        <v>0.49362812101131776</v>
      </c>
      <c r="D95" s="7">
        <f t="shared" ref="D95:O95" si="26">C95/1.04</f>
        <v>0.47464242404934398</v>
      </c>
      <c r="E95" s="7">
        <f t="shared" si="26"/>
        <v>0.45638694620129228</v>
      </c>
      <c r="F95" s="7">
        <f t="shared" si="26"/>
        <v>0.4388336021166272</v>
      </c>
      <c r="G95" s="7">
        <f t="shared" si="26"/>
        <v>0.42195538665060306</v>
      </c>
      <c r="H95" s="7">
        <f t="shared" si="26"/>
        <v>0.40572633331788754</v>
      </c>
      <c r="I95" s="7">
        <f t="shared" si="26"/>
        <v>0.39012147434412264</v>
      </c>
      <c r="J95" s="7">
        <f t="shared" si="26"/>
        <v>0.37511680225396404</v>
      </c>
      <c r="K95" s="7">
        <f t="shared" si="26"/>
        <v>0.3606892329365039</v>
      </c>
      <c r="L95" s="7">
        <f t="shared" si="26"/>
        <v>0.34681657013125372</v>
      </c>
      <c r="M95" s="7">
        <f t="shared" si="26"/>
        <v>0.33347747128005162</v>
      </c>
      <c r="N95" s="7">
        <f t="shared" si="26"/>
        <v>0.32065141469235731</v>
      </c>
      <c r="O95" s="7">
        <f t="shared" si="26"/>
        <v>0.3083186679734205</v>
      </c>
    </row>
    <row r="96" spans="1:17" x14ac:dyDescent="0.2">
      <c r="A96" s="7" t="s">
        <v>122</v>
      </c>
      <c r="B96" s="7">
        <f>Q93/1.05</f>
        <v>0.43629668761085705</v>
      </c>
      <c r="C96" s="7">
        <f>B96/1.05</f>
        <v>0.41552065486748291</v>
      </c>
      <c r="D96" s="7">
        <f t="shared" ref="D96:O96" si="27">C96/1.05</f>
        <v>0.39573395701665037</v>
      </c>
      <c r="E96" s="7">
        <f t="shared" si="27"/>
        <v>0.37688948287300034</v>
      </c>
      <c r="F96" s="7">
        <f t="shared" si="27"/>
        <v>0.35894236464095269</v>
      </c>
      <c r="G96" s="7">
        <f t="shared" si="27"/>
        <v>0.34184987108662163</v>
      </c>
      <c r="H96" s="7">
        <f t="shared" si="27"/>
        <v>0.32557130579678251</v>
      </c>
      <c r="I96" s="7">
        <f t="shared" si="27"/>
        <v>0.31006791028265002</v>
      </c>
      <c r="J96" s="7">
        <f t="shared" si="27"/>
        <v>0.29530277169776192</v>
      </c>
      <c r="K96" s="7">
        <f t="shared" si="27"/>
        <v>0.28124073495024943</v>
      </c>
      <c r="L96" s="7">
        <f t="shared" si="27"/>
        <v>0.26784831900023753</v>
      </c>
      <c r="M96" s="7">
        <f t="shared" si="27"/>
        <v>0.25509363714308336</v>
      </c>
      <c r="N96" s="7">
        <f t="shared" si="27"/>
        <v>0.2429463210886508</v>
      </c>
      <c r="O96" s="7">
        <f t="shared" si="27"/>
        <v>0.23137744865585791</v>
      </c>
    </row>
    <row r="97" spans="1:6" x14ac:dyDescent="0.2">
      <c r="A97" s="11"/>
      <c r="B97" s="67"/>
      <c r="C97" s="67"/>
      <c r="D97" s="67"/>
      <c r="E97" s="67"/>
      <c r="F97" s="68"/>
    </row>
    <row r="98" spans="1:6" ht="15" x14ac:dyDescent="0.25">
      <c r="A98" s="227" t="s">
        <v>429</v>
      </c>
      <c r="B98"/>
      <c r="C98"/>
      <c r="D98"/>
      <c r="E98"/>
      <c r="F98"/>
    </row>
    <row r="99" spans="1:6" ht="57" x14ac:dyDescent="0.2">
      <c r="A99" s="371" t="s">
        <v>409</v>
      </c>
      <c r="B99" s="371"/>
      <c r="C99" s="245" t="s">
        <v>410</v>
      </c>
      <c r="D99" s="245" t="s">
        <v>411</v>
      </c>
      <c r="E99" s="227"/>
      <c r="F99" s="227"/>
    </row>
    <row r="100" spans="1:6" x14ac:dyDescent="0.2">
      <c r="A100" s="110" t="s">
        <v>412</v>
      </c>
      <c r="B100" s="249">
        <v>1794814</v>
      </c>
      <c r="C100" s="110">
        <v>1.02</v>
      </c>
      <c r="D100" s="110">
        <v>1.1085</v>
      </c>
      <c r="E100" s="227"/>
      <c r="F100" s="246"/>
    </row>
    <row r="101" spans="1:6" x14ac:dyDescent="0.2">
      <c r="A101" s="110" t="s">
        <v>413</v>
      </c>
      <c r="B101" s="109">
        <v>247533</v>
      </c>
      <c r="C101" s="110">
        <v>1.5</v>
      </c>
      <c r="D101" s="110">
        <v>1.1238999999999999</v>
      </c>
      <c r="E101" s="227"/>
      <c r="F101" s="227"/>
    </row>
    <row r="102" spans="1:6" x14ac:dyDescent="0.2">
      <c r="A102" s="110" t="s">
        <v>414</v>
      </c>
      <c r="B102" s="109">
        <v>17689</v>
      </c>
      <c r="C102" s="110">
        <v>3</v>
      </c>
      <c r="D102" s="110">
        <v>1.3153999999999999</v>
      </c>
      <c r="E102" s="227"/>
      <c r="F102" s="227"/>
    </row>
    <row r="103" spans="1:6" x14ac:dyDescent="0.2">
      <c r="A103" s="110" t="s">
        <v>415</v>
      </c>
      <c r="B103" s="109">
        <v>3367</v>
      </c>
      <c r="C103" s="110">
        <v>6</v>
      </c>
      <c r="D103" s="110">
        <v>1</v>
      </c>
      <c r="E103" s="227"/>
      <c r="F103" s="227"/>
    </row>
    <row r="104" spans="1:6" x14ac:dyDescent="0.2">
      <c r="A104" s="227"/>
      <c r="B104" s="227"/>
      <c r="C104" s="227"/>
      <c r="D104" s="227"/>
      <c r="E104" s="227"/>
      <c r="F104" s="227"/>
    </row>
    <row r="105" spans="1:6" x14ac:dyDescent="0.2">
      <c r="A105" s="227" t="s">
        <v>416</v>
      </c>
      <c r="B105" s="227"/>
      <c r="C105" s="227"/>
      <c r="D105" s="227"/>
      <c r="E105" s="227"/>
      <c r="F105" s="227" t="s">
        <v>417</v>
      </c>
    </row>
    <row r="106" spans="1:6" ht="45" customHeight="1" x14ac:dyDescent="0.2">
      <c r="A106" s="110" t="s">
        <v>418</v>
      </c>
      <c r="B106" s="245" t="s">
        <v>419</v>
      </c>
      <c r="C106" s="245" t="s">
        <v>430</v>
      </c>
      <c r="D106" s="245" t="s">
        <v>431</v>
      </c>
      <c r="E106" s="245" t="s">
        <v>415</v>
      </c>
      <c r="F106" s="245" t="s">
        <v>420</v>
      </c>
    </row>
    <row r="107" spans="1:6" x14ac:dyDescent="0.2">
      <c r="A107" s="110" t="s">
        <v>421</v>
      </c>
      <c r="B107" s="110">
        <v>0.40699999999999997</v>
      </c>
      <c r="C107" s="110">
        <v>1.131</v>
      </c>
      <c r="D107" s="110">
        <v>3.6040000000000001</v>
      </c>
      <c r="E107" s="110">
        <v>32.765000000000001</v>
      </c>
      <c r="F107" s="291">
        <v>0.29517613497011708</v>
      </c>
    </row>
    <row r="108" spans="1:6" x14ac:dyDescent="0.2">
      <c r="A108" s="110" t="s">
        <v>422</v>
      </c>
      <c r="B108" s="110">
        <v>0.28699999999999998</v>
      </c>
      <c r="C108" s="110">
        <v>3.5259999999999998</v>
      </c>
      <c r="D108" s="110">
        <v>11.231999999999999</v>
      </c>
      <c r="E108" s="110">
        <v>20.902999999999999</v>
      </c>
      <c r="F108" s="291">
        <v>0.200622184357614</v>
      </c>
    </row>
    <row r="109" spans="1:6" x14ac:dyDescent="0.2">
      <c r="A109" s="110" t="s">
        <v>423</v>
      </c>
      <c r="B109" s="110">
        <v>1.266</v>
      </c>
      <c r="C109" s="110">
        <v>1.9139999999999999</v>
      </c>
      <c r="D109" s="110">
        <v>6.0990000000000002</v>
      </c>
      <c r="E109" s="110">
        <v>19.245999999999999</v>
      </c>
      <c r="F109" s="291">
        <v>1.1398107630148833E-2</v>
      </c>
    </row>
    <row r="110" spans="1:6" x14ac:dyDescent="0.2">
      <c r="A110" s="110" t="s">
        <v>424</v>
      </c>
      <c r="B110" s="110">
        <v>0.28699999999999998</v>
      </c>
      <c r="C110" s="110">
        <v>3.5259999999999998</v>
      </c>
      <c r="D110" s="110">
        <v>11.231999999999999</v>
      </c>
      <c r="E110" s="110">
        <v>20.902999999999999</v>
      </c>
      <c r="F110" s="291">
        <v>4.3643263757115754E-2</v>
      </c>
    </row>
    <row r="111" spans="1:6" x14ac:dyDescent="0.2">
      <c r="A111" s="110" t="s">
        <v>425</v>
      </c>
      <c r="B111" s="110">
        <v>1.3859999999999999</v>
      </c>
      <c r="C111" s="110">
        <v>4.3449999999999998</v>
      </c>
      <c r="D111" s="110">
        <v>13.842000000000001</v>
      </c>
      <c r="E111" s="110">
        <v>24.722999999999999</v>
      </c>
      <c r="F111" s="291">
        <v>0.37229085182460081</v>
      </c>
    </row>
    <row r="112" spans="1:6" x14ac:dyDescent="0.2">
      <c r="A112" s="110" t="s">
        <v>426</v>
      </c>
      <c r="B112" s="110">
        <v>1.202</v>
      </c>
      <c r="C112" s="110">
        <v>6.117</v>
      </c>
      <c r="D112" s="110">
        <v>19.488</v>
      </c>
      <c r="E112" s="110">
        <v>33.075000000000003</v>
      </c>
      <c r="F112" s="291">
        <v>7.6869457460403523E-2</v>
      </c>
    </row>
    <row r="113" spans="1:6" x14ac:dyDescent="0.2">
      <c r="A113" s="227"/>
      <c r="B113" s="227"/>
      <c r="C113" s="227"/>
      <c r="D113" s="227"/>
      <c r="E113" s="227"/>
      <c r="F113" s="227"/>
    </row>
    <row r="114" spans="1:6" x14ac:dyDescent="0.2">
      <c r="A114" s="227"/>
      <c r="B114" s="227"/>
      <c r="C114" s="227"/>
      <c r="D114" s="227"/>
      <c r="E114" s="227"/>
      <c r="F114" s="227"/>
    </row>
    <row r="115" spans="1:6" ht="28.5" x14ac:dyDescent="0.2">
      <c r="A115" s="227"/>
      <c r="B115" s="245" t="s">
        <v>419</v>
      </c>
      <c r="C115" s="245" t="s">
        <v>430</v>
      </c>
      <c r="D115" s="245" t="s">
        <v>431</v>
      </c>
      <c r="E115" s="245" t="s">
        <v>415</v>
      </c>
      <c r="F115" s="227"/>
    </row>
    <row r="116" spans="1:6" x14ac:dyDescent="0.2">
      <c r="A116" s="110" t="s">
        <v>432</v>
      </c>
      <c r="B116" s="110">
        <f>B107*F107+B108*F108+B109*F109+B111*F111+B112*F112</f>
        <v>0.80053746659954284</v>
      </c>
      <c r="C116" s="110">
        <f>C107*F107+C108*F108+C109*F109+C111*F111+C112*F112</f>
        <v>3.1508682311634328</v>
      </c>
      <c r="D116" s="110">
        <f>D107*F107+D108*F108+D109*F109+D111*F111+D112*F112</f>
        <v>10.03800218151777</v>
      </c>
      <c r="E116" s="110">
        <f>E107*F107+E108*F108+E109*F109+E111*F111+E112*F112</f>
        <v>25.831023596535385</v>
      </c>
      <c r="F116" s="110" t="s">
        <v>99</v>
      </c>
    </row>
    <row r="117" spans="1:6" x14ac:dyDescent="0.2">
      <c r="A117" s="110" t="s">
        <v>427</v>
      </c>
      <c r="B117" s="250">
        <f>B100*C100*D100</f>
        <v>2029342.3453800001</v>
      </c>
      <c r="C117" s="250">
        <f>B101*C101*D101</f>
        <v>417303.50804999995</v>
      </c>
      <c r="D117" s="247">
        <f>B102*C102*D102</f>
        <v>69804.3318</v>
      </c>
      <c r="E117" s="247">
        <f>B103*C103*D103</f>
        <v>20202</v>
      </c>
      <c r="F117" s="110"/>
    </row>
    <row r="118" spans="1:6" x14ac:dyDescent="0.2">
      <c r="A118" s="110" t="s">
        <v>433</v>
      </c>
      <c r="B118" s="250">
        <f>B116*B117</f>
        <v>1624564.5800336797</v>
      </c>
      <c r="C118" s="250">
        <f t="shared" ref="C118:E118" si="28">C116*C117</f>
        <v>1314868.3662677987</v>
      </c>
      <c r="D118" s="247">
        <f t="shared" si="28"/>
        <v>700696.03488779021</v>
      </c>
      <c r="E118" s="247">
        <f t="shared" si="28"/>
        <v>521838.33869720786</v>
      </c>
      <c r="F118" s="250">
        <f>SUM(B118:E118)</f>
        <v>4161967.3198864767</v>
      </c>
    </row>
    <row r="119" spans="1:6" x14ac:dyDescent="0.2">
      <c r="A119" s="110" t="s">
        <v>428</v>
      </c>
      <c r="B119" s="110"/>
      <c r="C119" s="110"/>
      <c r="D119" s="110"/>
      <c r="E119" s="110"/>
      <c r="F119" s="248">
        <f>F118/100000</f>
        <v>41.619673198864767</v>
      </c>
    </row>
    <row r="120" spans="1:6" x14ac:dyDescent="0.2">
      <c r="A120" s="258"/>
      <c r="B120" s="258"/>
      <c r="C120" s="258"/>
      <c r="D120" s="258"/>
      <c r="E120" s="258"/>
      <c r="F120" s="332"/>
    </row>
    <row r="121" spans="1:6" x14ac:dyDescent="0.2">
      <c r="A121" s="11"/>
      <c r="B121" s="67"/>
      <c r="C121" s="67"/>
      <c r="D121" s="67"/>
      <c r="E121" s="67"/>
      <c r="F121" s="68"/>
    </row>
    <row r="122" spans="1:6" x14ac:dyDescent="0.2">
      <c r="A122" s="11"/>
      <c r="B122" s="67"/>
      <c r="C122" s="67"/>
      <c r="D122" s="67"/>
      <c r="E122" s="67"/>
      <c r="F122" s="68"/>
    </row>
    <row r="123" spans="1:6" x14ac:dyDescent="0.2">
      <c r="A123" s="11"/>
      <c r="B123" s="67"/>
      <c r="C123" s="67"/>
      <c r="D123" s="67"/>
      <c r="E123" s="67"/>
      <c r="F123" s="68"/>
    </row>
    <row r="124" spans="1:6" x14ac:dyDescent="0.2">
      <c r="A124" s="11"/>
      <c r="B124" s="67"/>
      <c r="C124" s="67"/>
      <c r="D124" s="67"/>
      <c r="E124" s="67"/>
      <c r="F124" s="68"/>
    </row>
    <row r="125" spans="1:6" x14ac:dyDescent="0.2">
      <c r="A125" s="11"/>
      <c r="B125" s="67"/>
      <c r="C125" s="67"/>
      <c r="D125" s="67"/>
      <c r="E125" s="67"/>
      <c r="F125" s="68"/>
    </row>
    <row r="126" spans="1:6" x14ac:dyDescent="0.2">
      <c r="A126" s="11"/>
      <c r="B126" s="67"/>
      <c r="C126" s="67"/>
      <c r="D126" s="67"/>
      <c r="E126" s="67"/>
      <c r="F126" s="68"/>
    </row>
    <row r="127" spans="1:6" x14ac:dyDescent="0.2">
      <c r="A127" s="11"/>
      <c r="B127" s="67"/>
      <c r="C127" s="67"/>
      <c r="D127" s="67"/>
      <c r="E127" s="67"/>
      <c r="F127" s="68"/>
    </row>
    <row r="128" spans="1:6" x14ac:dyDescent="0.2">
      <c r="A128" s="11"/>
      <c r="B128" s="67"/>
      <c r="C128" s="67"/>
      <c r="D128" s="67"/>
      <c r="E128" s="67"/>
      <c r="F128" s="68"/>
    </row>
    <row r="129" spans="1:6" x14ac:dyDescent="0.2">
      <c r="A129" s="11"/>
      <c r="B129" s="67"/>
      <c r="C129" s="67"/>
      <c r="D129" s="67"/>
      <c r="E129" s="67"/>
      <c r="F129" s="68"/>
    </row>
    <row r="130" spans="1:6" x14ac:dyDescent="0.2">
      <c r="A130" s="11"/>
      <c r="B130" s="67"/>
      <c r="C130" s="67"/>
      <c r="D130" s="67"/>
      <c r="E130" s="67"/>
      <c r="F130" s="68"/>
    </row>
    <row r="131" spans="1:6" x14ac:dyDescent="0.2">
      <c r="A131" s="11"/>
      <c r="B131" s="67"/>
      <c r="C131" s="67"/>
      <c r="D131" s="67"/>
      <c r="E131" s="67"/>
      <c r="F131" s="68"/>
    </row>
    <row r="132" spans="1:6" x14ac:dyDescent="0.2">
      <c r="A132" s="11"/>
      <c r="B132" s="67"/>
      <c r="C132" s="67"/>
      <c r="D132" s="67"/>
      <c r="E132" s="67"/>
      <c r="F132" s="68"/>
    </row>
    <row r="133" spans="1:6" x14ac:dyDescent="0.2">
      <c r="A133" s="11"/>
      <c r="B133" s="67"/>
      <c r="C133" s="67"/>
      <c r="D133" s="67"/>
      <c r="E133" s="67"/>
      <c r="F133" s="68"/>
    </row>
    <row r="134" spans="1:6" x14ac:dyDescent="0.2">
      <c r="A134" s="11"/>
      <c r="B134" s="67"/>
      <c r="C134" s="67"/>
      <c r="D134" s="67"/>
      <c r="E134" s="67"/>
      <c r="F134" s="68"/>
    </row>
  </sheetData>
  <mergeCells count="4">
    <mergeCell ref="A40:B40"/>
    <mergeCell ref="A41:B41"/>
    <mergeCell ref="A42:B42"/>
    <mergeCell ref="A99:B99"/>
  </mergeCells>
  <phoneticPr fontId="14" type="noConversion"/>
  <pageMargins left="0.70866141732283472" right="0.70866141732283472" top="0.74803149606299213" bottom="0.74803149606299213" header="0.31496062992125984" footer="0.31496062992125984"/>
  <pageSetup paperSize="9" scale="24" fitToHeight="2" orientation="landscape" r:id="rId1"/>
  <headerFooter>
    <oddHeader xml:space="preserve">&amp;C&amp;"Arial,Normálne"&amp;10ŽSR, dopravný uzol Bratislava - štúdia realizovateľnosti </oddHeader>
    <oddFooter xml:space="preserve">&amp;CŠtúdia realizovateľnosti - Parametre
</oddFooter>
  </headerFooter>
  <rowBreaks count="1" manualBreakCount="1">
    <brk id="13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IL96"/>
  <sheetViews>
    <sheetView zoomScale="85" zoomScaleNormal="85" workbookViewId="0">
      <pane xSplit="1" topLeftCell="B1" activePane="topRight" state="frozen"/>
      <selection activeCell="A58" sqref="A58"/>
      <selection pane="topRight" activeCell="B3" sqref="B3"/>
    </sheetView>
  </sheetViews>
  <sheetFormatPr defaultColWidth="6.140625" defaultRowHeight="14.25" x14ac:dyDescent="0.2"/>
  <cols>
    <col min="1" max="1" width="50.7109375" style="10" customWidth="1"/>
    <col min="2" max="2" width="20.7109375" style="10" customWidth="1"/>
    <col min="3" max="3" width="18.7109375" style="10" customWidth="1"/>
    <col min="4" max="43" width="18.42578125" style="10" customWidth="1"/>
    <col min="44" max="46" width="15.7109375" style="10" customWidth="1"/>
    <col min="47" max="50" width="18.7109375" style="10" customWidth="1"/>
    <col min="51" max="56" width="15.7109375" style="10" customWidth="1"/>
    <col min="57" max="16384" width="6.140625" style="10"/>
  </cols>
  <sheetData>
    <row r="2" spans="1:47" ht="15.75" x14ac:dyDescent="0.25">
      <c r="A2" s="2" t="s">
        <v>23</v>
      </c>
      <c r="I2" s="207"/>
    </row>
    <row r="3" spans="1:47" x14ac:dyDescent="0.2">
      <c r="A3" s="1" t="s">
        <v>0</v>
      </c>
      <c r="J3" s="207"/>
      <c r="L3" s="207"/>
      <c r="O3" s="207"/>
    </row>
    <row r="4" spans="1:47" x14ac:dyDescent="0.2">
      <c r="A4" s="3" t="s">
        <v>1</v>
      </c>
      <c r="B4" s="207"/>
      <c r="D4" s="207"/>
      <c r="E4" s="207"/>
      <c r="F4" s="207"/>
      <c r="G4" s="207"/>
      <c r="H4" s="207"/>
      <c r="I4" s="207" t="s">
        <v>64</v>
      </c>
      <c r="J4" s="207"/>
      <c r="K4" s="207"/>
      <c r="L4" s="207"/>
      <c r="M4" s="207"/>
      <c r="N4" s="269"/>
      <c r="O4" s="207"/>
      <c r="P4" s="207"/>
      <c r="Q4" s="268"/>
      <c r="R4" s="207"/>
      <c r="S4" s="207"/>
      <c r="T4" s="207"/>
      <c r="U4" s="207"/>
      <c r="V4" s="207"/>
      <c r="W4" s="207"/>
      <c r="X4" s="207"/>
    </row>
    <row r="5" spans="1:47" x14ac:dyDescent="0.2">
      <c r="A5" s="40" t="s">
        <v>486</v>
      </c>
      <c r="G5" s="207"/>
      <c r="J5" s="207"/>
      <c r="L5" s="207"/>
      <c r="O5" s="207"/>
      <c r="Q5" s="207"/>
      <c r="V5" s="207"/>
      <c r="Y5" s="207"/>
    </row>
    <row r="6" spans="1:47" s="26" customFormat="1" ht="15" x14ac:dyDescent="0.25">
      <c r="B6" s="208"/>
      <c r="C6" s="256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</row>
    <row r="7" spans="1:47" s="26" customFormat="1" ht="15" x14ac:dyDescent="0.25">
      <c r="B7" s="60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</row>
    <row r="8" spans="1:47" s="26" customFormat="1" x14ac:dyDescent="0.2">
      <c r="A8" s="40" t="s">
        <v>520</v>
      </c>
      <c r="B8" s="209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</row>
    <row r="9" spans="1:47" x14ac:dyDescent="0.2">
      <c r="A9" s="372" t="s">
        <v>491</v>
      </c>
      <c r="B9" s="372"/>
      <c r="C9" s="372"/>
      <c r="D9" s="372"/>
      <c r="E9" s="372"/>
      <c r="F9" s="372"/>
    </row>
    <row r="10" spans="1:47" x14ac:dyDescent="0.2">
      <c r="A10" s="6"/>
      <c r="B10" s="6" t="s">
        <v>20</v>
      </c>
      <c r="C10" s="29" t="s">
        <v>287</v>
      </c>
      <c r="D10" s="36">
        <f>Parametre!B12</f>
        <v>2022</v>
      </c>
      <c r="E10" s="29">
        <f t="shared" ref="E10:M10" si="0">(D10+1)</f>
        <v>2023</v>
      </c>
      <c r="F10" s="29">
        <f t="shared" si="0"/>
        <v>2024</v>
      </c>
      <c r="G10" s="29">
        <f t="shared" si="0"/>
        <v>2025</v>
      </c>
      <c r="H10" s="29">
        <f t="shared" si="0"/>
        <v>2026</v>
      </c>
      <c r="I10" s="29">
        <f t="shared" si="0"/>
        <v>2027</v>
      </c>
      <c r="J10" s="29">
        <f t="shared" si="0"/>
        <v>2028</v>
      </c>
      <c r="K10" s="29">
        <f t="shared" si="0"/>
        <v>2029</v>
      </c>
      <c r="L10" s="29">
        <f t="shared" si="0"/>
        <v>2030</v>
      </c>
      <c r="M10" s="29">
        <f t="shared" si="0"/>
        <v>2031</v>
      </c>
      <c r="N10" s="29">
        <f t="shared" ref="N10" si="1">(M10+1)</f>
        <v>2032</v>
      </c>
      <c r="O10" s="29">
        <f t="shared" ref="O10" si="2">(N10+1)</f>
        <v>2033</v>
      </c>
      <c r="P10" s="29">
        <f t="shared" ref="P10" si="3">(O10+1)</f>
        <v>2034</v>
      </c>
      <c r="Q10" s="29">
        <f t="shared" ref="Q10" si="4">(P10+1)</f>
        <v>2035</v>
      </c>
      <c r="R10" s="29">
        <f t="shared" ref="R10" si="5">(Q10+1)</f>
        <v>2036</v>
      </c>
      <c r="S10" s="29">
        <f t="shared" ref="S10" si="6">(R10+1)</f>
        <v>2037</v>
      </c>
      <c r="T10" s="29">
        <f t="shared" ref="T10" si="7">(S10+1)</f>
        <v>2038</v>
      </c>
      <c r="U10" s="29">
        <f t="shared" ref="U10" si="8">(T10+1)</f>
        <v>2039</v>
      </c>
      <c r="V10" s="29">
        <f t="shared" ref="V10" si="9">(U10+1)</f>
        <v>2040</v>
      </c>
      <c r="W10" s="29">
        <f t="shared" ref="W10" si="10">(V10+1)</f>
        <v>2041</v>
      </c>
      <c r="X10" s="29">
        <f t="shared" ref="X10" si="11">(W10+1)</f>
        <v>2042</v>
      </c>
      <c r="Y10" s="29">
        <f t="shared" ref="Y10" si="12">(X10+1)</f>
        <v>2043</v>
      </c>
      <c r="Z10" s="29">
        <f t="shared" ref="Z10" si="13">(Y10+1)</f>
        <v>2044</v>
      </c>
      <c r="AA10" s="29">
        <f t="shared" ref="AA10" si="14">(Z10+1)</f>
        <v>2045</v>
      </c>
      <c r="AB10" s="29">
        <f t="shared" ref="AB10" si="15">(AA10+1)</f>
        <v>2046</v>
      </c>
      <c r="AC10" s="29">
        <f t="shared" ref="AC10" si="16">(AB10+1)</f>
        <v>2047</v>
      </c>
      <c r="AD10" s="29">
        <f t="shared" ref="AD10" si="17">(AC10+1)</f>
        <v>2048</v>
      </c>
      <c r="AE10" s="29">
        <f t="shared" ref="AE10" si="18">(AD10+1)</f>
        <v>2049</v>
      </c>
      <c r="AF10" s="241">
        <f t="shared" ref="AF10" si="19">(AE10+1)</f>
        <v>2050</v>
      </c>
      <c r="AG10" s="29">
        <f t="shared" ref="AG10" si="20">(AF10+1)</f>
        <v>2051</v>
      </c>
    </row>
    <row r="11" spans="1:47" x14ac:dyDescent="0.2">
      <c r="A11" s="16" t="s">
        <v>22</v>
      </c>
      <c r="B11" s="39" t="s">
        <v>21</v>
      </c>
      <c r="C11" s="94"/>
      <c r="D11" s="95"/>
      <c r="E11" s="95"/>
      <c r="F11" s="95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6"/>
      <c r="X11" s="6"/>
      <c r="Y11" s="237"/>
      <c r="Z11" s="6"/>
      <c r="AA11" s="6"/>
      <c r="AB11" s="6"/>
      <c r="AC11" s="6"/>
      <c r="AD11" s="6"/>
      <c r="AE11" s="6"/>
      <c r="AF11" s="237"/>
      <c r="AG11" s="6"/>
    </row>
    <row r="12" spans="1:47" x14ac:dyDescent="0.2">
      <c r="A12" s="16" t="s">
        <v>72</v>
      </c>
      <c r="B12" s="39">
        <f>SUM(C12:AG12)</f>
        <v>54616419.039999992</v>
      </c>
      <c r="C12" s="94">
        <f>D14*0.095+ 652730</f>
        <v>2890265.57</v>
      </c>
      <c r="D12" s="94">
        <f t="shared" ref="D12:Y12" si="21">E14*0.095</f>
        <v>5992093.8399999999</v>
      </c>
      <c r="E12" s="94">
        <f t="shared" si="21"/>
        <v>6440998.1950000003</v>
      </c>
      <c r="F12" s="94">
        <f t="shared" si="21"/>
        <v>5081924.49</v>
      </c>
      <c r="G12" s="94">
        <f t="shared" si="21"/>
        <v>5803329.0300000003</v>
      </c>
      <c r="H12" s="94">
        <f t="shared" si="21"/>
        <v>6062465.6600000001</v>
      </c>
      <c r="I12" s="94">
        <f t="shared" si="21"/>
        <v>6934265.0800000001</v>
      </c>
      <c r="J12" s="94">
        <f t="shared" si="21"/>
        <v>4622590.18</v>
      </c>
      <c r="K12" s="94">
        <f t="shared" si="21"/>
        <v>4817098.12</v>
      </c>
      <c r="L12" s="94">
        <f t="shared" si="21"/>
        <v>2400500.375</v>
      </c>
      <c r="M12" s="94">
        <f t="shared" si="21"/>
        <v>0</v>
      </c>
      <c r="N12" s="94">
        <f t="shared" si="21"/>
        <v>0</v>
      </c>
      <c r="O12" s="94">
        <f t="shared" si="21"/>
        <v>0</v>
      </c>
      <c r="P12" s="94">
        <f t="shared" si="21"/>
        <v>313023.76500000001</v>
      </c>
      <c r="Q12" s="94">
        <f t="shared" si="21"/>
        <v>366364.17499999999</v>
      </c>
      <c r="R12" s="94">
        <f t="shared" si="21"/>
        <v>847132.38500000001</v>
      </c>
      <c r="S12" s="94">
        <f t="shared" si="21"/>
        <v>312607.66499999998</v>
      </c>
      <c r="T12" s="94">
        <f t="shared" si="21"/>
        <v>351200.37</v>
      </c>
      <c r="U12" s="94">
        <f t="shared" si="21"/>
        <v>0</v>
      </c>
      <c r="V12" s="94">
        <f t="shared" si="21"/>
        <v>420869</v>
      </c>
      <c r="W12" s="94">
        <f t="shared" si="21"/>
        <v>420376.995</v>
      </c>
      <c r="X12" s="94">
        <f t="shared" si="21"/>
        <v>539314.14500000002</v>
      </c>
      <c r="Y12" s="94">
        <f t="shared" si="21"/>
        <v>0</v>
      </c>
      <c r="Z12" s="238">
        <f t="shared" ref="Z12:AG12" si="22">Z14*0.095</f>
        <v>0</v>
      </c>
      <c r="AA12" s="238">
        <f t="shared" si="22"/>
        <v>0</v>
      </c>
      <c r="AB12" s="238">
        <f t="shared" si="22"/>
        <v>0</v>
      </c>
      <c r="AC12" s="238">
        <f t="shared" si="22"/>
        <v>0</v>
      </c>
      <c r="AD12" s="238">
        <f t="shared" si="22"/>
        <v>0</v>
      </c>
      <c r="AE12" s="238">
        <f t="shared" si="22"/>
        <v>0</v>
      </c>
      <c r="AF12" s="238">
        <f t="shared" si="22"/>
        <v>0</v>
      </c>
      <c r="AG12" s="94">
        <f t="shared" si="22"/>
        <v>0</v>
      </c>
    </row>
    <row r="13" spans="1:47" x14ac:dyDescent="0.2">
      <c r="A13" s="16" t="s">
        <v>191</v>
      </c>
      <c r="B13" s="39"/>
      <c r="C13" s="94"/>
      <c r="D13" s="94"/>
      <c r="E13" s="94"/>
      <c r="F13" s="94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6"/>
      <c r="Y13" s="237"/>
      <c r="Z13" s="6"/>
      <c r="AA13" s="6"/>
      <c r="AB13" s="6"/>
      <c r="AC13" s="6"/>
      <c r="AD13" s="6"/>
      <c r="AE13" s="6"/>
      <c r="AF13" s="237"/>
      <c r="AG13" s="6"/>
    </row>
    <row r="14" spans="1:47" x14ac:dyDescent="0.2">
      <c r="A14" s="16" t="s">
        <v>192</v>
      </c>
      <c r="B14" s="39">
        <f>SUM(C14:Y14)</f>
        <v>568038832</v>
      </c>
      <c r="C14" s="94"/>
      <c r="D14" s="94">
        <f>SUM(D15:D26)</f>
        <v>23553006</v>
      </c>
      <c r="E14" s="94">
        <f t="shared" ref="E14:AG14" si="23">SUM(E15:E26)</f>
        <v>63074672</v>
      </c>
      <c r="F14" s="94">
        <f t="shared" si="23"/>
        <v>67799981</v>
      </c>
      <c r="G14" s="94">
        <f t="shared" si="23"/>
        <v>53493942</v>
      </c>
      <c r="H14" s="94">
        <f t="shared" si="23"/>
        <v>61087674</v>
      </c>
      <c r="I14" s="94">
        <f t="shared" si="23"/>
        <v>63815428</v>
      </c>
      <c r="J14" s="94">
        <f t="shared" si="23"/>
        <v>72992264</v>
      </c>
      <c r="K14" s="94">
        <f t="shared" si="23"/>
        <v>48658844</v>
      </c>
      <c r="L14" s="94">
        <f t="shared" si="23"/>
        <v>50706296</v>
      </c>
      <c r="M14" s="94">
        <f t="shared" si="23"/>
        <v>25268425</v>
      </c>
      <c r="N14" s="94">
        <f t="shared" si="23"/>
        <v>0</v>
      </c>
      <c r="O14" s="94">
        <f t="shared" si="23"/>
        <v>0</v>
      </c>
      <c r="P14" s="94">
        <f t="shared" si="23"/>
        <v>0</v>
      </c>
      <c r="Q14" s="94">
        <f t="shared" si="23"/>
        <v>3294987</v>
      </c>
      <c r="R14" s="94">
        <f t="shared" si="23"/>
        <v>3856465</v>
      </c>
      <c r="S14" s="94">
        <f t="shared" si="23"/>
        <v>8917183</v>
      </c>
      <c r="T14" s="94">
        <f t="shared" si="23"/>
        <v>3290607</v>
      </c>
      <c r="U14" s="94">
        <f t="shared" si="23"/>
        <v>3696846</v>
      </c>
      <c r="V14" s="94">
        <f t="shared" si="23"/>
        <v>0</v>
      </c>
      <c r="W14" s="94">
        <f t="shared" si="23"/>
        <v>4430200</v>
      </c>
      <c r="X14" s="94">
        <f t="shared" si="23"/>
        <v>4425021</v>
      </c>
      <c r="Y14" s="94">
        <f t="shared" si="23"/>
        <v>5676991</v>
      </c>
      <c r="Z14" s="94">
        <f t="shared" si="23"/>
        <v>0</v>
      </c>
      <c r="AA14" s="94">
        <f t="shared" si="23"/>
        <v>0</v>
      </c>
      <c r="AB14" s="94">
        <f t="shared" si="23"/>
        <v>0</v>
      </c>
      <c r="AC14" s="94">
        <f t="shared" si="23"/>
        <v>0</v>
      </c>
      <c r="AD14" s="94">
        <f t="shared" si="23"/>
        <v>0</v>
      </c>
      <c r="AE14" s="94">
        <f t="shared" si="23"/>
        <v>0</v>
      </c>
      <c r="AF14" s="94">
        <f t="shared" si="23"/>
        <v>0</v>
      </c>
      <c r="AG14" s="94">
        <f t="shared" si="23"/>
        <v>0</v>
      </c>
      <c r="AH14" s="207"/>
      <c r="AU14" s="207"/>
    </row>
    <row r="15" spans="1:47" x14ac:dyDescent="0.2">
      <c r="A15" s="18" t="s">
        <v>74</v>
      </c>
      <c r="B15" s="39">
        <f t="shared" ref="B15:B26" si="24">SUM(C15:Y15)</f>
        <v>111722880</v>
      </c>
      <c r="C15" s="94"/>
      <c r="D15" s="94">
        <v>2200000</v>
      </c>
      <c r="E15" s="94">
        <v>11541949</v>
      </c>
      <c r="F15" s="38">
        <v>13844390</v>
      </c>
      <c r="G15" s="38">
        <v>11424492</v>
      </c>
      <c r="H15" s="224">
        <v>4468382</v>
      </c>
      <c r="I15" s="38">
        <v>4724091</v>
      </c>
      <c r="J15" s="38">
        <v>16933631</v>
      </c>
      <c r="K15" s="38">
        <v>17440798</v>
      </c>
      <c r="L15" s="38">
        <v>17921715</v>
      </c>
      <c r="M15" s="38">
        <v>6784690</v>
      </c>
      <c r="N15" s="38"/>
      <c r="O15" s="38"/>
      <c r="P15" s="38"/>
      <c r="Q15" s="38">
        <v>1776619</v>
      </c>
      <c r="R15" s="38">
        <v>2662123</v>
      </c>
      <c r="S15" s="38"/>
      <c r="T15" s="38"/>
      <c r="U15" s="38"/>
      <c r="V15" s="38"/>
      <c r="W15" s="38"/>
      <c r="X15" s="38"/>
      <c r="Y15" s="242"/>
      <c r="Z15" s="6"/>
      <c r="AA15" s="6"/>
      <c r="AB15" s="6"/>
      <c r="AC15" s="6"/>
      <c r="AD15" s="6"/>
      <c r="AE15" s="6"/>
      <c r="AF15" s="237"/>
      <c r="AG15" s="6"/>
      <c r="AH15" s="207"/>
      <c r="AU15" s="207"/>
    </row>
    <row r="16" spans="1:47" x14ac:dyDescent="0.2">
      <c r="A16" s="18" t="s">
        <v>73</v>
      </c>
      <c r="B16" s="39">
        <f t="shared" si="24"/>
        <v>36823870</v>
      </c>
      <c r="C16" s="94"/>
      <c r="D16" s="94">
        <v>1550000</v>
      </c>
      <c r="E16" s="224">
        <v>4080098</v>
      </c>
      <c r="F16" s="94">
        <v>3488682</v>
      </c>
      <c r="G16" s="38">
        <v>4651022</v>
      </c>
      <c r="H16" s="38">
        <v>1072809</v>
      </c>
      <c r="I16" s="38">
        <v>3417342</v>
      </c>
      <c r="J16" s="38">
        <v>5207895</v>
      </c>
      <c r="K16" s="38">
        <v>5407178</v>
      </c>
      <c r="L16" s="38">
        <v>6104969</v>
      </c>
      <c r="M16" s="38">
        <v>1843875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242"/>
      <c r="Z16" s="6"/>
      <c r="AA16" s="6"/>
      <c r="AB16" s="6"/>
      <c r="AC16" s="6"/>
      <c r="AD16" s="6"/>
      <c r="AE16" s="6"/>
      <c r="AF16" s="237"/>
      <c r="AG16" s="6"/>
      <c r="AH16" s="207"/>
      <c r="AO16" s="270"/>
      <c r="AU16" s="207"/>
    </row>
    <row r="17" spans="1:47" x14ac:dyDescent="0.2">
      <c r="A17" s="18" t="s">
        <v>193</v>
      </c>
      <c r="B17" s="39">
        <f t="shared" si="24"/>
        <v>71493890</v>
      </c>
      <c r="C17" s="94"/>
      <c r="D17" s="94">
        <v>5050874</v>
      </c>
      <c r="E17" s="94">
        <v>5035406</v>
      </c>
      <c r="F17" s="94">
        <v>5430867</v>
      </c>
      <c r="G17" s="38">
        <v>4499593</v>
      </c>
      <c r="H17" s="38">
        <v>9877519</v>
      </c>
      <c r="I17" s="38">
        <v>9778527</v>
      </c>
      <c r="J17" s="38">
        <v>10892302</v>
      </c>
      <c r="K17" s="38">
        <v>8563540</v>
      </c>
      <c r="L17" s="38">
        <v>7034222</v>
      </c>
      <c r="M17" s="38">
        <v>1476640</v>
      </c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>
        <v>3854400</v>
      </c>
      <c r="Y17" s="242"/>
      <c r="Z17" s="6"/>
      <c r="AA17" s="6"/>
      <c r="AB17" s="6"/>
      <c r="AC17" s="6"/>
      <c r="AD17" s="6"/>
      <c r="AE17" s="6"/>
      <c r="AF17" s="237"/>
      <c r="AG17" s="6"/>
      <c r="AH17" s="207"/>
      <c r="AO17" s="270"/>
      <c r="AU17" s="207"/>
    </row>
    <row r="18" spans="1:47" x14ac:dyDescent="0.2">
      <c r="A18" s="18" t="s">
        <v>76</v>
      </c>
      <c r="B18" s="39">
        <f t="shared" si="24"/>
        <v>175559707</v>
      </c>
      <c r="C18" s="94"/>
      <c r="D18" s="94">
        <v>6241365</v>
      </c>
      <c r="E18" s="94">
        <v>19815401</v>
      </c>
      <c r="F18" s="94">
        <v>27266158</v>
      </c>
      <c r="G18" s="38">
        <v>24009467</v>
      </c>
      <c r="H18" s="38">
        <v>10071846</v>
      </c>
      <c r="I18" s="38">
        <v>12425350</v>
      </c>
      <c r="J18" s="38">
        <v>12483119</v>
      </c>
      <c r="K18" s="38">
        <v>11211306</v>
      </c>
      <c r="L18" s="38">
        <v>13346196</v>
      </c>
      <c r="M18" s="38">
        <v>9615749</v>
      </c>
      <c r="N18" s="38"/>
      <c r="O18" s="38"/>
      <c r="P18" s="38"/>
      <c r="Q18" s="38">
        <v>1518368</v>
      </c>
      <c r="R18" s="38">
        <v>1194342</v>
      </c>
      <c r="S18" s="38">
        <v>8917183</v>
      </c>
      <c r="T18" s="38">
        <v>3290607</v>
      </c>
      <c r="U18" s="38">
        <v>3696846</v>
      </c>
      <c r="V18" s="38"/>
      <c r="W18" s="38">
        <v>4430200</v>
      </c>
      <c r="X18" s="38">
        <v>570621</v>
      </c>
      <c r="Y18" s="242">
        <v>5455583</v>
      </c>
      <c r="Z18" s="6"/>
      <c r="AA18" s="6"/>
      <c r="AB18" s="6"/>
      <c r="AC18" s="6"/>
      <c r="AD18" s="6"/>
      <c r="AE18" s="6"/>
      <c r="AF18" s="237"/>
      <c r="AG18" s="6"/>
      <c r="AH18" s="207"/>
      <c r="AU18" s="207"/>
    </row>
    <row r="19" spans="1:47" x14ac:dyDescent="0.2">
      <c r="A19" s="18" t="s">
        <v>75</v>
      </c>
      <c r="B19" s="39">
        <f t="shared" si="24"/>
        <v>26470234</v>
      </c>
      <c r="C19" s="94"/>
      <c r="D19" s="94">
        <v>848188</v>
      </c>
      <c r="E19" s="94">
        <v>5850559</v>
      </c>
      <c r="F19" s="94">
        <v>2613413</v>
      </c>
      <c r="G19" s="38"/>
      <c r="H19" s="38">
        <v>7946137</v>
      </c>
      <c r="I19" s="38">
        <v>7086126</v>
      </c>
      <c r="J19" s="38">
        <v>2125811</v>
      </c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242"/>
      <c r="Z19" s="6"/>
      <c r="AA19" s="6"/>
      <c r="AB19" s="6"/>
      <c r="AC19" s="6"/>
      <c r="AD19" s="6"/>
      <c r="AE19" s="6"/>
      <c r="AF19" s="237"/>
      <c r="AG19" s="6"/>
      <c r="AH19" s="207"/>
      <c r="AO19" s="207"/>
      <c r="AU19" s="207"/>
    </row>
    <row r="20" spans="1:47" x14ac:dyDescent="0.2">
      <c r="A20" s="18" t="s">
        <v>87</v>
      </c>
      <c r="B20" s="39">
        <f t="shared" si="24"/>
        <v>81141673</v>
      </c>
      <c r="C20" s="94"/>
      <c r="D20" s="94">
        <v>4518631</v>
      </c>
      <c r="E20" s="94">
        <v>9319703</v>
      </c>
      <c r="F20" s="94">
        <v>13315661</v>
      </c>
      <c r="G20" s="38">
        <v>5698805</v>
      </c>
      <c r="H20" s="38">
        <v>13956055</v>
      </c>
      <c r="I20" s="38">
        <v>11876757</v>
      </c>
      <c r="J20" s="38">
        <v>9692570</v>
      </c>
      <c r="K20" s="38">
        <v>5663895</v>
      </c>
      <c r="L20" s="38">
        <v>4300820</v>
      </c>
      <c r="M20" s="38">
        <v>2577368</v>
      </c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242">
        <v>221408</v>
      </c>
      <c r="Z20" s="6"/>
      <c r="AA20" s="6"/>
      <c r="AB20" s="6"/>
      <c r="AC20" s="6"/>
      <c r="AD20" s="6"/>
      <c r="AE20" s="6"/>
      <c r="AF20" s="237"/>
      <c r="AG20" s="6"/>
      <c r="AH20" s="207"/>
      <c r="AL20" s="224"/>
      <c r="AO20" s="207"/>
      <c r="AU20" s="207"/>
    </row>
    <row r="21" spans="1:47" x14ac:dyDescent="0.2">
      <c r="A21" s="19" t="s">
        <v>194</v>
      </c>
      <c r="B21" s="39">
        <f t="shared" si="24"/>
        <v>13720784</v>
      </c>
      <c r="C21" s="94"/>
      <c r="D21" s="94"/>
      <c r="E21" s="94"/>
      <c r="F21" s="94"/>
      <c r="G21" s="38"/>
      <c r="H21" s="38">
        <v>5488313</v>
      </c>
      <c r="I21" s="38">
        <v>4802274</v>
      </c>
      <c r="J21" s="38">
        <v>3430197</v>
      </c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242"/>
      <c r="Z21" s="6"/>
      <c r="AA21" s="6"/>
      <c r="AB21" s="6"/>
      <c r="AC21" s="6"/>
      <c r="AD21" s="6"/>
      <c r="AE21" s="6"/>
      <c r="AF21" s="237"/>
      <c r="AG21" s="6"/>
      <c r="AH21" s="207"/>
      <c r="AU21" s="207"/>
    </row>
    <row r="22" spans="1:47" x14ac:dyDescent="0.2">
      <c r="A22" s="19" t="s">
        <v>195</v>
      </c>
      <c r="B22" s="39">
        <f t="shared" si="24"/>
        <v>10848329</v>
      </c>
      <c r="C22" s="94"/>
      <c r="D22" s="94"/>
      <c r="E22" s="94">
        <v>2155436</v>
      </c>
      <c r="F22" s="94"/>
      <c r="G22" s="38">
        <v>353215</v>
      </c>
      <c r="H22" s="38">
        <v>510709</v>
      </c>
      <c r="I22" s="38">
        <v>2361891</v>
      </c>
      <c r="J22" s="38">
        <v>3668257</v>
      </c>
      <c r="K22" s="38">
        <v>372127</v>
      </c>
      <c r="L22" s="38"/>
      <c r="M22" s="38">
        <v>1426694</v>
      </c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242"/>
      <c r="Z22" s="6"/>
      <c r="AA22" s="6"/>
      <c r="AB22" s="6"/>
      <c r="AC22" s="6"/>
      <c r="AD22" s="6"/>
      <c r="AE22" s="6"/>
      <c r="AF22" s="237"/>
      <c r="AG22" s="6"/>
      <c r="AH22" s="207"/>
      <c r="AU22" s="207"/>
    </row>
    <row r="23" spans="1:47" x14ac:dyDescent="0.2">
      <c r="A23" s="18" t="s">
        <v>77</v>
      </c>
      <c r="B23" s="39">
        <f t="shared" si="24"/>
        <v>16212465</v>
      </c>
      <c r="C23" s="94"/>
      <c r="D23" s="94">
        <v>805860</v>
      </c>
      <c r="E23" s="94">
        <v>1845927</v>
      </c>
      <c r="F23" s="94">
        <v>230473</v>
      </c>
      <c r="G23" s="38">
        <v>1293316</v>
      </c>
      <c r="H23" s="38">
        <v>3865317</v>
      </c>
      <c r="I23" s="38">
        <v>3757518</v>
      </c>
      <c r="J23" s="38">
        <v>3632614</v>
      </c>
      <c r="K23" s="38"/>
      <c r="L23" s="38">
        <v>376068</v>
      </c>
      <c r="M23" s="38">
        <v>405372</v>
      </c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242"/>
      <c r="Z23" s="6"/>
      <c r="AA23" s="6"/>
      <c r="AB23" s="6"/>
      <c r="AC23" s="6"/>
      <c r="AD23" s="6"/>
      <c r="AE23" s="6"/>
      <c r="AF23" s="237"/>
      <c r="AG23" s="6"/>
      <c r="AH23" s="207"/>
      <c r="AL23" s="224"/>
      <c r="AU23" s="207"/>
    </row>
    <row r="24" spans="1:47" x14ac:dyDescent="0.2">
      <c r="A24" s="18" t="s">
        <v>78</v>
      </c>
      <c r="B24" s="39">
        <f t="shared" si="24"/>
        <v>488400</v>
      </c>
      <c r="C24" s="94"/>
      <c r="D24" s="94"/>
      <c r="E24" s="94"/>
      <c r="F24" s="94">
        <v>488400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242"/>
      <c r="Z24" s="6"/>
      <c r="AA24" s="6"/>
      <c r="AB24" s="6"/>
      <c r="AC24" s="6"/>
      <c r="AD24" s="6"/>
      <c r="AE24" s="6"/>
      <c r="AF24" s="237"/>
      <c r="AG24" s="6"/>
      <c r="AH24" s="207"/>
      <c r="AU24" s="207"/>
    </row>
    <row r="25" spans="1:47" x14ac:dyDescent="0.2">
      <c r="A25" s="18" t="s">
        <v>196</v>
      </c>
      <c r="B25" s="39">
        <f t="shared" si="24"/>
        <v>17646606</v>
      </c>
      <c r="C25" s="94"/>
      <c r="D25" s="94">
        <v>2338088</v>
      </c>
      <c r="E25" s="94">
        <v>2807887</v>
      </c>
      <c r="F25" s="94">
        <v>1121937</v>
      </c>
      <c r="G25" s="38">
        <v>487879</v>
      </c>
      <c r="H25" s="38">
        <v>3830587</v>
      </c>
      <c r="I25" s="38">
        <v>2514014</v>
      </c>
      <c r="J25" s="38">
        <v>3408177</v>
      </c>
      <c r="K25" s="38"/>
      <c r="L25" s="38"/>
      <c r="M25" s="38">
        <v>1138037</v>
      </c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242"/>
      <c r="Z25" s="6"/>
      <c r="AA25" s="6"/>
      <c r="AB25" s="6"/>
      <c r="AC25" s="6"/>
      <c r="AD25" s="6"/>
      <c r="AE25" s="6"/>
      <c r="AF25" s="237"/>
      <c r="AG25" s="6"/>
      <c r="AH25" s="207"/>
      <c r="AO25" s="207"/>
      <c r="AU25" s="207"/>
    </row>
    <row r="26" spans="1:47" x14ac:dyDescent="0.2">
      <c r="A26" s="18" t="s">
        <v>448</v>
      </c>
      <c r="B26" s="39">
        <f t="shared" si="24"/>
        <v>5909994</v>
      </c>
      <c r="C26" s="94"/>
      <c r="D26" s="94"/>
      <c r="E26" s="94">
        <v>622306</v>
      </c>
      <c r="F26" s="94"/>
      <c r="G26" s="38">
        <v>1076153</v>
      </c>
      <c r="H26" s="38"/>
      <c r="I26" s="38">
        <v>1071538</v>
      </c>
      <c r="J26" s="38">
        <v>1517691</v>
      </c>
      <c r="K26" s="38"/>
      <c r="L26" s="38">
        <v>1622306</v>
      </c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242"/>
      <c r="Z26" s="6"/>
      <c r="AA26" s="6"/>
      <c r="AB26" s="6"/>
      <c r="AC26" s="6"/>
      <c r="AD26" s="6"/>
      <c r="AE26" s="6"/>
      <c r="AF26" s="237"/>
      <c r="AG26" s="6"/>
      <c r="AH26" s="207"/>
      <c r="AU26" s="207"/>
    </row>
    <row r="27" spans="1:47" x14ac:dyDescent="0.2">
      <c r="A27" s="6" t="s">
        <v>197</v>
      </c>
      <c r="B27" s="39">
        <f>SUM(C27:AG27)</f>
        <v>25561747.440000001</v>
      </c>
      <c r="C27" s="39">
        <f>C14*0.045</f>
        <v>0</v>
      </c>
      <c r="D27" s="39">
        <f>D14*0.045</f>
        <v>1059885.27</v>
      </c>
      <c r="E27" s="39">
        <f>E14*0.045</f>
        <v>2838360.2399999998</v>
      </c>
      <c r="F27" s="39">
        <f t="shared" ref="F27:AG27" si="25">F14*0.045</f>
        <v>3050999.145</v>
      </c>
      <c r="G27" s="39">
        <f t="shared" si="25"/>
        <v>2407227.39</v>
      </c>
      <c r="H27" s="39">
        <f t="shared" si="25"/>
        <v>2748945.33</v>
      </c>
      <c r="I27" s="39">
        <f t="shared" si="25"/>
        <v>2871694.26</v>
      </c>
      <c r="J27" s="39">
        <f t="shared" si="25"/>
        <v>3284651.88</v>
      </c>
      <c r="K27" s="39">
        <f t="shared" si="25"/>
        <v>2189647.98</v>
      </c>
      <c r="L27" s="39">
        <f t="shared" si="25"/>
        <v>2281783.3199999998</v>
      </c>
      <c r="M27" s="39">
        <f t="shared" si="25"/>
        <v>1137079.125</v>
      </c>
      <c r="N27" s="39">
        <f t="shared" si="25"/>
        <v>0</v>
      </c>
      <c r="O27" s="39">
        <f t="shared" si="25"/>
        <v>0</v>
      </c>
      <c r="P27" s="39">
        <f t="shared" si="25"/>
        <v>0</v>
      </c>
      <c r="Q27" s="39">
        <f t="shared" si="25"/>
        <v>148274.41500000001</v>
      </c>
      <c r="R27" s="39">
        <f t="shared" si="25"/>
        <v>173540.92499999999</v>
      </c>
      <c r="S27" s="39">
        <f t="shared" si="25"/>
        <v>401273.23499999999</v>
      </c>
      <c r="T27" s="39">
        <f t="shared" si="25"/>
        <v>148077.315</v>
      </c>
      <c r="U27" s="39">
        <f t="shared" si="25"/>
        <v>166358.07</v>
      </c>
      <c r="V27" s="39">
        <f t="shared" si="25"/>
        <v>0</v>
      </c>
      <c r="W27" s="39">
        <f t="shared" si="25"/>
        <v>199359</v>
      </c>
      <c r="X27" s="39">
        <f t="shared" si="25"/>
        <v>199125.94500000001</v>
      </c>
      <c r="Y27" s="39">
        <f t="shared" si="25"/>
        <v>255464.595</v>
      </c>
      <c r="Z27" s="39">
        <f t="shared" si="25"/>
        <v>0</v>
      </c>
      <c r="AA27" s="39">
        <f t="shared" si="25"/>
        <v>0</v>
      </c>
      <c r="AB27" s="39">
        <f t="shared" si="25"/>
        <v>0</v>
      </c>
      <c r="AC27" s="39">
        <f t="shared" si="25"/>
        <v>0</v>
      </c>
      <c r="AD27" s="39">
        <f t="shared" si="25"/>
        <v>0</v>
      </c>
      <c r="AE27" s="39">
        <f t="shared" si="25"/>
        <v>0</v>
      </c>
      <c r="AF27" s="39">
        <f t="shared" si="25"/>
        <v>0</v>
      </c>
      <c r="AG27" s="39">
        <f t="shared" si="25"/>
        <v>0</v>
      </c>
    </row>
    <row r="28" spans="1:47" x14ac:dyDescent="0.2">
      <c r="A28" s="6" t="s">
        <v>198</v>
      </c>
      <c r="B28" s="39">
        <f>SUM(C28:AG28)</f>
        <v>5680388.3200000012</v>
      </c>
      <c r="C28" s="39">
        <f t="shared" ref="C28:M28" si="26">C14*0.01</f>
        <v>0</v>
      </c>
      <c r="D28" s="39">
        <f t="shared" si="26"/>
        <v>235530.06</v>
      </c>
      <c r="E28" s="39">
        <f t="shared" si="26"/>
        <v>630746.72</v>
      </c>
      <c r="F28" s="39">
        <f t="shared" si="26"/>
        <v>677999.81</v>
      </c>
      <c r="G28" s="39">
        <f t="shared" si="26"/>
        <v>534939.42000000004</v>
      </c>
      <c r="H28" s="39">
        <f t="shared" si="26"/>
        <v>610876.74</v>
      </c>
      <c r="I28" s="39">
        <f t="shared" si="26"/>
        <v>638154.28</v>
      </c>
      <c r="J28" s="39">
        <f t="shared" si="26"/>
        <v>729922.64</v>
      </c>
      <c r="K28" s="39">
        <f t="shared" si="26"/>
        <v>486588.44</v>
      </c>
      <c r="L28" s="39">
        <f t="shared" si="26"/>
        <v>507062.96</v>
      </c>
      <c r="M28" s="39">
        <f t="shared" si="26"/>
        <v>252684.25</v>
      </c>
      <c r="N28" s="39">
        <f t="shared" ref="N28:V28" si="27">N14*0.01</f>
        <v>0</v>
      </c>
      <c r="O28" s="39">
        <f t="shared" si="27"/>
        <v>0</v>
      </c>
      <c r="P28" s="39">
        <f t="shared" si="27"/>
        <v>0</v>
      </c>
      <c r="Q28" s="39">
        <f t="shared" si="27"/>
        <v>32949.870000000003</v>
      </c>
      <c r="R28" s="39">
        <f t="shared" si="27"/>
        <v>38564.65</v>
      </c>
      <c r="S28" s="39">
        <f t="shared" si="27"/>
        <v>89171.83</v>
      </c>
      <c r="T28" s="39">
        <f t="shared" si="27"/>
        <v>32906.07</v>
      </c>
      <c r="U28" s="39">
        <f t="shared" si="27"/>
        <v>36968.46</v>
      </c>
      <c r="V28" s="39">
        <f t="shared" si="27"/>
        <v>0</v>
      </c>
      <c r="W28" s="39">
        <f t="shared" ref="W28:Y28" si="28">W14*0.01</f>
        <v>44302</v>
      </c>
      <c r="X28" s="39">
        <f t="shared" si="28"/>
        <v>44250.21</v>
      </c>
      <c r="Y28" s="239">
        <f t="shared" si="28"/>
        <v>56769.91</v>
      </c>
      <c r="Z28" s="239">
        <f t="shared" ref="Z28:AG28" si="29">Z14*0.01</f>
        <v>0</v>
      </c>
      <c r="AA28" s="239">
        <f t="shared" si="29"/>
        <v>0</v>
      </c>
      <c r="AB28" s="239">
        <f t="shared" si="29"/>
        <v>0</v>
      </c>
      <c r="AC28" s="239">
        <f t="shared" si="29"/>
        <v>0</v>
      </c>
      <c r="AD28" s="239">
        <f t="shared" si="29"/>
        <v>0</v>
      </c>
      <c r="AE28" s="239">
        <f t="shared" si="29"/>
        <v>0</v>
      </c>
      <c r="AF28" s="239">
        <f t="shared" si="29"/>
        <v>0</v>
      </c>
      <c r="AG28" s="39">
        <f t="shared" si="29"/>
        <v>0</v>
      </c>
    </row>
    <row r="29" spans="1:47" x14ac:dyDescent="0.2">
      <c r="A29" s="16" t="s">
        <v>199</v>
      </c>
      <c r="B29" s="39">
        <f>B12+B13+B14+B27+B28</f>
        <v>653897386.80000007</v>
      </c>
      <c r="C29" s="39">
        <f t="shared" ref="C29:M29" si="30">C12+C13+C14+C27+C28</f>
        <v>2890265.57</v>
      </c>
      <c r="D29" s="39">
        <f t="shared" si="30"/>
        <v>30840515.169999998</v>
      </c>
      <c r="E29" s="39">
        <f t="shared" si="30"/>
        <v>72984777.154999986</v>
      </c>
      <c r="F29" s="39">
        <f t="shared" si="30"/>
        <v>76610904.444999993</v>
      </c>
      <c r="G29" s="39">
        <f t="shared" si="30"/>
        <v>62239437.840000004</v>
      </c>
      <c r="H29" s="39">
        <f t="shared" si="30"/>
        <v>70509961.729999989</v>
      </c>
      <c r="I29" s="39">
        <f t="shared" si="30"/>
        <v>74259541.620000005</v>
      </c>
      <c r="J29" s="39">
        <f t="shared" si="30"/>
        <v>81629428.700000003</v>
      </c>
      <c r="K29" s="39">
        <f t="shared" si="30"/>
        <v>56152178.539999992</v>
      </c>
      <c r="L29" s="39">
        <f t="shared" si="30"/>
        <v>55895642.655000001</v>
      </c>
      <c r="M29" s="39">
        <f t="shared" si="30"/>
        <v>26658188.375</v>
      </c>
      <c r="N29" s="39">
        <f t="shared" ref="N29:V29" si="31">N12+N13+N14+N27+N28</f>
        <v>0</v>
      </c>
      <c r="O29" s="39">
        <f t="shared" si="31"/>
        <v>0</v>
      </c>
      <c r="P29" s="39">
        <f t="shared" si="31"/>
        <v>313023.76500000001</v>
      </c>
      <c r="Q29" s="39">
        <f t="shared" si="31"/>
        <v>3842575.46</v>
      </c>
      <c r="R29" s="39">
        <f t="shared" si="31"/>
        <v>4915702.96</v>
      </c>
      <c r="S29" s="39">
        <f t="shared" si="31"/>
        <v>9720235.7299999986</v>
      </c>
      <c r="T29" s="39">
        <f t="shared" si="31"/>
        <v>3822790.7549999999</v>
      </c>
      <c r="U29" s="39">
        <f t="shared" si="31"/>
        <v>3900172.53</v>
      </c>
      <c r="V29" s="39">
        <f t="shared" si="31"/>
        <v>420869</v>
      </c>
      <c r="W29" s="39">
        <f t="shared" ref="W29:Y29" si="32">W12+W13+W14+W27+W28</f>
        <v>5094237.9950000001</v>
      </c>
      <c r="X29" s="39">
        <f t="shared" si="32"/>
        <v>5207711.3</v>
      </c>
      <c r="Y29" s="239">
        <f t="shared" si="32"/>
        <v>5989225.5049999999</v>
      </c>
      <c r="Z29" s="239">
        <f t="shared" ref="Z29:AG29" si="33">Z12+Z13+Z14+Z27+Z28</f>
        <v>0</v>
      </c>
      <c r="AA29" s="239">
        <f t="shared" si="33"/>
        <v>0</v>
      </c>
      <c r="AB29" s="239">
        <f t="shared" si="33"/>
        <v>0</v>
      </c>
      <c r="AC29" s="239">
        <f t="shared" si="33"/>
        <v>0</v>
      </c>
      <c r="AD29" s="239">
        <f t="shared" si="33"/>
        <v>0</v>
      </c>
      <c r="AE29" s="239">
        <f t="shared" si="33"/>
        <v>0</v>
      </c>
      <c r="AF29" s="239">
        <f t="shared" si="33"/>
        <v>0</v>
      </c>
      <c r="AG29" s="39">
        <f t="shared" si="33"/>
        <v>0</v>
      </c>
    </row>
    <row r="30" spans="1:47" x14ac:dyDescent="0.2">
      <c r="A30" s="10" t="s">
        <v>79</v>
      </c>
      <c r="B30" s="39">
        <f>SUM(C30:AG30)</f>
        <v>56803883.20000001</v>
      </c>
      <c r="C30" s="39">
        <f t="shared" ref="C30:M30" si="34">C14*0.1</f>
        <v>0</v>
      </c>
      <c r="D30" s="39">
        <f t="shared" si="34"/>
        <v>2355300.6</v>
      </c>
      <c r="E30" s="39">
        <f t="shared" si="34"/>
        <v>6307467.2000000002</v>
      </c>
      <c r="F30" s="39">
        <f t="shared" si="34"/>
        <v>6779998.1000000006</v>
      </c>
      <c r="G30" s="39">
        <f t="shared" si="34"/>
        <v>5349394.2</v>
      </c>
      <c r="H30" s="39">
        <f t="shared" si="34"/>
        <v>6108767.4000000004</v>
      </c>
      <c r="I30" s="39">
        <f t="shared" si="34"/>
        <v>6381542.8000000007</v>
      </c>
      <c r="J30" s="39">
        <f t="shared" si="34"/>
        <v>7299226.4000000004</v>
      </c>
      <c r="K30" s="39">
        <f t="shared" si="34"/>
        <v>4865884.4000000004</v>
      </c>
      <c r="L30" s="39">
        <f t="shared" si="34"/>
        <v>5070629.6000000006</v>
      </c>
      <c r="M30" s="39">
        <f t="shared" si="34"/>
        <v>2526842.5</v>
      </c>
      <c r="N30" s="39">
        <f t="shared" ref="N30:V30" si="35">N14*0.1</f>
        <v>0</v>
      </c>
      <c r="O30" s="39">
        <f t="shared" si="35"/>
        <v>0</v>
      </c>
      <c r="P30" s="39">
        <f t="shared" si="35"/>
        <v>0</v>
      </c>
      <c r="Q30" s="39">
        <f t="shared" si="35"/>
        <v>329498.7</v>
      </c>
      <c r="R30" s="39">
        <f t="shared" si="35"/>
        <v>385646.5</v>
      </c>
      <c r="S30" s="39">
        <f t="shared" si="35"/>
        <v>891718.3</v>
      </c>
      <c r="T30" s="39">
        <f t="shared" si="35"/>
        <v>329060.7</v>
      </c>
      <c r="U30" s="39">
        <f t="shared" si="35"/>
        <v>369684.60000000003</v>
      </c>
      <c r="V30" s="39">
        <f t="shared" si="35"/>
        <v>0</v>
      </c>
      <c r="W30" s="39">
        <f t="shared" ref="W30:Y30" si="36">W14*0.1</f>
        <v>443020</v>
      </c>
      <c r="X30" s="39">
        <f t="shared" si="36"/>
        <v>442502.10000000003</v>
      </c>
      <c r="Y30" s="239">
        <f t="shared" si="36"/>
        <v>567699.1</v>
      </c>
      <c r="Z30" s="239">
        <f t="shared" ref="Z30:AG30" si="37">Z14*0.1</f>
        <v>0</v>
      </c>
      <c r="AA30" s="239">
        <f t="shared" si="37"/>
        <v>0</v>
      </c>
      <c r="AB30" s="239">
        <f t="shared" si="37"/>
        <v>0</v>
      </c>
      <c r="AC30" s="239">
        <f t="shared" si="37"/>
        <v>0</v>
      </c>
      <c r="AD30" s="239">
        <f t="shared" si="37"/>
        <v>0</v>
      </c>
      <c r="AE30" s="239">
        <f t="shared" si="37"/>
        <v>0</v>
      </c>
      <c r="AF30" s="239">
        <f t="shared" si="37"/>
        <v>0</v>
      </c>
      <c r="AG30" s="39">
        <f t="shared" si="37"/>
        <v>0</v>
      </c>
    </row>
    <row r="31" spans="1:47" x14ac:dyDescent="0.2">
      <c r="A31" s="16" t="s">
        <v>200</v>
      </c>
      <c r="B31" s="39">
        <f>B29+B30</f>
        <v>710701270.00000012</v>
      </c>
      <c r="C31" s="39">
        <f t="shared" ref="C31:M31" si="38">C29+C30</f>
        <v>2890265.57</v>
      </c>
      <c r="D31" s="39">
        <f t="shared" si="38"/>
        <v>33195815.77</v>
      </c>
      <c r="E31" s="39">
        <f t="shared" si="38"/>
        <v>79292244.354999989</v>
      </c>
      <c r="F31" s="39">
        <f t="shared" si="38"/>
        <v>83390902.544999987</v>
      </c>
      <c r="G31" s="39">
        <f t="shared" si="38"/>
        <v>67588832.040000007</v>
      </c>
      <c r="H31" s="39">
        <f t="shared" si="38"/>
        <v>76618729.129999995</v>
      </c>
      <c r="I31" s="39">
        <f t="shared" si="38"/>
        <v>80641084.420000002</v>
      </c>
      <c r="J31" s="39">
        <f t="shared" si="38"/>
        <v>88928655.100000009</v>
      </c>
      <c r="K31" s="39">
        <f t="shared" si="38"/>
        <v>61018062.93999999</v>
      </c>
      <c r="L31" s="39">
        <f t="shared" si="38"/>
        <v>60966272.255000003</v>
      </c>
      <c r="M31" s="39">
        <f t="shared" si="38"/>
        <v>29185030.875</v>
      </c>
      <c r="N31" s="39">
        <f t="shared" ref="N31:V31" si="39">N29+N30</f>
        <v>0</v>
      </c>
      <c r="O31" s="39">
        <f t="shared" si="39"/>
        <v>0</v>
      </c>
      <c r="P31" s="39">
        <f t="shared" si="39"/>
        <v>313023.76500000001</v>
      </c>
      <c r="Q31" s="39">
        <f t="shared" si="39"/>
        <v>4172074.16</v>
      </c>
      <c r="R31" s="39">
        <f t="shared" si="39"/>
        <v>5301349.46</v>
      </c>
      <c r="S31" s="39">
        <f t="shared" si="39"/>
        <v>10611954.029999999</v>
      </c>
      <c r="T31" s="39">
        <f t="shared" si="39"/>
        <v>4151851.4550000001</v>
      </c>
      <c r="U31" s="39">
        <f t="shared" si="39"/>
        <v>4269857.13</v>
      </c>
      <c r="V31" s="39">
        <f t="shared" si="39"/>
        <v>420869</v>
      </c>
      <c r="W31" s="39">
        <f t="shared" ref="W31:Y31" si="40">W29+W30</f>
        <v>5537257.9950000001</v>
      </c>
      <c r="X31" s="39">
        <f t="shared" si="40"/>
        <v>5650213.3999999994</v>
      </c>
      <c r="Y31" s="239">
        <f t="shared" si="40"/>
        <v>6556924.6049999995</v>
      </c>
      <c r="Z31" s="239">
        <f t="shared" ref="Z31:AG31" si="41">Z29+Z30</f>
        <v>0</v>
      </c>
      <c r="AA31" s="239">
        <f t="shared" si="41"/>
        <v>0</v>
      </c>
      <c r="AB31" s="239">
        <f t="shared" si="41"/>
        <v>0</v>
      </c>
      <c r="AC31" s="239">
        <f t="shared" si="41"/>
        <v>0</v>
      </c>
      <c r="AD31" s="239">
        <f t="shared" si="41"/>
        <v>0</v>
      </c>
      <c r="AE31" s="239">
        <f t="shared" si="41"/>
        <v>0</v>
      </c>
      <c r="AF31" s="239">
        <f t="shared" si="41"/>
        <v>0</v>
      </c>
      <c r="AG31" s="39">
        <f t="shared" si="41"/>
        <v>0</v>
      </c>
    </row>
    <row r="32" spans="1:47" x14ac:dyDescent="0.2">
      <c r="A32" s="16" t="s">
        <v>80</v>
      </c>
      <c r="B32" s="39">
        <f>(B31-B13)*0.2</f>
        <v>142140254.00000003</v>
      </c>
      <c r="C32" s="39">
        <f t="shared" ref="C32" si="42">(C31-C13)*0.2</f>
        <v>578053.11399999994</v>
      </c>
      <c r="D32" s="39">
        <f t="shared" ref="D32:M32" si="43">(D31-D13)*0.2</f>
        <v>6639163.1540000001</v>
      </c>
      <c r="E32" s="39">
        <f t="shared" si="43"/>
        <v>15858448.870999999</v>
      </c>
      <c r="F32" s="39">
        <f t="shared" si="43"/>
        <v>16678180.508999998</v>
      </c>
      <c r="G32" s="39">
        <f t="shared" si="43"/>
        <v>13517766.408000002</v>
      </c>
      <c r="H32" s="39">
        <f t="shared" si="43"/>
        <v>15323745.825999999</v>
      </c>
      <c r="I32" s="39">
        <f t="shared" si="43"/>
        <v>16128216.884000001</v>
      </c>
      <c r="J32" s="39">
        <f t="shared" si="43"/>
        <v>17785731.020000003</v>
      </c>
      <c r="K32" s="39">
        <f t="shared" si="43"/>
        <v>12203612.588</v>
      </c>
      <c r="L32" s="39">
        <f t="shared" si="43"/>
        <v>12193254.451000001</v>
      </c>
      <c r="M32" s="39">
        <f t="shared" si="43"/>
        <v>5837006.1750000007</v>
      </c>
      <c r="N32" s="39">
        <f t="shared" ref="N32:V32" si="44">(N31-N13)*0.2</f>
        <v>0</v>
      </c>
      <c r="O32" s="39">
        <f t="shared" si="44"/>
        <v>0</v>
      </c>
      <c r="P32" s="39">
        <f t="shared" si="44"/>
        <v>62604.753000000004</v>
      </c>
      <c r="Q32" s="39">
        <f t="shared" si="44"/>
        <v>834414.83200000005</v>
      </c>
      <c r="R32" s="39">
        <f t="shared" si="44"/>
        <v>1060269.892</v>
      </c>
      <c r="S32" s="39">
        <f t="shared" si="44"/>
        <v>2122390.8059999999</v>
      </c>
      <c r="T32" s="39">
        <f t="shared" si="44"/>
        <v>830370.29100000008</v>
      </c>
      <c r="U32" s="39">
        <f t="shared" si="44"/>
        <v>853971.42599999998</v>
      </c>
      <c r="V32" s="39">
        <f t="shared" si="44"/>
        <v>84173.8</v>
      </c>
      <c r="W32" s="39">
        <f t="shared" ref="W32:Y32" si="45">(W31-W13)*0.2</f>
        <v>1107451.5990000002</v>
      </c>
      <c r="X32" s="39">
        <f t="shared" si="45"/>
        <v>1130042.68</v>
      </c>
      <c r="Y32" s="239">
        <f t="shared" si="45"/>
        <v>1311384.9210000001</v>
      </c>
      <c r="Z32" s="239">
        <f t="shared" ref="Z32:AG32" si="46">(Z31-Z13)*0.2</f>
        <v>0</v>
      </c>
      <c r="AA32" s="239">
        <f t="shared" si="46"/>
        <v>0</v>
      </c>
      <c r="AB32" s="239">
        <f t="shared" si="46"/>
        <v>0</v>
      </c>
      <c r="AC32" s="239">
        <f t="shared" si="46"/>
        <v>0</v>
      </c>
      <c r="AD32" s="239">
        <f t="shared" si="46"/>
        <v>0</v>
      </c>
      <c r="AE32" s="239">
        <f t="shared" si="46"/>
        <v>0</v>
      </c>
      <c r="AF32" s="239">
        <f t="shared" si="46"/>
        <v>0</v>
      </c>
      <c r="AG32" s="39">
        <f t="shared" si="46"/>
        <v>0</v>
      </c>
    </row>
    <row r="33" spans="1:246" x14ac:dyDescent="0.2">
      <c r="A33" s="102" t="s">
        <v>201</v>
      </c>
      <c r="B33" s="103">
        <f>B31+B32</f>
        <v>852841524.00000012</v>
      </c>
      <c r="C33" s="103">
        <f t="shared" ref="C33" si="47">C31+C32</f>
        <v>3468318.6839999999</v>
      </c>
      <c r="D33" s="103">
        <f t="shared" ref="D33:M33" si="48">D31+D32</f>
        <v>39834978.924000002</v>
      </c>
      <c r="E33" s="103">
        <f t="shared" si="48"/>
        <v>95150693.225999981</v>
      </c>
      <c r="F33" s="103">
        <f t="shared" si="48"/>
        <v>100069083.05399999</v>
      </c>
      <c r="G33" s="103">
        <f t="shared" si="48"/>
        <v>81106598.448000014</v>
      </c>
      <c r="H33" s="103">
        <f t="shared" si="48"/>
        <v>91942474.956</v>
      </c>
      <c r="I33" s="103">
        <f t="shared" si="48"/>
        <v>96769301.304000005</v>
      </c>
      <c r="J33" s="103">
        <f t="shared" si="48"/>
        <v>106714386.12</v>
      </c>
      <c r="K33" s="103">
        <f t="shared" si="48"/>
        <v>73221675.527999997</v>
      </c>
      <c r="L33" s="103">
        <f t="shared" si="48"/>
        <v>73159526.706</v>
      </c>
      <c r="M33" s="103">
        <f t="shared" si="48"/>
        <v>35022037.049999997</v>
      </c>
      <c r="N33" s="103">
        <f t="shared" ref="N33:V33" si="49">N31+N32</f>
        <v>0</v>
      </c>
      <c r="O33" s="103">
        <f t="shared" si="49"/>
        <v>0</v>
      </c>
      <c r="P33" s="103">
        <f t="shared" si="49"/>
        <v>375628.51800000004</v>
      </c>
      <c r="Q33" s="103">
        <f t="shared" si="49"/>
        <v>5006488.9920000006</v>
      </c>
      <c r="R33" s="103">
        <f t="shared" si="49"/>
        <v>6361619.352</v>
      </c>
      <c r="S33" s="103">
        <f t="shared" si="49"/>
        <v>12734344.835999999</v>
      </c>
      <c r="T33" s="103">
        <f t="shared" si="49"/>
        <v>4982221.7460000003</v>
      </c>
      <c r="U33" s="103">
        <f t="shared" si="49"/>
        <v>5123828.5559999999</v>
      </c>
      <c r="V33" s="103">
        <f t="shared" si="49"/>
        <v>505042.8</v>
      </c>
      <c r="W33" s="103">
        <f t="shared" ref="W33:Y33" si="50">W31+W32</f>
        <v>6644709.5940000005</v>
      </c>
      <c r="X33" s="103">
        <f t="shared" si="50"/>
        <v>6780256.0799999991</v>
      </c>
      <c r="Y33" s="240">
        <f t="shared" si="50"/>
        <v>7868309.5259999996</v>
      </c>
      <c r="Z33" s="240">
        <f t="shared" ref="Z33:AG33" si="51">Z31+Z32</f>
        <v>0</v>
      </c>
      <c r="AA33" s="240">
        <f t="shared" si="51"/>
        <v>0</v>
      </c>
      <c r="AB33" s="240">
        <f t="shared" si="51"/>
        <v>0</v>
      </c>
      <c r="AC33" s="240">
        <f t="shared" si="51"/>
        <v>0</v>
      </c>
      <c r="AD33" s="240">
        <f t="shared" si="51"/>
        <v>0</v>
      </c>
      <c r="AE33" s="240">
        <f t="shared" si="51"/>
        <v>0</v>
      </c>
      <c r="AF33" s="240">
        <f t="shared" si="51"/>
        <v>0</v>
      </c>
      <c r="AG33" s="39">
        <f t="shared" si="51"/>
        <v>0</v>
      </c>
    </row>
    <row r="34" spans="1:246" s="6" customFormat="1" x14ac:dyDescent="0.2">
      <c r="A34" s="16" t="s">
        <v>202</v>
      </c>
      <c r="B34" s="39">
        <f>B31-B30</f>
        <v>653897386.80000007</v>
      </c>
      <c r="C34" s="39">
        <f t="shared" ref="C34" si="52">C29-C13</f>
        <v>2890265.57</v>
      </c>
      <c r="D34" s="39">
        <f t="shared" ref="D34:M34" si="53">D29-D13</f>
        <v>30840515.169999998</v>
      </c>
      <c r="E34" s="39">
        <f t="shared" si="53"/>
        <v>72984777.154999986</v>
      </c>
      <c r="F34" s="39">
        <f t="shared" si="53"/>
        <v>76610904.444999993</v>
      </c>
      <c r="G34" s="39">
        <f t="shared" si="53"/>
        <v>62239437.840000004</v>
      </c>
      <c r="H34" s="39">
        <f t="shared" si="53"/>
        <v>70509961.729999989</v>
      </c>
      <c r="I34" s="39">
        <f t="shared" si="53"/>
        <v>74259541.620000005</v>
      </c>
      <c r="J34" s="39">
        <f t="shared" si="53"/>
        <v>81629428.700000003</v>
      </c>
      <c r="K34" s="39">
        <f t="shared" si="53"/>
        <v>56152178.539999992</v>
      </c>
      <c r="L34" s="39">
        <f t="shared" si="53"/>
        <v>55895642.655000001</v>
      </c>
      <c r="M34" s="39">
        <f t="shared" si="53"/>
        <v>26658188.375</v>
      </c>
      <c r="N34" s="39">
        <f t="shared" ref="N34:V34" si="54">N29-N13</f>
        <v>0</v>
      </c>
      <c r="O34" s="39">
        <f t="shared" si="54"/>
        <v>0</v>
      </c>
      <c r="P34" s="39">
        <f t="shared" si="54"/>
        <v>313023.76500000001</v>
      </c>
      <c r="Q34" s="39">
        <f t="shared" si="54"/>
        <v>3842575.46</v>
      </c>
      <c r="R34" s="39">
        <f t="shared" si="54"/>
        <v>4915702.96</v>
      </c>
      <c r="S34" s="39">
        <f t="shared" si="54"/>
        <v>9720235.7299999986</v>
      </c>
      <c r="T34" s="39">
        <f t="shared" si="54"/>
        <v>3822790.7549999999</v>
      </c>
      <c r="U34" s="39">
        <f t="shared" si="54"/>
        <v>3900172.53</v>
      </c>
      <c r="V34" s="39">
        <f t="shared" si="54"/>
        <v>420869</v>
      </c>
      <c r="W34" s="39">
        <f t="shared" ref="W34:Y34" si="55">W29-W13</f>
        <v>5094237.9950000001</v>
      </c>
      <c r="X34" s="39">
        <f t="shared" si="55"/>
        <v>5207711.3</v>
      </c>
      <c r="Y34" s="239">
        <f t="shared" si="55"/>
        <v>5989225.5049999999</v>
      </c>
      <c r="Z34" s="239">
        <f t="shared" ref="Z34:AG34" si="56">Z29-Z13</f>
        <v>0</v>
      </c>
      <c r="AA34" s="239">
        <f t="shared" si="56"/>
        <v>0</v>
      </c>
      <c r="AB34" s="239">
        <f t="shared" si="56"/>
        <v>0</v>
      </c>
      <c r="AC34" s="239">
        <f t="shared" si="56"/>
        <v>0</v>
      </c>
      <c r="AD34" s="239">
        <f t="shared" si="56"/>
        <v>0</v>
      </c>
      <c r="AE34" s="239">
        <f t="shared" si="56"/>
        <v>0</v>
      </c>
      <c r="AF34" s="239">
        <f t="shared" si="56"/>
        <v>0</v>
      </c>
      <c r="AG34" s="39">
        <f t="shared" si="56"/>
        <v>0</v>
      </c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  <c r="ID34" s="26"/>
      <c r="IE34" s="26"/>
      <c r="IF34" s="26"/>
      <c r="IG34" s="26"/>
      <c r="IH34" s="26"/>
      <c r="II34" s="26"/>
      <c r="IJ34" s="26"/>
      <c r="IK34" s="26"/>
      <c r="IL34" s="26"/>
    </row>
    <row r="35" spans="1:246" x14ac:dyDescent="0.2">
      <c r="C35" s="19"/>
      <c r="AG35" s="6"/>
    </row>
    <row r="36" spans="1:246" x14ac:dyDescent="0.2">
      <c r="A36" s="6"/>
      <c r="B36" s="6" t="s">
        <v>20</v>
      </c>
      <c r="C36" s="29" t="s">
        <v>287</v>
      </c>
      <c r="D36" s="36">
        <f>Parametre!B12</f>
        <v>2022</v>
      </c>
      <c r="E36" s="29">
        <f t="shared" ref="E36:M36" si="57">(D36+1)</f>
        <v>2023</v>
      </c>
      <c r="F36" s="29">
        <f t="shared" si="57"/>
        <v>2024</v>
      </c>
      <c r="G36" s="29">
        <f t="shared" si="57"/>
        <v>2025</v>
      </c>
      <c r="H36" s="29">
        <f t="shared" si="57"/>
        <v>2026</v>
      </c>
      <c r="I36" s="29">
        <f t="shared" si="57"/>
        <v>2027</v>
      </c>
      <c r="J36" s="29">
        <f t="shared" si="57"/>
        <v>2028</v>
      </c>
      <c r="K36" s="29">
        <f t="shared" si="57"/>
        <v>2029</v>
      </c>
      <c r="L36" s="29">
        <f t="shared" si="57"/>
        <v>2030</v>
      </c>
      <c r="M36" s="29">
        <f t="shared" si="57"/>
        <v>2031</v>
      </c>
      <c r="N36" s="29">
        <f t="shared" ref="N36" si="58">(M36+1)</f>
        <v>2032</v>
      </c>
      <c r="O36" s="29">
        <f t="shared" ref="O36" si="59">(N36+1)</f>
        <v>2033</v>
      </c>
      <c r="P36" s="29">
        <f t="shared" ref="P36" si="60">(O36+1)</f>
        <v>2034</v>
      </c>
      <c r="Q36" s="29">
        <f t="shared" ref="Q36" si="61">(P36+1)</f>
        <v>2035</v>
      </c>
      <c r="R36" s="29">
        <f t="shared" ref="R36" si="62">(Q36+1)</f>
        <v>2036</v>
      </c>
      <c r="S36" s="29">
        <f t="shared" ref="S36" si="63">(R36+1)</f>
        <v>2037</v>
      </c>
      <c r="T36" s="29">
        <f t="shared" ref="T36" si="64">(S36+1)</f>
        <v>2038</v>
      </c>
      <c r="U36" s="29">
        <f t="shared" ref="U36" si="65">(T36+1)</f>
        <v>2039</v>
      </c>
      <c r="V36" s="29">
        <f t="shared" ref="V36" si="66">(U36+1)</f>
        <v>2040</v>
      </c>
      <c r="W36" s="29">
        <f t="shared" ref="W36" si="67">(V36+1)</f>
        <v>2041</v>
      </c>
      <c r="X36" s="29">
        <f t="shared" ref="X36" si="68">(W36+1)</f>
        <v>2042</v>
      </c>
      <c r="Y36" s="29">
        <f t="shared" ref="Y36" si="69">(X36+1)</f>
        <v>2043</v>
      </c>
      <c r="Z36" s="29">
        <f t="shared" ref="Z36" si="70">(Y36+1)</f>
        <v>2044</v>
      </c>
      <c r="AA36" s="29">
        <f t="shared" ref="AA36" si="71">(Z36+1)</f>
        <v>2045</v>
      </c>
      <c r="AB36" s="29">
        <f t="shared" ref="AB36" si="72">(AA36+1)</f>
        <v>2046</v>
      </c>
      <c r="AC36" s="29">
        <f t="shared" ref="AC36" si="73">(AB36+1)</f>
        <v>2047</v>
      </c>
      <c r="AD36" s="29">
        <f t="shared" ref="AD36" si="74">(AC36+1)</f>
        <v>2048</v>
      </c>
      <c r="AE36" s="29">
        <f t="shared" ref="AE36" si="75">(AD36+1)</f>
        <v>2049</v>
      </c>
      <c r="AF36" s="241">
        <f t="shared" ref="AF36" si="76">(AE36+1)</f>
        <v>2050</v>
      </c>
      <c r="AG36" s="29">
        <f t="shared" ref="AG36" si="77">(AF36+1)</f>
        <v>2051</v>
      </c>
    </row>
    <row r="37" spans="1:246" x14ac:dyDescent="0.2">
      <c r="A37" s="16" t="s">
        <v>24</v>
      </c>
      <c r="B37" s="39" t="s">
        <v>21</v>
      </c>
      <c r="C37" s="94"/>
      <c r="D37" s="95"/>
      <c r="E37" s="95"/>
      <c r="F37" s="95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242"/>
      <c r="Z37" s="242"/>
      <c r="AA37" s="242"/>
      <c r="AB37" s="242"/>
      <c r="AC37" s="242"/>
      <c r="AD37" s="242"/>
      <c r="AE37" s="242"/>
      <c r="AF37" s="242"/>
      <c r="AG37" s="38"/>
    </row>
    <row r="38" spans="1:246" x14ac:dyDescent="0.2">
      <c r="A38" s="16" t="s">
        <v>72</v>
      </c>
      <c r="B38" s="94">
        <f>B12*Parametre!$F$26</f>
        <v>49427859.231199995</v>
      </c>
      <c r="C38" s="94">
        <f>C12*Parametre!$F$26</f>
        <v>2615690.3408499998</v>
      </c>
      <c r="D38" s="94">
        <f>D12*Parametre!$F$26</f>
        <v>5422844.9252000004</v>
      </c>
      <c r="E38" s="94">
        <f>E12*Parametre!$F$26</f>
        <v>5829103.366475</v>
      </c>
      <c r="F38" s="94">
        <f>F12*Parametre!$F$26</f>
        <v>4599141.6634499999</v>
      </c>
      <c r="G38" s="94">
        <f>G12*Parametre!$F$26</f>
        <v>5252012.7721500006</v>
      </c>
      <c r="H38" s="94">
        <f>H12*Parametre!$F$26</f>
        <v>5486531.4223000007</v>
      </c>
      <c r="I38" s="94">
        <f>I12*Parametre!$F$26</f>
        <v>6275509.8974000001</v>
      </c>
      <c r="J38" s="94">
        <f>J12*Parametre!$F$26</f>
        <v>4183444.1129000001</v>
      </c>
      <c r="K38" s="94">
        <f>K12*Parametre!$F$26</f>
        <v>4359473.7986000003</v>
      </c>
      <c r="L38" s="94">
        <f>L12*Parametre!$F$26</f>
        <v>2172452.839375</v>
      </c>
      <c r="M38" s="94">
        <f>M12*Parametre!$F$26</f>
        <v>0</v>
      </c>
      <c r="N38" s="94">
        <f>N12*Parametre!$F$26</f>
        <v>0</v>
      </c>
      <c r="O38" s="94">
        <f>O12*Parametre!$F$26</f>
        <v>0</v>
      </c>
      <c r="P38" s="94">
        <f>P12*Parametre!$F$26</f>
        <v>283286.50732500001</v>
      </c>
      <c r="Q38" s="94">
        <f>Q12*Parametre!$F$26</f>
        <v>331559.57837499998</v>
      </c>
      <c r="R38" s="94">
        <f>R12*Parametre!$F$26</f>
        <v>766654.80842500005</v>
      </c>
      <c r="S38" s="94">
        <f>S12*Parametre!$F$26</f>
        <v>282909.93682499998</v>
      </c>
      <c r="T38" s="94">
        <f>T12*Parametre!$F$26</f>
        <v>317836.33484999998</v>
      </c>
      <c r="U38" s="94">
        <f>U12*Parametre!$F$26</f>
        <v>0</v>
      </c>
      <c r="V38" s="94">
        <f>V12*Parametre!$F$26</f>
        <v>380886.44500000001</v>
      </c>
      <c r="W38" s="94">
        <f>W12*Parametre!$F$26</f>
        <v>380441.180475</v>
      </c>
      <c r="X38" s="94">
        <f>X12*Parametre!$F$26</f>
        <v>488079.301225</v>
      </c>
      <c r="Y38" s="238">
        <f>Y12*Parametre!$F$26</f>
        <v>0</v>
      </c>
      <c r="Z38" s="238">
        <f>Z12*Parametre!$F$26</f>
        <v>0</v>
      </c>
      <c r="AA38" s="238">
        <f>AA12*Parametre!$F$26</f>
        <v>0</v>
      </c>
      <c r="AB38" s="238">
        <f>AB12*Parametre!$F$26</f>
        <v>0</v>
      </c>
      <c r="AC38" s="238">
        <f>AC12*Parametre!$F$26</f>
        <v>0</v>
      </c>
      <c r="AD38" s="238">
        <f>AD12*Parametre!$F$26</f>
        <v>0</v>
      </c>
      <c r="AE38" s="238">
        <f>AE12*Parametre!$F$26</f>
        <v>0</v>
      </c>
      <c r="AF38" s="238">
        <f>AF12*Parametre!$F$26</f>
        <v>0</v>
      </c>
      <c r="AG38" s="94">
        <f>AG12*Parametre!$F$26</f>
        <v>0</v>
      </c>
    </row>
    <row r="39" spans="1:246" x14ac:dyDescent="0.2">
      <c r="A39" s="16" t="s">
        <v>191</v>
      </c>
      <c r="B39" s="39"/>
      <c r="C39" s="94"/>
      <c r="D39" s="94"/>
      <c r="E39" s="94"/>
      <c r="F39" s="94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242"/>
      <c r="Z39" s="242"/>
      <c r="AA39" s="242"/>
      <c r="AB39" s="242"/>
      <c r="AC39" s="242"/>
      <c r="AD39" s="242"/>
      <c r="AE39" s="242"/>
      <c r="AF39" s="242"/>
      <c r="AG39" s="38"/>
    </row>
    <row r="40" spans="1:246" x14ac:dyDescent="0.2">
      <c r="A40" s="16" t="s">
        <v>192</v>
      </c>
      <c r="B40" s="94">
        <f>B14*Parametre!$F$25</f>
        <v>511234948.79999995</v>
      </c>
      <c r="C40" s="94">
        <f>C14*Parametre!$F$25</f>
        <v>0</v>
      </c>
      <c r="D40" s="94">
        <f>D14*Parametre!$F$25</f>
        <v>21197705.399999999</v>
      </c>
      <c r="E40" s="94">
        <f>E14*Parametre!$F$25</f>
        <v>56767204.799999997</v>
      </c>
      <c r="F40" s="94">
        <f>F14*Parametre!$F$25</f>
        <v>61019982.899999991</v>
      </c>
      <c r="G40" s="94">
        <f>G14*Parametre!$F$25</f>
        <v>48144547.799999997</v>
      </c>
      <c r="H40" s="94">
        <f>H14*Parametre!$F$25</f>
        <v>54978906.599999994</v>
      </c>
      <c r="I40" s="94">
        <f>I14*Parametre!$F$25</f>
        <v>57433885.199999996</v>
      </c>
      <c r="J40" s="94">
        <f>J14*Parametre!$F$25</f>
        <v>65693037.599999994</v>
      </c>
      <c r="K40" s="94">
        <f>K14*Parametre!$F$25</f>
        <v>43792959.599999994</v>
      </c>
      <c r="L40" s="94">
        <f>L14*Parametre!$F$25</f>
        <v>45635666.399999999</v>
      </c>
      <c r="M40" s="94">
        <f>M14*Parametre!$F$25</f>
        <v>22741582.499999996</v>
      </c>
      <c r="N40" s="94">
        <f>N14*Parametre!$F$25</f>
        <v>0</v>
      </c>
      <c r="O40" s="94">
        <f>O14*Parametre!$F$25</f>
        <v>0</v>
      </c>
      <c r="P40" s="94">
        <f>P14*Parametre!$F$25</f>
        <v>0</v>
      </c>
      <c r="Q40" s="94">
        <f>Q14*Parametre!$F$25</f>
        <v>2965488.3</v>
      </c>
      <c r="R40" s="94">
        <f>R14*Parametre!$F$25</f>
        <v>3470818.4999999995</v>
      </c>
      <c r="S40" s="94">
        <f>S14*Parametre!$F$25</f>
        <v>8025464.6999999993</v>
      </c>
      <c r="T40" s="94">
        <f>T14*Parametre!$F$25</f>
        <v>2961546.3</v>
      </c>
      <c r="U40" s="94">
        <f>U14*Parametre!$F$25</f>
        <v>3327161.3999999994</v>
      </c>
      <c r="V40" s="94">
        <f>V14*Parametre!$F$25</f>
        <v>0</v>
      </c>
      <c r="W40" s="94">
        <f>W14*Parametre!$F$25</f>
        <v>3987179.9999999995</v>
      </c>
      <c r="X40" s="94">
        <f>X14*Parametre!$F$25</f>
        <v>3982518.8999999994</v>
      </c>
      <c r="Y40" s="238">
        <f>Y14*Parametre!$F$25</f>
        <v>5109291.8999999994</v>
      </c>
      <c r="Z40" s="238">
        <f>Z14*Parametre!$F$25</f>
        <v>0</v>
      </c>
      <c r="AA40" s="238">
        <f>AA14*Parametre!$F$25</f>
        <v>0</v>
      </c>
      <c r="AB40" s="238">
        <f>AB14*Parametre!$F$25</f>
        <v>0</v>
      </c>
      <c r="AC40" s="238">
        <f>AC14*Parametre!$F$25</f>
        <v>0</v>
      </c>
      <c r="AD40" s="238">
        <f>AD14*Parametre!$F$25</f>
        <v>0</v>
      </c>
      <c r="AE40" s="238">
        <f>AE14*Parametre!$F$25</f>
        <v>0</v>
      </c>
      <c r="AF40" s="238">
        <f>AF14*Parametre!$F$25</f>
        <v>0</v>
      </c>
      <c r="AG40" s="94">
        <f>AG14*Parametre!$F$25</f>
        <v>0</v>
      </c>
    </row>
    <row r="41" spans="1:246" x14ac:dyDescent="0.2">
      <c r="A41" s="6" t="s">
        <v>197</v>
      </c>
      <c r="B41" s="39">
        <f>B27*Parametre!$F$27</f>
        <v>21727485.324000005</v>
      </c>
      <c r="C41" s="39">
        <f>C27*Parametre!$F$27</f>
        <v>0</v>
      </c>
      <c r="D41" s="39">
        <f>D27*Parametre!$F$27</f>
        <v>900902.47950000013</v>
      </c>
      <c r="E41" s="39">
        <f>E27*Parametre!$F$27</f>
        <v>2412606.2039999999</v>
      </c>
      <c r="F41" s="39">
        <f>F27*Parametre!$F$27</f>
        <v>2593349.2732500001</v>
      </c>
      <c r="G41" s="39">
        <f>G27*Parametre!$F$27</f>
        <v>2046143.2815000003</v>
      </c>
      <c r="H41" s="39">
        <f>H27*Parametre!$F$27</f>
        <v>2336603.5305000003</v>
      </c>
      <c r="I41" s="39">
        <f>I27*Parametre!$F$27</f>
        <v>2440940.1210000003</v>
      </c>
      <c r="J41" s="39">
        <f>J27*Parametre!$F$27</f>
        <v>2791954.0980000002</v>
      </c>
      <c r="K41" s="39">
        <f>K27*Parametre!$F$27</f>
        <v>1861200.7830000003</v>
      </c>
      <c r="L41" s="39">
        <f>L27*Parametre!$F$27</f>
        <v>1939515.8220000002</v>
      </c>
      <c r="M41" s="39">
        <f>M27*Parametre!$F$27</f>
        <v>966517.25625000009</v>
      </c>
      <c r="N41" s="39">
        <f>N27*Parametre!$F$27</f>
        <v>0</v>
      </c>
      <c r="O41" s="39">
        <f>O27*Parametre!$F$27</f>
        <v>0</v>
      </c>
      <c r="P41" s="39">
        <f>P27*Parametre!$F$27</f>
        <v>0</v>
      </c>
      <c r="Q41" s="39">
        <f>Q27*Parametre!$F$27</f>
        <v>126033.25275000001</v>
      </c>
      <c r="R41" s="39">
        <f>R27*Parametre!$F$27</f>
        <v>147509.78625</v>
      </c>
      <c r="S41" s="39">
        <f>S27*Parametre!$F$27</f>
        <v>341082.24975000002</v>
      </c>
      <c r="T41" s="39">
        <f>T27*Parametre!$F$27</f>
        <v>125865.71775000001</v>
      </c>
      <c r="U41" s="39">
        <f>U27*Parametre!$F$27</f>
        <v>141404.35950000002</v>
      </c>
      <c r="V41" s="39">
        <f>V27*Parametre!$F$27</f>
        <v>0</v>
      </c>
      <c r="W41" s="39">
        <f>W27*Parametre!$F$27</f>
        <v>169455.15000000002</v>
      </c>
      <c r="X41" s="39">
        <f>X27*Parametre!$F$27</f>
        <v>169257.05325000003</v>
      </c>
      <c r="Y41" s="239">
        <f>Y27*Parametre!$F$27</f>
        <v>217144.90575000003</v>
      </c>
      <c r="Z41" s="239">
        <f>Z27*Parametre!$F$27</f>
        <v>0</v>
      </c>
      <c r="AA41" s="239">
        <f>AA27*Parametre!$F$27</f>
        <v>0</v>
      </c>
      <c r="AB41" s="239">
        <f>AB27*Parametre!$F$27</f>
        <v>0</v>
      </c>
      <c r="AC41" s="239">
        <f>AC27*Parametre!$F$27</f>
        <v>0</v>
      </c>
      <c r="AD41" s="239">
        <f>AD27*Parametre!$F$27</f>
        <v>0</v>
      </c>
      <c r="AE41" s="239">
        <f>AE27*Parametre!$F$27</f>
        <v>0</v>
      </c>
      <c r="AF41" s="239">
        <f>AF27*Parametre!$F$27</f>
        <v>0</v>
      </c>
      <c r="AG41" s="39">
        <f>AG27*Parametre!$F$27</f>
        <v>0</v>
      </c>
    </row>
    <row r="42" spans="1:246" x14ac:dyDescent="0.2">
      <c r="A42" s="6" t="s">
        <v>198</v>
      </c>
      <c r="B42" s="94">
        <f>B28*Parametre!$F$26</f>
        <v>5140751.4296000013</v>
      </c>
      <c r="C42" s="94">
        <f>C28*Parametre!$F$26</f>
        <v>0</v>
      </c>
      <c r="D42" s="94">
        <f>D28*Parametre!$F$26</f>
        <v>213154.70430000001</v>
      </c>
      <c r="E42" s="94">
        <f>E28*Parametre!$F$26</f>
        <v>570825.78159999999</v>
      </c>
      <c r="F42" s="94">
        <f>F28*Parametre!$F$26</f>
        <v>613589.82805000001</v>
      </c>
      <c r="G42" s="94">
        <f>G28*Parametre!$F$26</f>
        <v>484120.17510000005</v>
      </c>
      <c r="H42" s="94">
        <f>H28*Parametre!$F$26</f>
        <v>552843.4497</v>
      </c>
      <c r="I42" s="94">
        <f>I28*Parametre!$F$26</f>
        <v>577529.62340000004</v>
      </c>
      <c r="J42" s="94">
        <f>J28*Parametre!$F$26</f>
        <v>660579.98920000007</v>
      </c>
      <c r="K42" s="94">
        <f>K28*Parametre!$F$26</f>
        <v>440362.53820000001</v>
      </c>
      <c r="L42" s="94">
        <f>L28*Parametre!$F$26</f>
        <v>458891.97880000004</v>
      </c>
      <c r="M42" s="94">
        <f>M28*Parametre!$F$26</f>
        <v>228679.24625</v>
      </c>
      <c r="N42" s="94">
        <f>N28*Parametre!$F$26</f>
        <v>0</v>
      </c>
      <c r="O42" s="94">
        <f>O28*Parametre!$F$26</f>
        <v>0</v>
      </c>
      <c r="P42" s="94">
        <f>P28*Parametre!$F$26</f>
        <v>0</v>
      </c>
      <c r="Q42" s="94">
        <f>Q28*Parametre!$F$26</f>
        <v>29819.632350000003</v>
      </c>
      <c r="R42" s="94">
        <f>R28*Parametre!$F$26</f>
        <v>34901.008249999999</v>
      </c>
      <c r="S42" s="94">
        <f>S28*Parametre!$F$26</f>
        <v>80700.506150000001</v>
      </c>
      <c r="T42" s="94">
        <f>T28*Parametre!$F$26</f>
        <v>29779.993350000001</v>
      </c>
      <c r="U42" s="94">
        <f>U28*Parametre!$F$26</f>
        <v>33456.456299999998</v>
      </c>
      <c r="V42" s="94">
        <f>V28*Parametre!$F$26</f>
        <v>0</v>
      </c>
      <c r="W42" s="94">
        <f>W28*Parametre!$F$26</f>
        <v>40093.31</v>
      </c>
      <c r="X42" s="94">
        <f>X28*Parametre!$F$26</f>
        <v>40046.440049999997</v>
      </c>
      <c r="Y42" s="238">
        <f>Y28*Parametre!$F$26</f>
        <v>51376.768550000008</v>
      </c>
      <c r="Z42" s="238">
        <f>Z28*Parametre!$F$26</f>
        <v>0</v>
      </c>
      <c r="AA42" s="238">
        <f>AA28*Parametre!$F$26</f>
        <v>0</v>
      </c>
      <c r="AB42" s="238">
        <f>AB28*Parametre!$F$26</f>
        <v>0</v>
      </c>
      <c r="AC42" s="238">
        <f>AC28*Parametre!$F$26</f>
        <v>0</v>
      </c>
      <c r="AD42" s="238">
        <f>AD28*Parametre!$F$26</f>
        <v>0</v>
      </c>
      <c r="AE42" s="238">
        <f>AE28*Parametre!$F$26</f>
        <v>0</v>
      </c>
      <c r="AF42" s="238">
        <f>AF28*Parametre!$F$26</f>
        <v>0</v>
      </c>
      <c r="AG42" s="94">
        <f>AG28*Parametre!$F$26</f>
        <v>0</v>
      </c>
    </row>
    <row r="43" spans="1:246" x14ac:dyDescent="0.2">
      <c r="A43" s="16" t="s">
        <v>203</v>
      </c>
      <c r="B43" s="39">
        <f t="shared" ref="B43:V43" si="78">B38+B40+B41+B42</f>
        <v>587531044.78479993</v>
      </c>
      <c r="C43" s="39">
        <f t="shared" si="78"/>
        <v>2615690.3408499998</v>
      </c>
      <c r="D43" s="39">
        <f t="shared" si="78"/>
        <v>27734607.509</v>
      </c>
      <c r="E43" s="39">
        <f t="shared" si="78"/>
        <v>65579740.152074993</v>
      </c>
      <c r="F43" s="39">
        <f t="shared" si="78"/>
        <v>68826063.664749995</v>
      </c>
      <c r="G43" s="39">
        <f t="shared" si="78"/>
        <v>55926824.028749995</v>
      </c>
      <c r="H43" s="39">
        <f t="shared" si="78"/>
        <v>63354885.002499998</v>
      </c>
      <c r="I43" s="39">
        <f t="shared" si="78"/>
        <v>66727864.841799997</v>
      </c>
      <c r="J43" s="39">
        <f t="shared" si="78"/>
        <v>73329015.800099999</v>
      </c>
      <c r="K43" s="39">
        <f t="shared" si="78"/>
        <v>50453996.719799995</v>
      </c>
      <c r="L43" s="39">
        <f t="shared" si="78"/>
        <v>50206527.040174991</v>
      </c>
      <c r="M43" s="39">
        <f t="shared" si="78"/>
        <v>23936779.002499998</v>
      </c>
      <c r="N43" s="39">
        <f t="shared" si="78"/>
        <v>0</v>
      </c>
      <c r="O43" s="39">
        <f t="shared" si="78"/>
        <v>0</v>
      </c>
      <c r="P43" s="39">
        <f t="shared" si="78"/>
        <v>283286.50732500001</v>
      </c>
      <c r="Q43" s="39">
        <f t="shared" si="78"/>
        <v>3452900.7634749999</v>
      </c>
      <c r="R43" s="39">
        <f t="shared" si="78"/>
        <v>4419884.1029249998</v>
      </c>
      <c r="S43" s="39">
        <f t="shared" si="78"/>
        <v>8730157.3927249983</v>
      </c>
      <c r="T43" s="39">
        <f t="shared" si="78"/>
        <v>3435028.34595</v>
      </c>
      <c r="U43" s="39">
        <f t="shared" si="78"/>
        <v>3502022.2157999999</v>
      </c>
      <c r="V43" s="39">
        <f t="shared" si="78"/>
        <v>380886.44500000001</v>
      </c>
      <c r="W43" s="39">
        <f t="shared" ref="W43:Y43" si="79">W38+W40+W41+W42</f>
        <v>4577169.6404749993</v>
      </c>
      <c r="X43" s="39">
        <f t="shared" si="79"/>
        <v>4679901.6945249997</v>
      </c>
      <c r="Y43" s="239">
        <f t="shared" si="79"/>
        <v>5377813.5742999995</v>
      </c>
      <c r="Z43" s="239">
        <f t="shared" ref="Z43:AG43" si="80">Z38+Z40+Z41+Z42</f>
        <v>0</v>
      </c>
      <c r="AA43" s="239">
        <f t="shared" si="80"/>
        <v>0</v>
      </c>
      <c r="AB43" s="239">
        <f t="shared" si="80"/>
        <v>0</v>
      </c>
      <c r="AC43" s="239">
        <f t="shared" si="80"/>
        <v>0</v>
      </c>
      <c r="AD43" s="239">
        <f t="shared" si="80"/>
        <v>0</v>
      </c>
      <c r="AE43" s="239">
        <f t="shared" si="80"/>
        <v>0</v>
      </c>
      <c r="AF43" s="239">
        <f t="shared" si="80"/>
        <v>0</v>
      </c>
      <c r="AG43" s="39">
        <f t="shared" si="80"/>
        <v>0</v>
      </c>
    </row>
    <row r="44" spans="1:246" x14ac:dyDescent="0.2">
      <c r="A44" s="2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</row>
    <row r="45" spans="1:246" x14ac:dyDescent="0.2">
      <c r="A45" s="2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</row>
    <row r="46" spans="1:246" x14ac:dyDescent="0.2">
      <c r="A46" s="21"/>
      <c r="B46" s="41"/>
      <c r="C46" s="42"/>
      <c r="E46" s="42"/>
      <c r="F46" s="42"/>
      <c r="G46" s="207"/>
      <c r="L46" s="207"/>
      <c r="V46" s="207"/>
      <c r="Y46" s="207"/>
    </row>
    <row r="47" spans="1:246" x14ac:dyDescent="0.2">
      <c r="A47" s="10" t="s">
        <v>137</v>
      </c>
      <c r="C47" s="19"/>
      <c r="D47" s="207"/>
      <c r="E47" s="207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</row>
    <row r="48" spans="1:246" x14ac:dyDescent="0.2">
      <c r="A48" s="6"/>
      <c r="B48" s="16" t="s">
        <v>21</v>
      </c>
      <c r="C48" s="29" t="s">
        <v>287</v>
      </c>
      <c r="D48" s="36">
        <f>Parametre!B12</f>
        <v>2022</v>
      </c>
      <c r="E48" s="29">
        <f t="shared" ref="E48:AG48" si="81">(D48+1)</f>
        <v>2023</v>
      </c>
      <c r="F48" s="29">
        <f t="shared" si="81"/>
        <v>2024</v>
      </c>
      <c r="G48" s="29">
        <f t="shared" si="81"/>
        <v>2025</v>
      </c>
      <c r="H48" s="29">
        <f t="shared" si="81"/>
        <v>2026</v>
      </c>
      <c r="I48" s="29">
        <f t="shared" si="81"/>
        <v>2027</v>
      </c>
      <c r="J48" s="29">
        <f t="shared" si="81"/>
        <v>2028</v>
      </c>
      <c r="K48" s="29">
        <f t="shared" si="81"/>
        <v>2029</v>
      </c>
      <c r="L48" s="29">
        <f t="shared" si="81"/>
        <v>2030</v>
      </c>
      <c r="M48" s="29">
        <f t="shared" si="81"/>
        <v>2031</v>
      </c>
      <c r="N48" s="29">
        <f t="shared" si="81"/>
        <v>2032</v>
      </c>
      <c r="O48" s="29">
        <f t="shared" si="81"/>
        <v>2033</v>
      </c>
      <c r="P48" s="29">
        <f t="shared" si="81"/>
        <v>2034</v>
      </c>
      <c r="Q48" s="29">
        <f t="shared" si="81"/>
        <v>2035</v>
      </c>
      <c r="R48" s="29">
        <f t="shared" si="81"/>
        <v>2036</v>
      </c>
      <c r="S48" s="29">
        <f t="shared" si="81"/>
        <v>2037</v>
      </c>
      <c r="T48" s="29">
        <f t="shared" si="81"/>
        <v>2038</v>
      </c>
      <c r="U48" s="29">
        <f t="shared" si="81"/>
        <v>2039</v>
      </c>
      <c r="V48" s="29">
        <f t="shared" si="81"/>
        <v>2040</v>
      </c>
      <c r="W48" s="29">
        <f t="shared" si="81"/>
        <v>2041</v>
      </c>
      <c r="X48" s="29">
        <f t="shared" si="81"/>
        <v>2042</v>
      </c>
      <c r="Y48" s="29">
        <f t="shared" si="81"/>
        <v>2043</v>
      </c>
      <c r="Z48" s="29">
        <f t="shared" si="81"/>
        <v>2044</v>
      </c>
      <c r="AA48" s="29">
        <f t="shared" si="81"/>
        <v>2045</v>
      </c>
      <c r="AB48" s="29">
        <f t="shared" si="81"/>
        <v>2046</v>
      </c>
      <c r="AC48" s="29">
        <f t="shared" si="81"/>
        <v>2047</v>
      </c>
      <c r="AD48" s="29">
        <f t="shared" si="81"/>
        <v>2048</v>
      </c>
      <c r="AE48" s="29">
        <f t="shared" si="81"/>
        <v>2049</v>
      </c>
      <c r="AF48" s="29">
        <f t="shared" si="81"/>
        <v>2050</v>
      </c>
      <c r="AG48" s="29">
        <f t="shared" si="81"/>
        <v>2051</v>
      </c>
    </row>
    <row r="49" spans="1:36" x14ac:dyDescent="0.2">
      <c r="A49" s="16" t="s">
        <v>142</v>
      </c>
      <c r="B49" s="39">
        <f t="shared" ref="B49:B50" si="82">SUM(C49:AG49)</f>
        <v>242930420.60000002</v>
      </c>
      <c r="C49" s="39">
        <v>0</v>
      </c>
      <c r="D49" s="90">
        <f>D50+D51</f>
        <v>24973987.649999999</v>
      </c>
      <c r="E49" s="90">
        <f t="shared" ref="E49:AG49" si="83">E50+E51</f>
        <v>19188272.100000001</v>
      </c>
      <c r="F49" s="90">
        <f t="shared" si="83"/>
        <v>29172381.199999999</v>
      </c>
      <c r="G49" s="90">
        <f t="shared" si="83"/>
        <v>25792461.050000001</v>
      </c>
      <c r="H49" s="90">
        <f t="shared" si="83"/>
        <v>20920668.899999999</v>
      </c>
      <c r="I49" s="90">
        <f t="shared" si="83"/>
        <v>15102355.449999999</v>
      </c>
      <c r="J49" s="90">
        <f t="shared" si="83"/>
        <v>15821123.85</v>
      </c>
      <c r="K49" s="90">
        <f t="shared" si="83"/>
        <v>15105774.4</v>
      </c>
      <c r="L49" s="90">
        <f t="shared" si="83"/>
        <v>20962794.550000001</v>
      </c>
      <c r="M49" s="90">
        <f t="shared" si="83"/>
        <v>12409637.35</v>
      </c>
      <c r="N49" s="90">
        <f t="shared" si="83"/>
        <v>0</v>
      </c>
      <c r="O49" s="90">
        <f t="shared" si="83"/>
        <v>0</v>
      </c>
      <c r="P49" s="90">
        <f t="shared" si="83"/>
        <v>8224169.7999999998</v>
      </c>
      <c r="Q49" s="90">
        <f t="shared" si="83"/>
        <v>5062049.3</v>
      </c>
      <c r="R49" s="90">
        <f t="shared" si="83"/>
        <v>0</v>
      </c>
      <c r="S49" s="90">
        <f t="shared" si="83"/>
        <v>8041309.4500000002</v>
      </c>
      <c r="T49" s="90">
        <f t="shared" si="83"/>
        <v>3784198.05</v>
      </c>
      <c r="U49" s="90">
        <f t="shared" si="83"/>
        <v>1657193.7</v>
      </c>
      <c r="V49" s="90">
        <f t="shared" si="83"/>
        <v>0</v>
      </c>
      <c r="W49" s="90">
        <f t="shared" si="83"/>
        <v>5094730</v>
      </c>
      <c r="X49" s="90">
        <f t="shared" si="83"/>
        <v>5088774.1500000004</v>
      </c>
      <c r="Y49" s="90">
        <f t="shared" si="83"/>
        <v>6528539.6500000004</v>
      </c>
      <c r="Z49" s="90">
        <f t="shared" si="83"/>
        <v>0</v>
      </c>
      <c r="AA49" s="90">
        <f t="shared" si="83"/>
        <v>0</v>
      </c>
      <c r="AB49" s="90">
        <f t="shared" si="83"/>
        <v>0</v>
      </c>
      <c r="AC49" s="90">
        <f t="shared" si="83"/>
        <v>0</v>
      </c>
      <c r="AD49" s="90">
        <f t="shared" si="83"/>
        <v>0</v>
      </c>
      <c r="AE49" s="90">
        <f t="shared" si="83"/>
        <v>0</v>
      </c>
      <c r="AF49" s="90">
        <f t="shared" si="83"/>
        <v>0</v>
      </c>
      <c r="AG49" s="90">
        <f t="shared" si="83"/>
        <v>0</v>
      </c>
    </row>
    <row r="50" spans="1:36" x14ac:dyDescent="0.2">
      <c r="A50" s="16" t="s">
        <v>444</v>
      </c>
      <c r="B50" s="39">
        <f t="shared" si="82"/>
        <v>31686576.600000001</v>
      </c>
      <c r="C50" s="39">
        <v>0</v>
      </c>
      <c r="D50" s="39">
        <f>D51*0.15</f>
        <v>3257476.65</v>
      </c>
      <c r="E50" s="39">
        <f t="shared" ref="E50:AG50" si="84">E51*0.15</f>
        <v>2502818.1</v>
      </c>
      <c r="F50" s="39">
        <f t="shared" si="84"/>
        <v>3805093.1999999997</v>
      </c>
      <c r="G50" s="39">
        <f t="shared" si="84"/>
        <v>3364234.05</v>
      </c>
      <c r="H50" s="39">
        <f t="shared" si="84"/>
        <v>2728782.9</v>
      </c>
      <c r="I50" s="39">
        <f t="shared" si="84"/>
        <v>1969872.45</v>
      </c>
      <c r="J50" s="39">
        <f t="shared" si="84"/>
        <v>2063624.8499999999</v>
      </c>
      <c r="K50" s="39">
        <f t="shared" si="84"/>
        <v>1970318.4</v>
      </c>
      <c r="L50" s="39">
        <f t="shared" si="84"/>
        <v>2734277.55</v>
      </c>
      <c r="M50" s="39">
        <f t="shared" si="84"/>
        <v>1618648.3499999999</v>
      </c>
      <c r="N50" s="39">
        <f t="shared" si="84"/>
        <v>0</v>
      </c>
      <c r="O50" s="39">
        <f t="shared" si="84"/>
        <v>0</v>
      </c>
      <c r="P50" s="39">
        <f t="shared" si="84"/>
        <v>1072717.8</v>
      </c>
      <c r="Q50" s="39">
        <f t="shared" si="84"/>
        <v>660267.29999999993</v>
      </c>
      <c r="R50" s="39">
        <f t="shared" si="84"/>
        <v>0</v>
      </c>
      <c r="S50" s="39">
        <f t="shared" si="84"/>
        <v>1048866.45</v>
      </c>
      <c r="T50" s="39">
        <f t="shared" si="84"/>
        <v>493591.05</v>
      </c>
      <c r="U50" s="39">
        <f t="shared" si="84"/>
        <v>216155.69999999998</v>
      </c>
      <c r="V50" s="39">
        <f t="shared" si="84"/>
        <v>0</v>
      </c>
      <c r="W50" s="39">
        <f t="shared" si="84"/>
        <v>664530</v>
      </c>
      <c r="X50" s="39">
        <f t="shared" si="84"/>
        <v>663753.15</v>
      </c>
      <c r="Y50" s="39">
        <f t="shared" si="84"/>
        <v>851548.65</v>
      </c>
      <c r="Z50" s="39">
        <f t="shared" si="84"/>
        <v>0</v>
      </c>
      <c r="AA50" s="39">
        <f t="shared" si="84"/>
        <v>0</v>
      </c>
      <c r="AB50" s="39">
        <f t="shared" si="84"/>
        <v>0</v>
      </c>
      <c r="AC50" s="39">
        <f t="shared" si="84"/>
        <v>0</v>
      </c>
      <c r="AD50" s="39">
        <f t="shared" si="84"/>
        <v>0</v>
      </c>
      <c r="AE50" s="39">
        <f t="shared" si="84"/>
        <v>0</v>
      </c>
      <c r="AF50" s="39">
        <f t="shared" si="84"/>
        <v>0</v>
      </c>
      <c r="AG50" s="39">
        <f t="shared" si="84"/>
        <v>0</v>
      </c>
    </row>
    <row r="51" spans="1:36" x14ac:dyDescent="0.2">
      <c r="A51" s="16" t="s">
        <v>443</v>
      </c>
      <c r="B51" s="39">
        <f>SUM(C51:AG51)</f>
        <v>211243844</v>
      </c>
      <c r="C51" s="39">
        <v>0</v>
      </c>
      <c r="D51" s="39">
        <v>21716511</v>
      </c>
      <c r="E51" s="207">
        <v>16685454</v>
      </c>
      <c r="F51" s="39">
        <v>25367288</v>
      </c>
      <c r="G51" s="39">
        <v>22428227</v>
      </c>
      <c r="H51" s="39">
        <v>18191886</v>
      </c>
      <c r="I51" s="39">
        <v>13132483</v>
      </c>
      <c r="J51" s="39">
        <v>13757499</v>
      </c>
      <c r="K51" s="39">
        <v>13135456</v>
      </c>
      <c r="L51" s="39">
        <v>18228517</v>
      </c>
      <c r="M51" s="39">
        <v>10790989</v>
      </c>
      <c r="N51" s="39"/>
      <c r="O51" s="39"/>
      <c r="P51" s="39">
        <v>7151452</v>
      </c>
      <c r="Q51" s="39">
        <v>4401782</v>
      </c>
      <c r="R51" s="39"/>
      <c r="S51" s="94">
        <v>6992443</v>
      </c>
      <c r="T51" s="94">
        <v>3290607</v>
      </c>
      <c r="U51" s="94">
        <v>1441038</v>
      </c>
      <c r="V51" s="39"/>
      <c r="W51" s="39">
        <v>4430200</v>
      </c>
      <c r="X51" s="39">
        <v>4425021</v>
      </c>
      <c r="Y51" s="39">
        <v>5676991</v>
      </c>
      <c r="Z51" s="39"/>
      <c r="AA51" s="39"/>
      <c r="AB51" s="39"/>
      <c r="AC51" s="39"/>
      <c r="AD51" s="39"/>
      <c r="AE51" s="39"/>
      <c r="AF51" s="39"/>
      <c r="AG51" s="39"/>
      <c r="AH51" s="207"/>
    </row>
    <row r="52" spans="1:36" x14ac:dyDescent="0.2">
      <c r="A52" s="6" t="s">
        <v>143</v>
      </c>
      <c r="B52" s="90">
        <f>B51*Parametre!$F$25+B50*Parametre!F26</f>
        <v>218795811.42300001</v>
      </c>
      <c r="C52" s="90">
        <f>C49*Parametre!$F$25</f>
        <v>0</v>
      </c>
      <c r="D52" s="90">
        <f>D51*Parametre!$F$25+D50*Parametre!$F$26</f>
        <v>22492876.26825</v>
      </c>
      <c r="E52" s="90">
        <f>E51*Parametre!$F$25+E50*Parametre!$F$26</f>
        <v>17281958.980499998</v>
      </c>
      <c r="F52" s="90">
        <f>F51*Parametre!$F$25+F50*Parametre!$F$26</f>
        <v>26274168.546</v>
      </c>
      <c r="G52" s="90">
        <f>G51*Parametre!$F$25+G50*Parametre!$F$26</f>
        <v>23230036.115249999</v>
      </c>
      <c r="H52" s="90">
        <f>H51*Parametre!$F$25+H50*Parametre!$F$26</f>
        <v>18842245.9245</v>
      </c>
      <c r="I52" s="90">
        <f>I51*Parametre!$F$25+I50*Parametre!$F$26</f>
        <v>13601969.26725</v>
      </c>
      <c r="J52" s="90">
        <f>J51*Parametre!$F$25+J50*Parametre!$F$26</f>
        <v>14249329.58925</v>
      </c>
      <c r="K52" s="90">
        <f>K51*Parametre!$F$25+K50*Parametre!$F$26</f>
        <v>13605048.551999999</v>
      </c>
      <c r="L52" s="90">
        <f>L51*Parametre!$F$25+L50*Parametre!$F$26</f>
        <v>18880186.482749999</v>
      </c>
      <c r="M52" s="90">
        <f>M51*Parametre!$F$25+M50*Parametre!$F$26</f>
        <v>11176766.85675</v>
      </c>
      <c r="N52" s="90">
        <f>N51*Parametre!$F$25+N50*Parametre!$F$26</f>
        <v>0</v>
      </c>
      <c r="O52" s="90">
        <f>O51*Parametre!$F$25+O50*Parametre!$F$26</f>
        <v>0</v>
      </c>
      <c r="P52" s="90">
        <f>P51*Parametre!$F$25+P50*Parametre!$F$26</f>
        <v>7407116.409</v>
      </c>
      <c r="Q52" s="90">
        <f>Q51*Parametre!$F$25+Q50*Parametre!$F$26</f>
        <v>4559145.7064999994</v>
      </c>
      <c r="R52" s="90">
        <f>R51*Parametre!$F$25+R50*Parametre!$F$26</f>
        <v>0</v>
      </c>
      <c r="S52" s="90">
        <f>S51*Parametre!$F$25+S50*Parametre!$F$26</f>
        <v>7242422.8372499989</v>
      </c>
      <c r="T52" s="90">
        <f>T51*Parametre!$F$25+T50*Parametre!$F$26</f>
        <v>3408246.2002499998</v>
      </c>
      <c r="U52" s="90">
        <f>U51*Parametre!$F$25+U50*Parametre!$F$26</f>
        <v>1492555.1084999999</v>
      </c>
      <c r="V52" s="90">
        <f>V51*Parametre!$F$25+V50*Parametre!$F$26</f>
        <v>0</v>
      </c>
      <c r="W52" s="90">
        <f>W51*Parametre!$F$25+W50*Parametre!$F$26</f>
        <v>4588579.6499999994</v>
      </c>
      <c r="X52" s="90">
        <f>X51*Parametre!$F$25+X50*Parametre!$F$26</f>
        <v>4583215.5007499997</v>
      </c>
      <c r="Y52" s="90">
        <f>Y51*Parametre!$F$25+Y50*Parametre!$F$26</f>
        <v>5879943.4282499999</v>
      </c>
      <c r="Z52" s="90">
        <f>Z51*Parametre!$F$25+Z50*Parametre!$F$26</f>
        <v>0</v>
      </c>
      <c r="AA52" s="90">
        <f>AA51*Parametre!$F$25+AA50*Parametre!$F$26</f>
        <v>0</v>
      </c>
      <c r="AB52" s="90">
        <f>AB51*Parametre!$F$25+AB50*Parametre!$F$26</f>
        <v>0</v>
      </c>
      <c r="AC52" s="90">
        <f>AC51*Parametre!$F$25+AC50*Parametre!$F$26</f>
        <v>0</v>
      </c>
      <c r="AD52" s="90">
        <f>AD51*Parametre!$F$25+AD50*Parametre!$F$26</f>
        <v>0</v>
      </c>
      <c r="AE52" s="90">
        <f>AE51*Parametre!$F$25+AE50*Parametre!$F$26</f>
        <v>0</v>
      </c>
      <c r="AF52" s="90">
        <f>AF51*Parametre!$F$25+AF50*Parametre!$F$26</f>
        <v>0</v>
      </c>
      <c r="AG52" s="90">
        <f>AG51*Parametre!$F$25+AG50*Parametre!$F$26</f>
        <v>0</v>
      </c>
      <c r="AH52" s="207"/>
    </row>
    <row r="53" spans="1:36" x14ac:dyDescent="0.2">
      <c r="A53" s="26"/>
      <c r="B53" s="208"/>
      <c r="C53" s="208"/>
      <c r="D53" s="208"/>
      <c r="E53" s="208"/>
      <c r="F53" s="208"/>
      <c r="G53" s="208"/>
      <c r="H53" s="208"/>
      <c r="I53" s="208"/>
      <c r="J53" s="208"/>
      <c r="K53" s="208"/>
      <c r="L53" s="208"/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7"/>
    </row>
    <row r="54" spans="1:36" x14ac:dyDescent="0.2">
      <c r="A54" s="40" t="s">
        <v>521</v>
      </c>
    </row>
    <row r="55" spans="1:36" x14ac:dyDescent="0.2">
      <c r="A55" s="293" t="s">
        <v>1</v>
      </c>
      <c r="B55" s="294"/>
      <c r="C55" s="295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296"/>
      <c r="AB55" s="296"/>
      <c r="AC55" s="296"/>
      <c r="AD55" s="296"/>
      <c r="AE55" s="296"/>
      <c r="AF55" s="296"/>
      <c r="AG55" s="296"/>
      <c r="AH55" s="296"/>
      <c r="AI55" s="296"/>
      <c r="AJ55" s="296"/>
    </row>
    <row r="56" spans="1:36" x14ac:dyDescent="0.2">
      <c r="A56" s="297"/>
      <c r="B56" s="298"/>
      <c r="C56" s="299" t="s">
        <v>522</v>
      </c>
      <c r="D56" s="300" t="s">
        <v>523</v>
      </c>
      <c r="E56" s="301" t="s">
        <v>524</v>
      </c>
      <c r="F56" s="302" t="s">
        <v>525</v>
      </c>
      <c r="G56" s="302" t="s">
        <v>526</v>
      </c>
      <c r="H56" s="302" t="s">
        <v>527</v>
      </c>
      <c r="I56" s="303" t="s">
        <v>528</v>
      </c>
      <c r="J56" s="304" t="s">
        <v>529</v>
      </c>
      <c r="K56" s="305" t="s">
        <v>530</v>
      </c>
      <c r="L56" s="300" t="s">
        <v>531</v>
      </c>
      <c r="M56" s="301" t="s">
        <v>532</v>
      </c>
      <c r="N56" s="303" t="s">
        <v>533</v>
      </c>
      <c r="O56" s="304" t="s">
        <v>534</v>
      </c>
      <c r="P56" s="305" t="s">
        <v>535</v>
      </c>
      <c r="Q56" s="305" t="s">
        <v>536</v>
      </c>
      <c r="R56" s="305" t="s">
        <v>537</v>
      </c>
      <c r="S56" s="305" t="s">
        <v>538</v>
      </c>
      <c r="T56" s="305" t="s">
        <v>539</v>
      </c>
      <c r="U56" s="305" t="s">
        <v>540</v>
      </c>
      <c r="V56" s="305" t="s">
        <v>541</v>
      </c>
      <c r="W56" s="305" t="s">
        <v>542</v>
      </c>
      <c r="X56" s="302" t="s">
        <v>543</v>
      </c>
      <c r="Y56" s="305" t="s">
        <v>544</v>
      </c>
      <c r="Z56" s="302" t="s">
        <v>545</v>
      </c>
      <c r="AA56" s="302" t="s">
        <v>546</v>
      </c>
      <c r="AB56" s="305" t="s">
        <v>547</v>
      </c>
      <c r="AC56" s="302" t="s">
        <v>492</v>
      </c>
      <c r="AD56" s="302" t="s">
        <v>548</v>
      </c>
      <c r="AE56" s="305" t="s">
        <v>549</v>
      </c>
      <c r="AF56" s="302" t="s">
        <v>550</v>
      </c>
      <c r="AG56" s="305" t="s">
        <v>551</v>
      </c>
      <c r="AH56" s="306" t="s">
        <v>552</v>
      </c>
      <c r="AI56" s="305" t="s">
        <v>553</v>
      </c>
      <c r="AJ56" s="306" t="s">
        <v>554</v>
      </c>
    </row>
    <row r="57" spans="1:36" x14ac:dyDescent="0.2">
      <c r="A57" s="307"/>
      <c r="B57" s="308" t="s">
        <v>555</v>
      </c>
      <c r="C57" s="299" t="s">
        <v>556</v>
      </c>
      <c r="D57" s="210" t="s">
        <v>288</v>
      </c>
      <c r="E57" s="211" t="s">
        <v>333</v>
      </c>
      <c r="F57" s="212" t="s">
        <v>334</v>
      </c>
      <c r="G57" s="212" t="s">
        <v>335</v>
      </c>
      <c r="H57" s="212" t="s">
        <v>336</v>
      </c>
      <c r="I57" s="210" t="s">
        <v>337</v>
      </c>
      <c r="J57" s="211" t="s">
        <v>338</v>
      </c>
      <c r="K57" s="212" t="s">
        <v>339</v>
      </c>
      <c r="L57" s="210" t="s">
        <v>325</v>
      </c>
      <c r="M57" s="211" t="s">
        <v>340</v>
      </c>
      <c r="N57" s="210" t="s">
        <v>341</v>
      </c>
      <c r="O57" s="211" t="s">
        <v>342</v>
      </c>
      <c r="P57" s="212" t="s">
        <v>343</v>
      </c>
      <c r="Q57" s="212" t="s">
        <v>344</v>
      </c>
      <c r="R57" s="212" t="s">
        <v>328</v>
      </c>
      <c r="S57" s="212" t="s">
        <v>329</v>
      </c>
      <c r="T57" s="212" t="s">
        <v>291</v>
      </c>
      <c r="U57" s="212" t="s">
        <v>330</v>
      </c>
      <c r="V57" s="212" t="s">
        <v>331</v>
      </c>
      <c r="W57" s="212" t="s">
        <v>292</v>
      </c>
      <c r="X57" s="212" t="s">
        <v>345</v>
      </c>
      <c r="Y57" s="212" t="s">
        <v>294</v>
      </c>
      <c r="Z57" s="212" t="s">
        <v>346</v>
      </c>
      <c r="AA57" s="212" t="s">
        <v>347</v>
      </c>
      <c r="AB57" s="212" t="s">
        <v>332</v>
      </c>
      <c r="AC57" s="212" t="s">
        <v>348</v>
      </c>
      <c r="AD57" s="212" t="s">
        <v>349</v>
      </c>
      <c r="AE57" s="212" t="s">
        <v>295</v>
      </c>
      <c r="AF57" s="212" t="s">
        <v>296</v>
      </c>
      <c r="AG57" s="212" t="s">
        <v>297</v>
      </c>
      <c r="AH57" s="212" t="s">
        <v>298</v>
      </c>
      <c r="AI57" s="212" t="s">
        <v>299</v>
      </c>
      <c r="AJ57" s="212" t="s">
        <v>350</v>
      </c>
    </row>
    <row r="58" spans="1:36" x14ac:dyDescent="0.2">
      <c r="A58" s="110" t="s">
        <v>557</v>
      </c>
      <c r="B58" s="309">
        <f>SUM(D58:AJ58)</f>
        <v>264054.80474807497</v>
      </c>
      <c r="C58" s="299" t="s">
        <v>558</v>
      </c>
      <c r="D58" s="310">
        <v>8460.1102212000005</v>
      </c>
      <c r="E58" s="311">
        <v>14249.415950000001</v>
      </c>
      <c r="F58" s="312">
        <v>12910.04</v>
      </c>
      <c r="G58" s="312">
        <v>5560.6386000000011</v>
      </c>
      <c r="H58" s="312">
        <v>8736.7637500000019</v>
      </c>
      <c r="I58" s="310">
        <v>16415.603600000002</v>
      </c>
      <c r="J58" s="311">
        <v>5182.8193999999985</v>
      </c>
      <c r="K58" s="312">
        <v>14044.694606249999</v>
      </c>
      <c r="L58" s="310">
        <v>2374.6249999999995</v>
      </c>
      <c r="M58" s="311">
        <v>17557.037575000002</v>
      </c>
      <c r="N58" s="310">
        <v>13488.736800000001</v>
      </c>
      <c r="O58" s="311">
        <v>26611.784375000003</v>
      </c>
      <c r="P58" s="312">
        <v>30161.821112500005</v>
      </c>
      <c r="Q58" s="312">
        <v>13118.118750000001</v>
      </c>
      <c r="R58" s="312">
        <v>6098.6457125000006</v>
      </c>
      <c r="S58" s="312">
        <v>8948.5004124999996</v>
      </c>
      <c r="T58" s="312">
        <v>4621.0576499999997</v>
      </c>
      <c r="U58" s="312">
        <v>8740.5539375000008</v>
      </c>
      <c r="V58" s="312">
        <v>3117.4419374999998</v>
      </c>
      <c r="W58" s="312">
        <v>4113.2590125000006</v>
      </c>
      <c r="X58" s="312">
        <v>2969.45</v>
      </c>
      <c r="Y58" s="312">
        <v>2165.5808625</v>
      </c>
      <c r="Z58" s="312">
        <v>11069.026512499999</v>
      </c>
      <c r="AA58" s="312">
        <v>7096.2383250000003</v>
      </c>
      <c r="AB58" s="312">
        <v>1801.2978018749998</v>
      </c>
      <c r="AC58" s="312">
        <v>5502.2279124999995</v>
      </c>
      <c r="AD58" s="312">
        <v>8939.3149312500009</v>
      </c>
      <c r="AE58" s="312">
        <v>0</v>
      </c>
      <c r="AF58" s="312">
        <v>0</v>
      </c>
      <c r="AG58" s="312">
        <v>0</v>
      </c>
      <c r="AH58" s="312">
        <v>0</v>
      </c>
      <c r="AI58" s="312">
        <v>0</v>
      </c>
      <c r="AJ58" s="312">
        <v>0</v>
      </c>
    </row>
    <row r="59" spans="1:36" x14ac:dyDescent="0.2">
      <c r="A59" s="110" t="s">
        <v>559</v>
      </c>
      <c r="B59" s="309">
        <f>SUM(D59:AJ59)</f>
        <v>211243.84379846</v>
      </c>
      <c r="C59" s="299" t="s">
        <v>560</v>
      </c>
      <c r="D59" s="310">
        <v>6768.0881769600001</v>
      </c>
      <c r="E59" s="311">
        <v>11399.532760000002</v>
      </c>
      <c r="F59" s="312">
        <v>10328.032000000001</v>
      </c>
      <c r="G59" s="312">
        <v>4448.5108800000007</v>
      </c>
      <c r="H59" s="312">
        <v>6989.4110000000001</v>
      </c>
      <c r="I59" s="310">
        <v>13132.482880000001</v>
      </c>
      <c r="J59" s="311">
        <v>4146.2555199999997</v>
      </c>
      <c r="K59" s="312">
        <v>11235.755685</v>
      </c>
      <c r="L59" s="310">
        <v>1899.6999999999998</v>
      </c>
      <c r="M59" s="311">
        <v>14045.630060000001</v>
      </c>
      <c r="N59" s="310">
        <v>10790.989440000001</v>
      </c>
      <c r="O59" s="311">
        <v>21289.427500000002</v>
      </c>
      <c r="P59" s="312">
        <v>24129.456890000001</v>
      </c>
      <c r="Q59" s="312">
        <v>10494.495000000001</v>
      </c>
      <c r="R59" s="312">
        <v>4878.9165700000003</v>
      </c>
      <c r="S59" s="312">
        <v>7158.80033</v>
      </c>
      <c r="T59" s="312">
        <v>3696.8461199999997</v>
      </c>
      <c r="U59" s="312">
        <v>6992.4431500000001</v>
      </c>
      <c r="V59" s="312">
        <v>2493.9535499999997</v>
      </c>
      <c r="W59" s="312">
        <v>3290.6072100000001</v>
      </c>
      <c r="X59" s="312">
        <v>2375.56</v>
      </c>
      <c r="Y59" s="312">
        <v>1732.4646899999998</v>
      </c>
      <c r="Z59" s="312">
        <v>8855.2212099999997</v>
      </c>
      <c r="AA59" s="312">
        <v>5676.9906600000004</v>
      </c>
      <c r="AB59" s="312">
        <v>1441.0382414999999</v>
      </c>
      <c r="AC59" s="312">
        <v>4401.78233</v>
      </c>
      <c r="AD59" s="312">
        <v>7151.4519449999998</v>
      </c>
      <c r="AE59" s="312">
        <v>0</v>
      </c>
      <c r="AF59" s="312">
        <v>0</v>
      </c>
      <c r="AG59" s="312">
        <v>0</v>
      </c>
      <c r="AH59" s="312">
        <v>0</v>
      </c>
      <c r="AI59" s="312">
        <v>0</v>
      </c>
      <c r="AJ59" s="312">
        <v>0</v>
      </c>
    </row>
    <row r="61" spans="1:36" x14ac:dyDescent="0.2">
      <c r="A61" s="258" t="s">
        <v>459</v>
      </c>
      <c r="B61" s="259"/>
      <c r="C61" s="264" t="s">
        <v>15</v>
      </c>
      <c r="D61" s="260" t="s">
        <v>288</v>
      </c>
      <c r="E61" s="261" t="s">
        <v>333</v>
      </c>
      <c r="F61" s="262" t="s">
        <v>334</v>
      </c>
      <c r="G61" s="262" t="s">
        <v>335</v>
      </c>
      <c r="H61" s="262" t="s">
        <v>336</v>
      </c>
      <c r="I61" s="260" t="s">
        <v>337</v>
      </c>
      <c r="J61" s="261" t="s">
        <v>338</v>
      </c>
      <c r="K61" s="262" t="s">
        <v>339</v>
      </c>
      <c r="L61" s="260" t="s">
        <v>325</v>
      </c>
      <c r="M61" s="261" t="s">
        <v>340</v>
      </c>
      <c r="N61" s="260" t="s">
        <v>341</v>
      </c>
      <c r="O61" s="261" t="s">
        <v>342</v>
      </c>
      <c r="P61" s="262" t="s">
        <v>343</v>
      </c>
      <c r="Q61" s="262" t="s">
        <v>344</v>
      </c>
      <c r="R61" s="262" t="s">
        <v>328</v>
      </c>
      <c r="S61" s="262" t="s">
        <v>329</v>
      </c>
      <c r="T61" s="262" t="s">
        <v>291</v>
      </c>
      <c r="U61" s="262" t="s">
        <v>330</v>
      </c>
      <c r="V61" s="262" t="s">
        <v>331</v>
      </c>
      <c r="W61" s="262" t="s">
        <v>292</v>
      </c>
      <c r="X61" s="262" t="s">
        <v>345</v>
      </c>
      <c r="Y61" s="262" t="s">
        <v>294</v>
      </c>
      <c r="Z61" s="262" t="s">
        <v>346</v>
      </c>
      <c r="AA61" s="262" t="s">
        <v>347</v>
      </c>
      <c r="AB61" s="262" t="s">
        <v>332</v>
      </c>
      <c r="AC61" s="262" t="s">
        <v>348</v>
      </c>
      <c r="AD61" s="262" t="s">
        <v>349</v>
      </c>
      <c r="AE61" s="262" t="s">
        <v>295</v>
      </c>
      <c r="AF61" s="262" t="s">
        <v>296</v>
      </c>
      <c r="AG61" s="262" t="s">
        <v>297</v>
      </c>
      <c r="AH61" s="262" t="s">
        <v>298</v>
      </c>
      <c r="AI61" s="262" t="s">
        <v>299</v>
      </c>
      <c r="AJ61" s="262" t="s">
        <v>350</v>
      </c>
    </row>
    <row r="62" spans="1:36" x14ac:dyDescent="0.2">
      <c r="A62" s="243" t="s">
        <v>301</v>
      </c>
      <c r="B62" s="39"/>
      <c r="C62" s="94">
        <f>SUM(D62:AJ62)*1000</f>
        <v>20807468</v>
      </c>
      <c r="D62" s="215">
        <v>0</v>
      </c>
      <c r="E62" s="215">
        <v>0</v>
      </c>
      <c r="F62" s="215">
        <v>0</v>
      </c>
      <c r="G62" s="215">
        <v>0</v>
      </c>
      <c r="H62" s="215">
        <v>0</v>
      </c>
      <c r="I62" s="215">
        <v>0</v>
      </c>
      <c r="J62" s="215">
        <v>0</v>
      </c>
      <c r="K62" s="215">
        <v>0</v>
      </c>
      <c r="L62" s="215">
        <v>0</v>
      </c>
      <c r="M62" s="215">
        <v>0</v>
      </c>
      <c r="N62" s="215">
        <v>0</v>
      </c>
      <c r="O62" s="215">
        <v>7056.1590000000006</v>
      </c>
      <c r="P62" s="215">
        <v>8806.6660000000011</v>
      </c>
      <c r="Q62" s="215">
        <v>0</v>
      </c>
      <c r="R62" s="215">
        <v>0</v>
      </c>
      <c r="S62" s="215">
        <v>0</v>
      </c>
      <c r="T62" s="215">
        <v>0</v>
      </c>
      <c r="U62" s="215">
        <v>0</v>
      </c>
      <c r="V62" s="215">
        <v>0</v>
      </c>
      <c r="W62" s="215">
        <v>0</v>
      </c>
      <c r="X62" s="215">
        <v>505.90099999999995</v>
      </c>
      <c r="Y62" s="215">
        <v>0</v>
      </c>
      <c r="Z62" s="215">
        <v>0</v>
      </c>
      <c r="AA62" s="215">
        <v>0</v>
      </c>
      <c r="AB62" s="215">
        <v>0</v>
      </c>
      <c r="AC62" s="215">
        <v>0</v>
      </c>
      <c r="AD62" s="215">
        <v>4438.7420000000002</v>
      </c>
      <c r="AE62" s="38"/>
      <c r="AF62" s="38"/>
      <c r="AG62" s="38"/>
      <c r="AH62" s="38"/>
      <c r="AI62" s="38"/>
      <c r="AJ62" s="38"/>
    </row>
    <row r="63" spans="1:36" x14ac:dyDescent="0.2">
      <c r="A63" s="243" t="s">
        <v>302</v>
      </c>
      <c r="B63" s="39"/>
      <c r="C63" s="94">
        <f t="shared" ref="C63:C74" si="85">SUM(D63:AJ63)*1000</f>
        <v>2125420</v>
      </c>
      <c r="D63" s="216">
        <v>0</v>
      </c>
      <c r="E63" s="216">
        <v>0</v>
      </c>
      <c r="F63" s="216">
        <v>0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0</v>
      </c>
      <c r="M63" s="216">
        <v>0</v>
      </c>
      <c r="N63" s="216">
        <v>0</v>
      </c>
      <c r="O63" s="216">
        <v>786.77499999999998</v>
      </c>
      <c r="P63" s="216">
        <v>1215.83</v>
      </c>
      <c r="Q63" s="216">
        <v>0</v>
      </c>
      <c r="R63" s="216">
        <v>0</v>
      </c>
      <c r="S63" s="216">
        <v>0</v>
      </c>
      <c r="T63" s="216">
        <v>0</v>
      </c>
      <c r="U63" s="216">
        <v>0</v>
      </c>
      <c r="V63" s="216">
        <v>0</v>
      </c>
      <c r="W63" s="216">
        <v>0</v>
      </c>
      <c r="X63" s="216">
        <v>122.81500000000001</v>
      </c>
      <c r="Y63" s="216">
        <v>0</v>
      </c>
      <c r="Z63" s="216">
        <v>0</v>
      </c>
      <c r="AA63" s="216">
        <v>0</v>
      </c>
      <c r="AB63" s="216">
        <v>0</v>
      </c>
      <c r="AC63" s="216">
        <v>0</v>
      </c>
      <c r="AD63" s="216">
        <v>0</v>
      </c>
      <c r="AE63" s="38"/>
      <c r="AF63" s="38"/>
      <c r="AG63" s="38"/>
      <c r="AH63" s="38"/>
      <c r="AI63" s="38"/>
      <c r="AJ63" s="38"/>
    </row>
    <row r="64" spans="1:36" x14ac:dyDescent="0.2">
      <c r="A64" s="243" t="s">
        <v>210</v>
      </c>
      <c r="B64" s="39"/>
      <c r="C64" s="94">
        <f t="shared" si="85"/>
        <v>15607350</v>
      </c>
      <c r="D64" s="216">
        <v>0</v>
      </c>
      <c r="E64" s="216">
        <v>0</v>
      </c>
      <c r="F64" s="216">
        <v>0</v>
      </c>
      <c r="G64" s="216">
        <v>1002.1</v>
      </c>
      <c r="H64" s="216">
        <v>0</v>
      </c>
      <c r="I64" s="216">
        <v>1018.6</v>
      </c>
      <c r="J64" s="216">
        <v>0</v>
      </c>
      <c r="K64" s="216">
        <v>4609</v>
      </c>
      <c r="L64" s="216">
        <v>1899.6999999999998</v>
      </c>
      <c r="M64" s="216">
        <v>68.2</v>
      </c>
      <c r="N64" s="216">
        <v>963.6</v>
      </c>
      <c r="O64" s="216">
        <v>1228.1499999999999</v>
      </c>
      <c r="P64" s="216">
        <v>963.6</v>
      </c>
      <c r="Q64" s="216">
        <v>0</v>
      </c>
      <c r="R64" s="216">
        <v>0</v>
      </c>
      <c r="S64" s="216">
        <v>0</v>
      </c>
      <c r="T64" s="216">
        <v>0</v>
      </c>
      <c r="U64" s="216">
        <v>0</v>
      </c>
      <c r="V64" s="216">
        <v>0</v>
      </c>
      <c r="W64" s="216">
        <v>0</v>
      </c>
      <c r="X64" s="216">
        <v>0</v>
      </c>
      <c r="Y64" s="216">
        <v>0</v>
      </c>
      <c r="Z64" s="216">
        <v>3854.4</v>
      </c>
      <c r="AA64" s="216">
        <v>0</v>
      </c>
      <c r="AB64" s="216">
        <v>0</v>
      </c>
      <c r="AC64" s="216">
        <v>0</v>
      </c>
      <c r="AD64" s="216">
        <v>0</v>
      </c>
      <c r="AE64" s="94"/>
      <c r="AF64" s="94"/>
      <c r="AG64" s="94"/>
      <c r="AH64" s="94"/>
      <c r="AI64" s="94"/>
      <c r="AJ64" s="94"/>
    </row>
    <row r="65" spans="1:36" x14ac:dyDescent="0.2">
      <c r="A65" s="243" t="s">
        <v>82</v>
      </c>
      <c r="B65" s="39"/>
      <c r="C65" s="94">
        <f t="shared" si="85"/>
        <v>160366621.79845998</v>
      </c>
      <c r="D65" s="216">
        <v>1770.12817696</v>
      </c>
      <c r="E65" s="216">
        <v>10343.367760000001</v>
      </c>
      <c r="F65" s="216">
        <v>10328.032000000001</v>
      </c>
      <c r="G65" s="216">
        <v>3446.4108800000004</v>
      </c>
      <c r="H65" s="216">
        <v>3724.8640000000005</v>
      </c>
      <c r="I65" s="216">
        <v>12113.882880000001</v>
      </c>
      <c r="J65" s="216">
        <v>3718.0915199999999</v>
      </c>
      <c r="K65" s="216">
        <v>6626.7556850000001</v>
      </c>
      <c r="L65" s="216">
        <v>0</v>
      </c>
      <c r="M65" s="216">
        <v>13073.890060000002</v>
      </c>
      <c r="N65" s="216">
        <v>9615.7494400000014</v>
      </c>
      <c r="O65" s="216">
        <v>12185.783499999998</v>
      </c>
      <c r="P65" s="216">
        <v>13143.36089</v>
      </c>
      <c r="Q65" s="216">
        <v>10494.495000000001</v>
      </c>
      <c r="R65" s="216">
        <v>4878.9165700000003</v>
      </c>
      <c r="S65" s="216">
        <v>7158.80033</v>
      </c>
      <c r="T65" s="216">
        <v>3696.8461199999997</v>
      </c>
      <c r="U65" s="216">
        <v>6992.4431500000001</v>
      </c>
      <c r="V65" s="216">
        <v>2493.9535499999997</v>
      </c>
      <c r="W65" s="216">
        <v>3290.6072100000001</v>
      </c>
      <c r="X65" s="216">
        <v>1710.2139999999999</v>
      </c>
      <c r="Y65" s="216">
        <v>1732.4646899999998</v>
      </c>
      <c r="Z65" s="216">
        <v>5000.8212100000001</v>
      </c>
      <c r="AA65" s="216">
        <v>5455.58266</v>
      </c>
      <c r="AB65" s="216">
        <v>1441.0382414999999</v>
      </c>
      <c r="AC65" s="216">
        <v>3217.4123300000001</v>
      </c>
      <c r="AD65" s="216">
        <v>2712.7099449999996</v>
      </c>
      <c r="AE65" s="38"/>
      <c r="AF65" s="38"/>
      <c r="AG65" s="38"/>
      <c r="AH65" s="38"/>
      <c r="AI65" s="38"/>
      <c r="AJ65" s="38"/>
    </row>
    <row r="66" spans="1:36" x14ac:dyDescent="0.2">
      <c r="A66" s="243" t="s">
        <v>81</v>
      </c>
      <c r="B66" s="39"/>
      <c r="C66" s="94">
        <f t="shared" si="85"/>
        <v>0</v>
      </c>
      <c r="D66" s="216">
        <v>0</v>
      </c>
      <c r="E66" s="216">
        <v>0</v>
      </c>
      <c r="F66" s="216">
        <v>0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0</v>
      </c>
      <c r="M66" s="216">
        <v>0</v>
      </c>
      <c r="N66" s="216">
        <v>0</v>
      </c>
      <c r="O66" s="216">
        <v>0</v>
      </c>
      <c r="P66" s="216">
        <v>0</v>
      </c>
      <c r="Q66" s="216">
        <v>0</v>
      </c>
      <c r="R66" s="216">
        <v>0</v>
      </c>
      <c r="S66" s="216">
        <v>0</v>
      </c>
      <c r="T66" s="216">
        <v>0</v>
      </c>
      <c r="U66" s="216">
        <v>0</v>
      </c>
      <c r="V66" s="216">
        <v>0</v>
      </c>
      <c r="W66" s="216">
        <v>0</v>
      </c>
      <c r="X66" s="216">
        <v>0</v>
      </c>
      <c r="Y66" s="216">
        <v>0</v>
      </c>
      <c r="Z66" s="216">
        <v>0</v>
      </c>
      <c r="AA66" s="216">
        <v>0</v>
      </c>
      <c r="AB66" s="216">
        <v>0</v>
      </c>
      <c r="AC66" s="216">
        <v>0</v>
      </c>
      <c r="AD66" s="216">
        <v>0</v>
      </c>
      <c r="AE66" s="38"/>
      <c r="AF66" s="38"/>
      <c r="AG66" s="38"/>
      <c r="AH66" s="38"/>
      <c r="AI66" s="38"/>
      <c r="AJ66" s="38"/>
    </row>
    <row r="67" spans="1:36" x14ac:dyDescent="0.2">
      <c r="A67" s="243" t="s">
        <v>303</v>
      </c>
      <c r="B67" s="39"/>
      <c r="C67" s="94">
        <f t="shared" si="85"/>
        <v>12304424</v>
      </c>
      <c r="D67" s="216">
        <v>4997.96</v>
      </c>
      <c r="E67" s="216">
        <v>1056.165</v>
      </c>
      <c r="F67" s="216">
        <v>0</v>
      </c>
      <c r="G67" s="216">
        <v>0</v>
      </c>
      <c r="H67" s="216">
        <v>3264.547</v>
      </c>
      <c r="I67" s="216">
        <v>0</v>
      </c>
      <c r="J67" s="216">
        <v>428.16399999999993</v>
      </c>
      <c r="K67" s="216">
        <v>0</v>
      </c>
      <c r="L67" s="216">
        <v>0</v>
      </c>
      <c r="M67" s="216">
        <v>903.53999999999985</v>
      </c>
      <c r="N67" s="216">
        <v>211.64000000000001</v>
      </c>
      <c r="O67" s="216">
        <v>0</v>
      </c>
      <c r="P67" s="216">
        <v>0</v>
      </c>
      <c r="Q67" s="216">
        <v>0</v>
      </c>
      <c r="R67" s="216">
        <v>0</v>
      </c>
      <c r="S67" s="216">
        <v>0</v>
      </c>
      <c r="T67" s="216">
        <v>0</v>
      </c>
      <c r="U67" s="216">
        <v>0</v>
      </c>
      <c r="V67" s="216">
        <v>0</v>
      </c>
      <c r="W67" s="216">
        <v>0</v>
      </c>
      <c r="X67" s="216">
        <v>36.629999999999995</v>
      </c>
      <c r="Y67" s="216">
        <v>0</v>
      </c>
      <c r="Z67" s="216">
        <v>0</v>
      </c>
      <c r="AA67" s="216">
        <v>221.40800000000002</v>
      </c>
      <c r="AB67" s="216">
        <v>0</v>
      </c>
      <c r="AC67" s="216">
        <v>1184.3699999999999</v>
      </c>
      <c r="AD67" s="216">
        <v>0</v>
      </c>
      <c r="AE67" s="38"/>
      <c r="AF67" s="38"/>
      <c r="AG67" s="38"/>
      <c r="AH67" s="38"/>
      <c r="AI67" s="38"/>
      <c r="AJ67" s="38"/>
    </row>
    <row r="68" spans="1:36" x14ac:dyDescent="0.2">
      <c r="A68" s="243" t="s">
        <v>205</v>
      </c>
      <c r="B68" s="39"/>
      <c r="C68" s="94">
        <f t="shared" si="85"/>
        <v>0</v>
      </c>
      <c r="D68" s="216">
        <v>0</v>
      </c>
      <c r="E68" s="216">
        <v>0</v>
      </c>
      <c r="F68" s="216">
        <v>0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>
        <v>0</v>
      </c>
      <c r="M68" s="216">
        <v>0</v>
      </c>
      <c r="N68" s="216">
        <v>0</v>
      </c>
      <c r="O68" s="216">
        <v>0</v>
      </c>
      <c r="P68" s="216">
        <v>0</v>
      </c>
      <c r="Q68" s="216">
        <v>0</v>
      </c>
      <c r="R68" s="216">
        <v>0</v>
      </c>
      <c r="S68" s="216">
        <v>0</v>
      </c>
      <c r="T68" s="216">
        <v>0</v>
      </c>
      <c r="U68" s="216">
        <v>0</v>
      </c>
      <c r="V68" s="216">
        <v>0</v>
      </c>
      <c r="W68" s="216">
        <v>0</v>
      </c>
      <c r="X68" s="216">
        <v>0</v>
      </c>
      <c r="Y68" s="216">
        <v>0</v>
      </c>
      <c r="Z68" s="216">
        <v>0</v>
      </c>
      <c r="AA68" s="216">
        <v>0</v>
      </c>
      <c r="AB68" s="216">
        <v>0</v>
      </c>
      <c r="AC68" s="216">
        <v>0</v>
      </c>
      <c r="AD68" s="216">
        <v>0</v>
      </c>
      <c r="AE68" s="38"/>
      <c r="AF68" s="38"/>
      <c r="AG68" s="38"/>
      <c r="AH68" s="38"/>
      <c r="AI68" s="38"/>
      <c r="AJ68" s="38"/>
    </row>
    <row r="69" spans="1:36" x14ac:dyDescent="0.2">
      <c r="A69" s="243" t="s">
        <v>206</v>
      </c>
      <c r="B69" s="39"/>
      <c r="C69" s="94">
        <f t="shared" si="85"/>
        <v>0</v>
      </c>
      <c r="D69" s="216">
        <v>0</v>
      </c>
      <c r="E69" s="216">
        <v>0</v>
      </c>
      <c r="F69" s="216">
        <v>0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>
        <v>0</v>
      </c>
      <c r="M69" s="216">
        <v>0</v>
      </c>
      <c r="N69" s="216">
        <v>0</v>
      </c>
      <c r="O69" s="216">
        <v>0</v>
      </c>
      <c r="P69" s="216">
        <v>0</v>
      </c>
      <c r="Q69" s="216">
        <v>0</v>
      </c>
      <c r="R69" s="216">
        <v>0</v>
      </c>
      <c r="S69" s="216">
        <v>0</v>
      </c>
      <c r="T69" s="216">
        <v>0</v>
      </c>
      <c r="U69" s="216">
        <v>0</v>
      </c>
      <c r="V69" s="216">
        <v>0</v>
      </c>
      <c r="W69" s="216">
        <v>0</v>
      </c>
      <c r="X69" s="216">
        <v>0</v>
      </c>
      <c r="Y69" s="216">
        <v>0</v>
      </c>
      <c r="Z69" s="216">
        <v>0</v>
      </c>
      <c r="AA69" s="216">
        <v>0</v>
      </c>
      <c r="AB69" s="216">
        <v>0</v>
      </c>
      <c r="AC69" s="216">
        <v>0</v>
      </c>
      <c r="AD69" s="216">
        <v>0</v>
      </c>
      <c r="AE69" s="38"/>
      <c r="AF69" s="38"/>
      <c r="AG69" s="38"/>
      <c r="AH69" s="38"/>
      <c r="AI69" s="38"/>
      <c r="AJ69" s="38"/>
    </row>
    <row r="70" spans="1:36" x14ac:dyDescent="0.2">
      <c r="A70" s="243" t="s">
        <v>304</v>
      </c>
      <c r="B70" s="39"/>
      <c r="C70" s="94">
        <f t="shared" si="85"/>
        <v>0</v>
      </c>
      <c r="D70" s="216">
        <v>0</v>
      </c>
      <c r="E70" s="216">
        <v>0</v>
      </c>
      <c r="F70" s="216">
        <v>0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>
        <v>0</v>
      </c>
      <c r="M70" s="216">
        <v>0</v>
      </c>
      <c r="N70" s="216">
        <v>0</v>
      </c>
      <c r="O70" s="216">
        <v>0</v>
      </c>
      <c r="P70" s="216">
        <v>0</v>
      </c>
      <c r="Q70" s="216">
        <v>0</v>
      </c>
      <c r="R70" s="216">
        <v>0</v>
      </c>
      <c r="S70" s="216">
        <v>0</v>
      </c>
      <c r="T70" s="216">
        <v>0</v>
      </c>
      <c r="U70" s="216">
        <v>0</v>
      </c>
      <c r="V70" s="216">
        <v>0</v>
      </c>
      <c r="W70" s="216">
        <v>0</v>
      </c>
      <c r="X70" s="216">
        <v>0</v>
      </c>
      <c r="Y70" s="216">
        <v>0</v>
      </c>
      <c r="Z70" s="216">
        <v>0</v>
      </c>
      <c r="AA70" s="216">
        <v>0</v>
      </c>
      <c r="AB70" s="216">
        <v>0</v>
      </c>
      <c r="AC70" s="216">
        <v>0</v>
      </c>
      <c r="AD70" s="216">
        <v>0</v>
      </c>
      <c r="AE70" s="38"/>
      <c r="AF70" s="38"/>
      <c r="AG70" s="38"/>
      <c r="AH70" s="38"/>
      <c r="AI70" s="38"/>
      <c r="AJ70" s="38"/>
    </row>
    <row r="71" spans="1:36" x14ac:dyDescent="0.2">
      <c r="A71" s="243" t="s">
        <v>305</v>
      </c>
      <c r="B71" s="39"/>
      <c r="C71" s="94">
        <f t="shared" si="85"/>
        <v>0</v>
      </c>
      <c r="D71" s="216">
        <v>0</v>
      </c>
      <c r="E71" s="216">
        <v>0</v>
      </c>
      <c r="F71" s="216">
        <v>0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>
        <v>0</v>
      </c>
      <c r="M71" s="216">
        <v>0</v>
      </c>
      <c r="N71" s="216">
        <v>0</v>
      </c>
      <c r="O71" s="216">
        <v>0</v>
      </c>
      <c r="P71" s="216">
        <v>0</v>
      </c>
      <c r="Q71" s="216">
        <v>0</v>
      </c>
      <c r="R71" s="216">
        <v>0</v>
      </c>
      <c r="S71" s="216">
        <v>0</v>
      </c>
      <c r="T71" s="216">
        <v>0</v>
      </c>
      <c r="U71" s="216">
        <v>0</v>
      </c>
      <c r="V71" s="216">
        <v>0</v>
      </c>
      <c r="W71" s="216">
        <v>0</v>
      </c>
      <c r="X71" s="216">
        <v>0</v>
      </c>
      <c r="Y71" s="216">
        <v>0</v>
      </c>
      <c r="Z71" s="216">
        <v>0</v>
      </c>
      <c r="AA71" s="216">
        <v>0</v>
      </c>
      <c r="AB71" s="216">
        <v>0</v>
      </c>
      <c r="AC71" s="216">
        <v>0</v>
      </c>
      <c r="AD71" s="216">
        <v>0</v>
      </c>
      <c r="AE71" s="38"/>
      <c r="AF71" s="38"/>
      <c r="AG71" s="38"/>
      <c r="AH71" s="38"/>
      <c r="AI71" s="38"/>
      <c r="AJ71" s="38"/>
    </row>
    <row r="72" spans="1:36" x14ac:dyDescent="0.2">
      <c r="A72" s="243" t="s">
        <v>306</v>
      </c>
      <c r="B72" s="39"/>
      <c r="C72" s="94">
        <f t="shared" si="85"/>
        <v>32560.000000000004</v>
      </c>
      <c r="D72" s="216">
        <v>0</v>
      </c>
      <c r="E72" s="216">
        <v>0</v>
      </c>
      <c r="F72" s="216">
        <v>0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>
        <v>0</v>
      </c>
      <c r="M72" s="216">
        <v>0</v>
      </c>
      <c r="N72" s="216">
        <v>0</v>
      </c>
      <c r="O72" s="216">
        <v>32.56</v>
      </c>
      <c r="P72" s="216">
        <v>0</v>
      </c>
      <c r="Q72" s="216">
        <v>0</v>
      </c>
      <c r="R72" s="216">
        <v>0</v>
      </c>
      <c r="S72" s="216">
        <v>0</v>
      </c>
      <c r="T72" s="216">
        <v>0</v>
      </c>
      <c r="U72" s="216">
        <v>0</v>
      </c>
      <c r="V72" s="216">
        <v>0</v>
      </c>
      <c r="W72" s="216">
        <v>0</v>
      </c>
      <c r="X72" s="216">
        <v>0</v>
      </c>
      <c r="Y72" s="216">
        <v>0</v>
      </c>
      <c r="Z72" s="216">
        <v>0</v>
      </c>
      <c r="AA72" s="216">
        <v>0</v>
      </c>
      <c r="AB72" s="216">
        <v>0</v>
      </c>
      <c r="AC72" s="216">
        <v>0</v>
      </c>
      <c r="AD72" s="216">
        <v>0</v>
      </c>
      <c r="AE72" s="38"/>
      <c r="AF72" s="38"/>
      <c r="AG72" s="38"/>
      <c r="AH72" s="38"/>
      <c r="AI72" s="38"/>
      <c r="AJ72" s="38"/>
    </row>
    <row r="73" spans="1:36" ht="15" thickBot="1" x14ac:dyDescent="0.25">
      <c r="A73" s="243" t="s">
        <v>307</v>
      </c>
      <c r="B73" s="39"/>
      <c r="C73" s="94">
        <f t="shared" si="85"/>
        <v>0</v>
      </c>
      <c r="D73" s="216">
        <v>0</v>
      </c>
      <c r="E73" s="216">
        <v>0</v>
      </c>
      <c r="F73" s="216">
        <v>0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>
        <v>0</v>
      </c>
      <c r="M73" s="216">
        <v>0</v>
      </c>
      <c r="N73" s="216">
        <v>0</v>
      </c>
      <c r="O73" s="216">
        <v>0</v>
      </c>
      <c r="P73" s="216">
        <v>0</v>
      </c>
      <c r="Q73" s="216">
        <v>0</v>
      </c>
      <c r="R73" s="216">
        <v>0</v>
      </c>
      <c r="S73" s="216">
        <v>0</v>
      </c>
      <c r="T73" s="216">
        <v>0</v>
      </c>
      <c r="U73" s="216">
        <v>0</v>
      </c>
      <c r="V73" s="216">
        <v>0</v>
      </c>
      <c r="W73" s="216">
        <v>0</v>
      </c>
      <c r="X73" s="216">
        <v>0</v>
      </c>
      <c r="Y73" s="216">
        <v>0</v>
      </c>
      <c r="Z73" s="216">
        <v>0</v>
      </c>
      <c r="AA73" s="216">
        <v>0</v>
      </c>
      <c r="AB73" s="216">
        <v>0</v>
      </c>
      <c r="AC73" s="216">
        <v>0</v>
      </c>
      <c r="AD73" s="216">
        <v>0</v>
      </c>
      <c r="AE73" s="38"/>
      <c r="AF73" s="38"/>
      <c r="AG73" s="38"/>
      <c r="AH73" s="38"/>
      <c r="AI73" s="38"/>
      <c r="AJ73" s="38"/>
    </row>
    <row r="74" spans="1:36" ht="15.75" thickBot="1" x14ac:dyDescent="0.3">
      <c r="A74" s="10" t="s">
        <v>187</v>
      </c>
      <c r="B74" s="224"/>
      <c r="C74" s="94">
        <f t="shared" si="85"/>
        <v>211243843.79846001</v>
      </c>
      <c r="D74" s="223">
        <v>6768.0881769600001</v>
      </c>
      <c r="E74" s="223">
        <v>11399.532760000002</v>
      </c>
      <c r="F74" s="223">
        <v>10328.032000000001</v>
      </c>
      <c r="G74" s="223">
        <v>4448.5108800000007</v>
      </c>
      <c r="H74" s="223">
        <v>6989.4110000000001</v>
      </c>
      <c r="I74" s="223">
        <v>13132.482880000001</v>
      </c>
      <c r="J74" s="223">
        <v>4146.2555199999997</v>
      </c>
      <c r="K74" s="223">
        <v>11235.755685</v>
      </c>
      <c r="L74" s="223">
        <v>1899.6999999999998</v>
      </c>
      <c r="M74" s="223">
        <v>14045.630060000001</v>
      </c>
      <c r="N74" s="223">
        <v>10790.989440000001</v>
      </c>
      <c r="O74" s="223">
        <v>21289.427500000002</v>
      </c>
      <c r="P74" s="223">
        <v>24129.456890000001</v>
      </c>
      <c r="Q74" s="223">
        <v>10494.495000000001</v>
      </c>
      <c r="R74" s="223">
        <v>4878.9165700000003</v>
      </c>
      <c r="S74" s="223">
        <v>7158.80033</v>
      </c>
      <c r="T74" s="223">
        <v>3696.8461199999997</v>
      </c>
      <c r="U74" s="223">
        <v>6992.4431500000001</v>
      </c>
      <c r="V74" s="223">
        <v>2493.9535499999997</v>
      </c>
      <c r="W74" s="223">
        <v>3290.6072100000001</v>
      </c>
      <c r="X74" s="223">
        <v>2375.56</v>
      </c>
      <c r="Y74" s="288">
        <f t="shared" ref="Y74" si="86">SUM(Y62:Y73)</f>
        <v>1732.4646899999998</v>
      </c>
      <c r="Z74" s="287">
        <v>8855.2212099999997</v>
      </c>
      <c r="AA74" s="223">
        <v>5676.9906600000004</v>
      </c>
      <c r="AB74" s="223">
        <v>1441.0382414999999</v>
      </c>
      <c r="AC74" s="223">
        <v>4401.78233</v>
      </c>
      <c r="AD74" s="223">
        <v>7151.4519449999998</v>
      </c>
    </row>
    <row r="75" spans="1:36" ht="15" x14ac:dyDescent="0.25">
      <c r="B75" s="224"/>
      <c r="C75" s="313"/>
      <c r="D75" s="316"/>
      <c r="E75" s="316"/>
      <c r="F75" s="316"/>
      <c r="G75" s="316"/>
      <c r="H75" s="316"/>
      <c r="I75" s="316"/>
      <c r="J75" s="316"/>
      <c r="K75" s="316"/>
      <c r="L75" s="316"/>
      <c r="M75" s="316"/>
      <c r="N75" s="316"/>
      <c r="O75" s="316"/>
      <c r="P75" s="316"/>
      <c r="Q75" s="316"/>
      <c r="R75" s="316"/>
      <c r="S75" s="316"/>
      <c r="T75" s="316"/>
      <c r="U75" s="316"/>
      <c r="V75" s="316"/>
      <c r="W75" s="316"/>
      <c r="X75" s="316"/>
      <c r="Y75" s="317"/>
      <c r="Z75" s="316"/>
      <c r="AA75" s="316"/>
      <c r="AB75" s="316"/>
      <c r="AC75" s="316"/>
      <c r="AD75" s="316"/>
    </row>
    <row r="76" spans="1:36" x14ac:dyDescent="0.2">
      <c r="A76" s="314" t="s">
        <v>486</v>
      </c>
      <c r="B76" s="315"/>
      <c r="C76" s="295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6"/>
      <c r="U76" s="296"/>
      <c r="V76" s="296"/>
      <c r="W76" s="296"/>
      <c r="X76" s="296"/>
      <c r="Y76" s="296"/>
      <c r="Z76" s="296"/>
      <c r="AA76" s="296"/>
      <c r="AB76" s="296"/>
      <c r="AC76" s="296"/>
      <c r="AD76" s="296"/>
      <c r="AE76" s="296"/>
      <c r="AF76" s="296"/>
      <c r="AG76" s="296"/>
      <c r="AH76" s="296"/>
      <c r="AI76" s="296"/>
      <c r="AJ76" s="296"/>
    </row>
    <row r="77" spans="1:36" x14ac:dyDescent="0.2">
      <c r="A77" s="297"/>
      <c r="B77" s="298"/>
      <c r="C77" s="299" t="s">
        <v>522</v>
      </c>
      <c r="D77" s="300" t="s">
        <v>523</v>
      </c>
      <c r="E77" s="301" t="s">
        <v>524</v>
      </c>
      <c r="F77" s="302" t="s">
        <v>525</v>
      </c>
      <c r="G77" s="302" t="s">
        <v>526</v>
      </c>
      <c r="H77" s="302" t="s">
        <v>527</v>
      </c>
      <c r="I77" s="303" t="s">
        <v>528</v>
      </c>
      <c r="J77" s="304" t="s">
        <v>529</v>
      </c>
      <c r="K77" s="305" t="s">
        <v>530</v>
      </c>
      <c r="L77" s="300" t="s">
        <v>531</v>
      </c>
      <c r="M77" s="301" t="s">
        <v>532</v>
      </c>
      <c r="N77" s="303" t="s">
        <v>533</v>
      </c>
      <c r="O77" s="304" t="s">
        <v>534</v>
      </c>
      <c r="P77" s="305" t="s">
        <v>535</v>
      </c>
      <c r="Q77" s="305" t="s">
        <v>536</v>
      </c>
      <c r="R77" s="305" t="s">
        <v>537</v>
      </c>
      <c r="S77" s="305" t="s">
        <v>538</v>
      </c>
      <c r="T77" s="305" t="s">
        <v>539</v>
      </c>
      <c r="U77" s="305" t="s">
        <v>540</v>
      </c>
      <c r="V77" s="305" t="s">
        <v>541</v>
      </c>
      <c r="W77" s="305" t="s">
        <v>542</v>
      </c>
      <c r="X77" s="302" t="s">
        <v>543</v>
      </c>
      <c r="Y77" s="305" t="s">
        <v>544</v>
      </c>
      <c r="Z77" s="302" t="s">
        <v>545</v>
      </c>
      <c r="AA77" s="302" t="s">
        <v>546</v>
      </c>
      <c r="AB77" s="305" t="s">
        <v>547</v>
      </c>
      <c r="AC77" s="302" t="s">
        <v>492</v>
      </c>
      <c r="AD77" s="302" t="s">
        <v>548</v>
      </c>
      <c r="AE77" s="305" t="s">
        <v>549</v>
      </c>
      <c r="AF77" s="302" t="s">
        <v>550</v>
      </c>
      <c r="AG77" s="305" t="s">
        <v>551</v>
      </c>
      <c r="AH77" s="306" t="s">
        <v>552</v>
      </c>
      <c r="AI77" s="305" t="s">
        <v>553</v>
      </c>
      <c r="AJ77" s="306" t="s">
        <v>554</v>
      </c>
    </row>
    <row r="78" spans="1:36" x14ac:dyDescent="0.2">
      <c r="A78" s="307"/>
      <c r="B78" s="308"/>
      <c r="C78" s="299" t="s">
        <v>556</v>
      </c>
      <c r="D78" s="222" t="s">
        <v>441</v>
      </c>
      <c r="E78" s="220" t="s">
        <v>322</v>
      </c>
      <c r="F78" s="221" t="s">
        <v>323</v>
      </c>
      <c r="G78" s="212" t="s">
        <v>488</v>
      </c>
      <c r="H78" s="212" t="s">
        <v>289</v>
      </c>
      <c r="I78" s="210" t="s">
        <v>489</v>
      </c>
      <c r="J78" s="211" t="s">
        <v>290</v>
      </c>
      <c r="K78" s="221" t="s">
        <v>324</v>
      </c>
      <c r="L78" s="222" t="s">
        <v>351</v>
      </c>
      <c r="M78" s="220" t="s">
        <v>352</v>
      </c>
      <c r="N78" s="222" t="s">
        <v>326</v>
      </c>
      <c r="O78" s="220" t="s">
        <v>490</v>
      </c>
      <c r="P78" s="221" t="s">
        <v>327</v>
      </c>
      <c r="Q78" s="221" t="s">
        <v>353</v>
      </c>
      <c r="R78" s="212" t="s">
        <v>435</v>
      </c>
      <c r="S78" s="212" t="s">
        <v>436</v>
      </c>
      <c r="T78" s="212" t="s">
        <v>437</v>
      </c>
      <c r="U78" s="212" t="s">
        <v>438</v>
      </c>
      <c r="V78" s="212" t="s">
        <v>439</v>
      </c>
      <c r="W78" s="212" t="s">
        <v>440</v>
      </c>
      <c r="X78" s="212" t="s">
        <v>293</v>
      </c>
      <c r="Y78" s="212" t="s">
        <v>294</v>
      </c>
      <c r="Z78" s="212" t="s">
        <v>346</v>
      </c>
      <c r="AA78" s="212" t="s">
        <v>347</v>
      </c>
      <c r="AB78" s="221" t="s">
        <v>354</v>
      </c>
      <c r="AC78" s="212" t="s">
        <v>501</v>
      </c>
      <c r="AD78" s="212" t="s">
        <v>349</v>
      </c>
      <c r="AE78" s="212" t="s">
        <v>295</v>
      </c>
      <c r="AF78" s="212" t="s">
        <v>296</v>
      </c>
      <c r="AG78" s="212" t="s">
        <v>297</v>
      </c>
      <c r="AH78" s="212" t="s">
        <v>298</v>
      </c>
      <c r="AI78" s="212" t="s">
        <v>299</v>
      </c>
      <c r="AJ78" s="212" t="s">
        <v>300</v>
      </c>
    </row>
    <row r="79" spans="1:36" x14ac:dyDescent="0.2">
      <c r="A79" s="110" t="s">
        <v>557</v>
      </c>
      <c r="B79" s="309">
        <f>SUM(D79:AJ79)</f>
        <v>710538.49534126255</v>
      </c>
      <c r="C79" s="299" t="s">
        <v>558</v>
      </c>
      <c r="D79" s="310">
        <v>10828.107721199998</v>
      </c>
      <c r="E79" s="311">
        <v>29170.833450000002</v>
      </c>
      <c r="F79" s="312">
        <v>20384.562000000002</v>
      </c>
      <c r="G79" s="312">
        <v>54891.342058250004</v>
      </c>
      <c r="H79" s="312">
        <v>56688.117408862483</v>
      </c>
      <c r="I79" s="310">
        <v>140186.44110294999</v>
      </c>
      <c r="J79" s="311">
        <v>20785.614987500005</v>
      </c>
      <c r="K79" s="312">
        <v>42715.283531249996</v>
      </c>
      <c r="L79" s="310">
        <v>3278.2667499999993</v>
      </c>
      <c r="M79" s="311">
        <v>34497.994712500004</v>
      </c>
      <c r="N79" s="310">
        <v>31612.9874375</v>
      </c>
      <c r="O79" s="311">
        <v>27640.215624999997</v>
      </c>
      <c r="P79" s="312">
        <v>33297.542987500005</v>
      </c>
      <c r="Q79" s="312">
        <v>47672.984562499994</v>
      </c>
      <c r="R79" s="311">
        <v>21579.117587500001</v>
      </c>
      <c r="S79" s="311">
        <v>12678.6554125</v>
      </c>
      <c r="T79" s="311">
        <v>19308.518899999999</v>
      </c>
      <c r="U79" s="311">
        <v>12246.731749999999</v>
      </c>
      <c r="V79" s="311">
        <v>10320.152562499999</v>
      </c>
      <c r="W79" s="311">
        <v>7236.3033875000001</v>
      </c>
      <c r="X79" s="312">
        <v>28890.422275000001</v>
      </c>
      <c r="Y79" s="312">
        <v>2165.5808625</v>
      </c>
      <c r="Z79" s="312">
        <v>11069.026512499999</v>
      </c>
      <c r="AA79" s="312">
        <v>7096.2383250000003</v>
      </c>
      <c r="AB79" s="312">
        <v>1923.9549999999999</v>
      </c>
      <c r="AC79" s="312">
        <v>6405.9260000000004</v>
      </c>
      <c r="AD79" s="312">
        <v>8939.3149312500009</v>
      </c>
      <c r="AE79" s="312">
        <v>0</v>
      </c>
      <c r="AF79" s="312">
        <v>0</v>
      </c>
      <c r="AG79" s="312">
        <v>0</v>
      </c>
      <c r="AH79" s="312">
        <v>0</v>
      </c>
      <c r="AI79" s="312">
        <v>0</v>
      </c>
      <c r="AJ79" s="312">
        <v>7028.2574999999988</v>
      </c>
    </row>
    <row r="80" spans="1:36" x14ac:dyDescent="0.2">
      <c r="A80" s="110" t="s">
        <v>559</v>
      </c>
      <c r="B80" s="309">
        <f>SUM(D80:AJ80)</f>
        <v>568038.83129300992</v>
      </c>
      <c r="C80" s="299" t="s">
        <v>560</v>
      </c>
      <c r="D80" s="310">
        <v>8662.4861769599993</v>
      </c>
      <c r="E80" s="311">
        <v>23336.66676</v>
      </c>
      <c r="F80" s="312">
        <v>16307.649600000001</v>
      </c>
      <c r="G80" s="312">
        <v>43543.073646600002</v>
      </c>
      <c r="H80" s="312">
        <v>45350.493927089992</v>
      </c>
      <c r="I80" s="310">
        <v>112149.15288235999</v>
      </c>
      <c r="J80" s="311">
        <v>16628.491990000002</v>
      </c>
      <c r="K80" s="312">
        <v>34172.226824999998</v>
      </c>
      <c r="L80" s="310">
        <v>2622.6133999999997</v>
      </c>
      <c r="M80" s="311">
        <v>27598.395770000003</v>
      </c>
      <c r="N80" s="310">
        <v>25268.42527</v>
      </c>
      <c r="O80" s="311">
        <v>22112.172499999997</v>
      </c>
      <c r="P80" s="312">
        <v>26638.034390000001</v>
      </c>
      <c r="Q80" s="312">
        <v>38138.387649999997</v>
      </c>
      <c r="R80" s="311">
        <v>17263.29407</v>
      </c>
      <c r="S80" s="311">
        <v>10142.92433</v>
      </c>
      <c r="T80" s="311">
        <v>15446.815119999999</v>
      </c>
      <c r="U80" s="311">
        <v>9797.3853999999992</v>
      </c>
      <c r="V80" s="311">
        <v>8256.1220499999999</v>
      </c>
      <c r="W80" s="311">
        <v>5789.0427099999997</v>
      </c>
      <c r="X80" s="312">
        <v>23112.337820000001</v>
      </c>
      <c r="Y80" s="312">
        <v>1732.4646899999998</v>
      </c>
      <c r="Z80" s="312">
        <v>8855.2212099999997</v>
      </c>
      <c r="AA80" s="312">
        <v>5676.9906600000004</v>
      </c>
      <c r="AB80" s="312">
        <v>1539.164</v>
      </c>
      <c r="AC80" s="312">
        <v>5124.7404999999999</v>
      </c>
      <c r="AD80" s="312">
        <v>7151.4519449999998</v>
      </c>
      <c r="AE80" s="312">
        <v>0</v>
      </c>
      <c r="AF80" s="312">
        <v>0</v>
      </c>
      <c r="AG80" s="312">
        <v>0</v>
      </c>
      <c r="AH80" s="312">
        <v>0</v>
      </c>
      <c r="AI80" s="312">
        <v>0</v>
      </c>
      <c r="AJ80" s="312">
        <v>5622.6059999999989</v>
      </c>
    </row>
    <row r="81" spans="1:37" x14ac:dyDescent="0.2">
      <c r="B81" s="224"/>
      <c r="U81" s="235"/>
    </row>
    <row r="82" spans="1:37" customFormat="1" ht="15" x14ac:dyDescent="0.25">
      <c r="A82" s="263" t="s">
        <v>487</v>
      </c>
      <c r="B82" s="265" t="s">
        <v>27</v>
      </c>
      <c r="C82" s="265" t="s">
        <v>15</v>
      </c>
      <c r="D82" s="222" t="s">
        <v>441</v>
      </c>
      <c r="E82" s="220" t="s">
        <v>322</v>
      </c>
      <c r="F82" s="221" t="s">
        <v>323</v>
      </c>
      <c r="G82" s="212" t="s">
        <v>488</v>
      </c>
      <c r="H82" s="212" t="s">
        <v>289</v>
      </c>
      <c r="I82" s="210" t="s">
        <v>489</v>
      </c>
      <c r="J82" s="211" t="s">
        <v>290</v>
      </c>
      <c r="K82" s="221" t="s">
        <v>324</v>
      </c>
      <c r="L82" s="222" t="s">
        <v>351</v>
      </c>
      <c r="M82" s="220" t="s">
        <v>352</v>
      </c>
      <c r="N82" s="222" t="s">
        <v>326</v>
      </c>
      <c r="O82" s="220" t="s">
        <v>490</v>
      </c>
      <c r="P82" s="221" t="s">
        <v>327</v>
      </c>
      <c r="Q82" s="221" t="s">
        <v>353</v>
      </c>
      <c r="R82" s="212" t="s">
        <v>435</v>
      </c>
      <c r="S82" s="212" t="s">
        <v>436</v>
      </c>
      <c r="T82" s="212" t="s">
        <v>437</v>
      </c>
      <c r="U82" s="212" t="s">
        <v>438</v>
      </c>
      <c r="V82" s="212" t="s">
        <v>439</v>
      </c>
      <c r="W82" s="212" t="s">
        <v>440</v>
      </c>
      <c r="X82" s="212" t="s">
        <v>293</v>
      </c>
      <c r="Y82" s="212" t="s">
        <v>294</v>
      </c>
      <c r="Z82" s="212" t="s">
        <v>346</v>
      </c>
      <c r="AA82" s="212" t="s">
        <v>347</v>
      </c>
      <c r="AB82" s="221" t="s">
        <v>354</v>
      </c>
      <c r="AC82" s="266" t="s">
        <v>501</v>
      </c>
      <c r="AD82" s="262" t="s">
        <v>349</v>
      </c>
      <c r="AE82" s="212" t="s">
        <v>295</v>
      </c>
      <c r="AF82" s="212" t="s">
        <v>296</v>
      </c>
      <c r="AG82" s="212" t="s">
        <v>297</v>
      </c>
      <c r="AH82" s="212" t="s">
        <v>298</v>
      </c>
      <c r="AI82" s="212" t="s">
        <v>299</v>
      </c>
      <c r="AJ82" s="212" t="s">
        <v>300</v>
      </c>
      <c r="AK82" s="213"/>
    </row>
    <row r="83" spans="1:37" customFormat="1" ht="15" x14ac:dyDescent="0.25">
      <c r="A83" s="243" t="s">
        <v>301</v>
      </c>
      <c r="B83" s="247">
        <v>0</v>
      </c>
      <c r="C83" s="109">
        <f>SUM(D83:AJ83)*1000</f>
        <v>111722879.72999997</v>
      </c>
      <c r="D83" s="215">
        <v>1367.5199999999998</v>
      </c>
      <c r="E83" s="215">
        <v>11282.853999999998</v>
      </c>
      <c r="F83" s="215">
        <v>1859.0945999999999</v>
      </c>
      <c r="G83" s="215">
        <v>6288.2313999999997</v>
      </c>
      <c r="H83" s="215">
        <v>1103.9875</v>
      </c>
      <c r="I83" s="215">
        <v>16120.455999999998</v>
      </c>
      <c r="J83" s="215">
        <v>526.8370799999999</v>
      </c>
      <c r="K83" s="215">
        <v>5734.63</v>
      </c>
      <c r="L83" s="215">
        <v>722.91339999999991</v>
      </c>
      <c r="M83" s="215">
        <v>4129.0149999999994</v>
      </c>
      <c r="N83" s="215">
        <v>6784.69</v>
      </c>
      <c r="O83" s="215">
        <v>7056.1590000000006</v>
      </c>
      <c r="P83" s="215">
        <v>8806.6660000000011</v>
      </c>
      <c r="Q83" s="215">
        <v>4421.241</v>
      </c>
      <c r="R83" s="215">
        <v>8868.5300000000007</v>
      </c>
      <c r="S83" s="215">
        <v>1755.7979999999998</v>
      </c>
      <c r="T83" s="215">
        <v>7811.1440000000002</v>
      </c>
      <c r="U83" s="215">
        <v>1737.9917499999997</v>
      </c>
      <c r="V83" s="215">
        <v>4608.8680000000004</v>
      </c>
      <c r="W83" s="215">
        <v>1805.0449999999998</v>
      </c>
      <c r="X83" s="215">
        <v>617.82600000000002</v>
      </c>
      <c r="Y83" s="215">
        <v>0</v>
      </c>
      <c r="Z83" s="215">
        <v>0</v>
      </c>
      <c r="AA83" s="215">
        <v>0</v>
      </c>
      <c r="AB83" s="215">
        <v>1310.54</v>
      </c>
      <c r="AC83" s="215">
        <v>0</v>
      </c>
      <c r="AD83" s="215">
        <v>4438.7420000000002</v>
      </c>
      <c r="AJ83" s="215">
        <v>2564.0999999999995</v>
      </c>
      <c r="AK83" s="284"/>
    </row>
    <row r="84" spans="1:37" customFormat="1" ht="15" x14ac:dyDescent="0.25">
      <c r="A84" s="243" t="s">
        <v>302</v>
      </c>
      <c r="B84" s="247">
        <v>0</v>
      </c>
      <c r="C84" s="109">
        <f t="shared" ref="C84:C94" si="87">SUM(D84:AJ84)*1000</f>
        <v>36823869.500000007</v>
      </c>
      <c r="D84" s="216">
        <v>526.87799999999993</v>
      </c>
      <c r="E84" s="216">
        <v>586.07999999999993</v>
      </c>
      <c r="F84" s="216">
        <v>2164.0740000000001</v>
      </c>
      <c r="G84" s="216">
        <v>1224.6080000000002</v>
      </c>
      <c r="H84" s="216">
        <v>1414.1215</v>
      </c>
      <c r="I84" s="216">
        <v>4209.9915000000001</v>
      </c>
      <c r="J84" s="216">
        <v>980.91399999999999</v>
      </c>
      <c r="K84" s="216">
        <v>1369.8575000000001</v>
      </c>
      <c r="L84" s="216">
        <v>0</v>
      </c>
      <c r="M84" s="216">
        <v>2254.0925000000002</v>
      </c>
      <c r="N84" s="216">
        <v>1843.875</v>
      </c>
      <c r="O84" s="216">
        <v>1609.52</v>
      </c>
      <c r="P84" s="216">
        <v>3724.4074999999998</v>
      </c>
      <c r="Q84" s="216">
        <v>1113.6180000000002</v>
      </c>
      <c r="R84" s="216">
        <v>2552.2474999999995</v>
      </c>
      <c r="S84" s="216">
        <v>1228.3259999999998</v>
      </c>
      <c r="T84" s="216">
        <v>2975.2249999999995</v>
      </c>
      <c r="U84" s="216">
        <v>1066.9504999999999</v>
      </c>
      <c r="V84" s="216">
        <v>1153.3004999999998</v>
      </c>
      <c r="W84" s="216">
        <v>693.39049999999997</v>
      </c>
      <c r="X84" s="216">
        <v>925.84799999999996</v>
      </c>
      <c r="Y84" s="216">
        <v>0</v>
      </c>
      <c r="Z84" s="216">
        <v>0</v>
      </c>
      <c r="AA84" s="216">
        <v>0</v>
      </c>
      <c r="AB84" s="216">
        <v>228.62399999999997</v>
      </c>
      <c r="AC84" s="216">
        <v>0</v>
      </c>
      <c r="AD84" s="216">
        <v>0</v>
      </c>
      <c r="AJ84" s="216">
        <v>2977.9199999999996</v>
      </c>
      <c r="AK84" s="284"/>
    </row>
    <row r="85" spans="1:37" customFormat="1" ht="15" x14ac:dyDescent="0.25">
      <c r="A85" s="243" t="s">
        <v>210</v>
      </c>
      <c r="B85" s="247">
        <f>SUM(1/30*D17+2/30*E17+3/30*F17+4/30*G17+5/30*H17+6/30*I17+7/30*J17+8/30*K17+9/30*L17+10/30*M17+21/30*X17)</f>
        <v>15374754.933333334</v>
      </c>
      <c r="C85" s="109">
        <f t="shared" si="87"/>
        <v>71493889.5</v>
      </c>
      <c r="D85" s="216">
        <v>0</v>
      </c>
      <c r="E85" s="216">
        <v>68.2</v>
      </c>
      <c r="F85" s="216">
        <v>525.43700000000001</v>
      </c>
      <c r="G85" s="216">
        <v>10240.471999999998</v>
      </c>
      <c r="H85" s="216">
        <v>9273.5499999999975</v>
      </c>
      <c r="I85" s="216">
        <v>18913.592499999999</v>
      </c>
      <c r="J85" s="216">
        <v>4596.482</v>
      </c>
      <c r="K85" s="216">
        <v>10300.179999999998</v>
      </c>
      <c r="L85" s="216">
        <v>1899.6999999999998</v>
      </c>
      <c r="M85" s="216">
        <v>0</v>
      </c>
      <c r="N85" s="216">
        <v>1476.6399999999999</v>
      </c>
      <c r="O85" s="216">
        <v>1228.1499999999999</v>
      </c>
      <c r="P85" s="216">
        <v>963.6</v>
      </c>
      <c r="Q85" s="216">
        <v>3035.4059999999999</v>
      </c>
      <c r="R85" s="216">
        <v>963.6</v>
      </c>
      <c r="S85" s="216">
        <v>0</v>
      </c>
      <c r="T85" s="216">
        <v>963.6</v>
      </c>
      <c r="U85" s="216">
        <v>0</v>
      </c>
      <c r="V85" s="216">
        <v>0</v>
      </c>
      <c r="W85" s="216">
        <v>0</v>
      </c>
      <c r="X85" s="216">
        <v>2958.8899999999994</v>
      </c>
      <c r="Y85" s="216">
        <v>0</v>
      </c>
      <c r="Z85" s="216">
        <v>3854.4</v>
      </c>
      <c r="AA85" s="216">
        <v>0</v>
      </c>
      <c r="AB85" s="216">
        <v>0</v>
      </c>
      <c r="AC85" s="216">
        <v>231.98999999999998</v>
      </c>
      <c r="AD85" s="216">
        <v>0</v>
      </c>
      <c r="AJ85" s="216">
        <v>0</v>
      </c>
      <c r="AK85" s="284"/>
    </row>
    <row r="86" spans="1:37" customFormat="1" ht="15" x14ac:dyDescent="0.25">
      <c r="A86" s="243" t="s">
        <v>82</v>
      </c>
      <c r="B86" s="247">
        <f>SUM(1/30*D18+2/30*E18+3/30*F18+4/30*G18+5/30*H18+6/30*I18+7/30*J18+8/30*K18+9/30*L18+10/30*M18+14/30*Q18+15/30*R18+16/30*S18+17/30*T18+18/30*U18+20/30*W18+21/30*X18+22/30*Y18)</f>
        <v>42230199.933333337</v>
      </c>
      <c r="C86" s="109">
        <f t="shared" si="87"/>
        <v>175559707.59656999</v>
      </c>
      <c r="D86" s="216">
        <v>1770.12817696</v>
      </c>
      <c r="E86" s="216">
        <v>10343.367760000001</v>
      </c>
      <c r="F86" s="216">
        <v>10328.032000000001</v>
      </c>
      <c r="G86" s="216">
        <v>9518.000822</v>
      </c>
      <c r="H86" s="216">
        <v>5296.2221152500006</v>
      </c>
      <c r="I86" s="216">
        <v>24047.904922359998</v>
      </c>
      <c r="J86" s="216">
        <v>4038.0952700000007</v>
      </c>
      <c r="K86" s="216">
        <v>6626.7556850000001</v>
      </c>
      <c r="L86" s="216">
        <v>0</v>
      </c>
      <c r="M86" s="216">
        <v>5177.0400000000009</v>
      </c>
      <c r="N86" s="216">
        <v>9615.7494400000014</v>
      </c>
      <c r="O86" s="216">
        <v>12185.783499999998</v>
      </c>
      <c r="P86" s="216">
        <v>13143.36089</v>
      </c>
      <c r="Q86" s="216">
        <v>12833.117000000002</v>
      </c>
      <c r="R86" s="216">
        <v>4878.9165700000003</v>
      </c>
      <c r="S86" s="216">
        <v>7158.80033</v>
      </c>
      <c r="T86" s="216">
        <v>3696.8461199999997</v>
      </c>
      <c r="U86" s="216">
        <v>6992.4431500000001</v>
      </c>
      <c r="V86" s="216">
        <v>2493.9535499999997</v>
      </c>
      <c r="W86" s="216">
        <v>3290.6072100000001</v>
      </c>
      <c r="X86" s="216">
        <v>4005.5922500000001</v>
      </c>
      <c r="Y86" s="216">
        <v>1732.4646899999998</v>
      </c>
      <c r="Z86" s="216">
        <v>5000.8212100000001</v>
      </c>
      <c r="AA86" s="216">
        <v>5455.58266</v>
      </c>
      <c r="AB86" s="216">
        <v>0</v>
      </c>
      <c r="AC86" s="216">
        <v>3217.4123300000001</v>
      </c>
      <c r="AD86" s="216">
        <v>2712.7099449999996</v>
      </c>
      <c r="AJ86" s="216">
        <v>0</v>
      </c>
      <c r="AK86" s="284"/>
    </row>
    <row r="87" spans="1:37" customFormat="1" ht="15" x14ac:dyDescent="0.25">
      <c r="A87" s="243" t="s">
        <v>81</v>
      </c>
      <c r="B87" s="247">
        <f>SUM(21/50*D19+22/50*E19+23/50*F19+25/50*H19+26/50*I19+27/50*J19)</f>
        <v>12938446.859999999</v>
      </c>
      <c r="C87" s="109">
        <f t="shared" si="87"/>
        <v>26470233.757660005</v>
      </c>
      <c r="D87" s="216">
        <v>0</v>
      </c>
      <c r="E87" s="216">
        <v>0</v>
      </c>
      <c r="F87" s="216">
        <v>124.542</v>
      </c>
      <c r="G87" s="216">
        <v>4850.5588449999996</v>
      </c>
      <c r="H87" s="216">
        <v>4696.8713226600003</v>
      </c>
      <c r="I87" s="216">
        <v>9587.6990000000005</v>
      </c>
      <c r="J87" s="216">
        <v>2321.6867300000004</v>
      </c>
      <c r="K87" s="216">
        <v>0</v>
      </c>
      <c r="L87" s="216">
        <v>0</v>
      </c>
      <c r="M87" s="216">
        <v>2201.81709</v>
      </c>
      <c r="N87" s="216">
        <v>0</v>
      </c>
      <c r="O87" s="216">
        <v>0</v>
      </c>
      <c r="P87" s="216">
        <v>0</v>
      </c>
      <c r="Q87" s="216">
        <v>599.10400000000004</v>
      </c>
      <c r="R87" s="216">
        <v>0</v>
      </c>
      <c r="S87" s="216">
        <v>0</v>
      </c>
      <c r="T87" s="216">
        <v>0</v>
      </c>
      <c r="U87" s="216">
        <v>0</v>
      </c>
      <c r="V87" s="216">
        <v>0</v>
      </c>
      <c r="W87" s="216">
        <v>0</v>
      </c>
      <c r="X87" s="216">
        <v>2087.9547699999998</v>
      </c>
      <c r="Y87" s="216">
        <v>0</v>
      </c>
      <c r="Z87" s="216">
        <v>0</v>
      </c>
      <c r="AA87" s="216">
        <v>0</v>
      </c>
      <c r="AB87" s="216">
        <v>0</v>
      </c>
      <c r="AC87" s="216">
        <v>0</v>
      </c>
      <c r="AD87" s="216">
        <v>0</v>
      </c>
      <c r="AJ87" s="216">
        <v>0</v>
      </c>
      <c r="AK87" s="284"/>
    </row>
    <row r="88" spans="1:37" customFormat="1" ht="15" x14ac:dyDescent="0.25">
      <c r="A88" s="243" t="s">
        <v>303</v>
      </c>
      <c r="B88" s="247">
        <f>SUM(71/100*D20+72/100*E20+73/100*F20+74/100*G20+75/100*H20+76/100*I20+77/100*J20+78/100*K20+79/100*L20+80/100*M20+92/100*Y20)</f>
        <v>60893693.529999994</v>
      </c>
      <c r="C88" s="109">
        <f t="shared" si="87"/>
        <v>81141673.029999986</v>
      </c>
      <c r="D88" s="216">
        <v>4997.96</v>
      </c>
      <c r="E88" s="216">
        <v>1056.165</v>
      </c>
      <c r="F88" s="216">
        <v>998.77800000000002</v>
      </c>
      <c r="G88" s="216">
        <v>8051.0704999999989</v>
      </c>
      <c r="H88" s="216">
        <v>19803.398999999998</v>
      </c>
      <c r="I88" s="216">
        <v>7707.1554999999998</v>
      </c>
      <c r="J88" s="216">
        <v>1064.7119999999998</v>
      </c>
      <c r="K88" s="216">
        <v>3663.8953999999999</v>
      </c>
      <c r="L88" s="216">
        <v>0</v>
      </c>
      <c r="M88" s="216">
        <v>9140.2432000000008</v>
      </c>
      <c r="N88" s="216">
        <v>2577.3681999999999</v>
      </c>
      <c r="O88" s="216">
        <v>0</v>
      </c>
      <c r="P88" s="216">
        <v>0</v>
      </c>
      <c r="Q88" s="216">
        <v>10762.423099999998</v>
      </c>
      <c r="R88" s="216">
        <v>0</v>
      </c>
      <c r="S88" s="216">
        <v>0</v>
      </c>
      <c r="T88" s="216">
        <v>0</v>
      </c>
      <c r="U88" s="216">
        <v>0</v>
      </c>
      <c r="V88" s="216">
        <v>0</v>
      </c>
      <c r="W88" s="216">
        <v>0</v>
      </c>
      <c r="X88" s="216">
        <v>9668.0367299999998</v>
      </c>
      <c r="Y88" s="216">
        <v>0</v>
      </c>
      <c r="Z88" s="216">
        <v>0</v>
      </c>
      <c r="AA88" s="216">
        <v>221.40800000000002</v>
      </c>
      <c r="AB88" s="216">
        <v>0</v>
      </c>
      <c r="AC88" s="216">
        <v>1429.0583999999999</v>
      </c>
      <c r="AD88" s="216">
        <v>0</v>
      </c>
      <c r="AJ88" s="216">
        <v>0</v>
      </c>
      <c r="AK88" s="284"/>
    </row>
    <row r="89" spans="1:37" customFormat="1" ht="15" x14ac:dyDescent="0.25">
      <c r="A89" s="243" t="s">
        <v>205</v>
      </c>
      <c r="B89" s="247">
        <f>SUM(75/100*H21+76/100*I21+77/100*J21)</f>
        <v>10407214.68</v>
      </c>
      <c r="C89" s="109">
        <f t="shared" si="87"/>
        <v>13720784.000000004</v>
      </c>
      <c r="D89" s="216">
        <v>0</v>
      </c>
      <c r="E89" s="216">
        <v>0</v>
      </c>
      <c r="F89" s="216">
        <v>0</v>
      </c>
      <c r="G89" s="216">
        <v>0</v>
      </c>
      <c r="H89" s="216">
        <v>0</v>
      </c>
      <c r="I89" s="216">
        <v>13720.784000000003</v>
      </c>
      <c r="J89" s="216">
        <v>0</v>
      </c>
      <c r="K89" s="216">
        <v>0</v>
      </c>
      <c r="L89" s="216">
        <v>0</v>
      </c>
      <c r="M89" s="216">
        <v>0</v>
      </c>
      <c r="N89" s="216">
        <v>0</v>
      </c>
      <c r="O89" s="216">
        <v>0</v>
      </c>
      <c r="P89" s="216">
        <v>0</v>
      </c>
      <c r="Q89" s="216">
        <v>0</v>
      </c>
      <c r="R89" s="216">
        <v>0</v>
      </c>
      <c r="S89" s="216">
        <v>0</v>
      </c>
      <c r="T89" s="216">
        <v>0</v>
      </c>
      <c r="U89" s="216">
        <v>0</v>
      </c>
      <c r="V89" s="216">
        <v>0</v>
      </c>
      <c r="W89" s="216">
        <v>0</v>
      </c>
      <c r="X89" s="216">
        <v>0</v>
      </c>
      <c r="Y89" s="216">
        <v>0</v>
      </c>
      <c r="Z89" s="216">
        <v>0</v>
      </c>
      <c r="AA89" s="216">
        <v>0</v>
      </c>
      <c r="AB89" s="216">
        <v>0</v>
      </c>
      <c r="AC89" s="216">
        <v>0</v>
      </c>
      <c r="AD89" s="216">
        <v>0</v>
      </c>
      <c r="AJ89" s="216">
        <v>0</v>
      </c>
      <c r="AK89" s="284"/>
    </row>
    <row r="90" spans="1:37" customFormat="1" ht="15" x14ac:dyDescent="0.25">
      <c r="A90" s="243" t="s">
        <v>206</v>
      </c>
      <c r="B90" s="247">
        <f>SUM(2/30*E22+4/30*G22+5/30*H22+6/30*I22+7/30*J22+8/30*K22+10/30*M22)</f>
        <v>2179012.6</v>
      </c>
      <c r="C90" s="109">
        <f t="shared" si="87"/>
        <v>10848328.589999998</v>
      </c>
      <c r="D90" s="216">
        <v>0</v>
      </c>
      <c r="E90" s="216">
        <v>0</v>
      </c>
      <c r="F90" s="216">
        <v>0</v>
      </c>
      <c r="G90" s="216">
        <v>0</v>
      </c>
      <c r="H90" s="216">
        <v>0</v>
      </c>
      <c r="I90" s="216">
        <v>258.36359999999996</v>
      </c>
      <c r="J90" s="216">
        <v>1059.69776</v>
      </c>
      <c r="K90" s="216">
        <v>2266.3103099999998</v>
      </c>
      <c r="L90" s="216">
        <v>0</v>
      </c>
      <c r="M90" s="216">
        <v>2086.6645799999997</v>
      </c>
      <c r="N90" s="216">
        <v>1426.6937299999997</v>
      </c>
      <c r="O90" s="216">
        <v>0</v>
      </c>
      <c r="P90" s="216">
        <v>0</v>
      </c>
      <c r="Q90" s="216">
        <v>3668.2584399999996</v>
      </c>
      <c r="R90" s="216">
        <v>0</v>
      </c>
      <c r="S90" s="216">
        <v>0</v>
      </c>
      <c r="T90" s="216">
        <v>0</v>
      </c>
      <c r="U90" s="216">
        <v>0</v>
      </c>
      <c r="V90" s="216">
        <v>0</v>
      </c>
      <c r="W90" s="216">
        <v>0</v>
      </c>
      <c r="X90" s="216">
        <v>23.4025</v>
      </c>
      <c r="Y90" s="216">
        <v>0</v>
      </c>
      <c r="Z90" s="216">
        <v>0</v>
      </c>
      <c r="AA90" s="216">
        <v>0</v>
      </c>
      <c r="AB90" s="216">
        <v>0</v>
      </c>
      <c r="AC90" s="216">
        <v>58.937669999999997</v>
      </c>
      <c r="AD90" s="216">
        <v>0</v>
      </c>
      <c r="AJ90" s="216">
        <v>0</v>
      </c>
      <c r="AK90" s="284"/>
    </row>
    <row r="91" spans="1:37" customFormat="1" ht="15" x14ac:dyDescent="0.25">
      <c r="A91" s="243" t="s">
        <v>304</v>
      </c>
      <c r="B91" s="247">
        <f>SUM(11/40*D23+12/40*E23+13/40*F23+14/40*G23+15/40*H23+16/40*I23+17/40*J23+19/40*L23+20/40*M23)</f>
        <v>6180634.25</v>
      </c>
      <c r="C91" s="109">
        <f t="shared" si="87"/>
        <v>16212465.488779996</v>
      </c>
      <c r="D91" s="216">
        <v>0</v>
      </c>
      <c r="E91" s="216">
        <v>0</v>
      </c>
      <c r="F91" s="216">
        <v>0</v>
      </c>
      <c r="G91" s="216">
        <v>2076.4011795999995</v>
      </c>
      <c r="H91" s="216">
        <v>1971.5424891799998</v>
      </c>
      <c r="I91" s="216">
        <v>6597.3071999999984</v>
      </c>
      <c r="J91" s="216">
        <v>1433.0388599999997</v>
      </c>
      <c r="K91" s="216">
        <v>376.06799999999998</v>
      </c>
      <c r="L91" s="216">
        <v>0</v>
      </c>
      <c r="M91" s="216">
        <v>1253.56</v>
      </c>
      <c r="N91" s="216">
        <v>405.37199999999996</v>
      </c>
      <c r="O91" s="216">
        <v>0</v>
      </c>
      <c r="P91" s="216">
        <v>0</v>
      </c>
      <c r="Q91" s="216">
        <v>805.8599999999999</v>
      </c>
      <c r="R91" s="216">
        <v>0</v>
      </c>
      <c r="S91" s="216">
        <v>0</v>
      </c>
      <c r="T91" s="216">
        <v>0</v>
      </c>
      <c r="U91" s="216">
        <v>0</v>
      </c>
      <c r="V91" s="216">
        <v>0</v>
      </c>
      <c r="W91" s="216">
        <v>0</v>
      </c>
      <c r="X91" s="216">
        <v>1293.3157599999997</v>
      </c>
      <c r="Y91" s="216">
        <v>0</v>
      </c>
      <c r="Z91" s="216">
        <v>0</v>
      </c>
      <c r="AA91" s="216">
        <v>0</v>
      </c>
      <c r="AB91" s="216">
        <v>0</v>
      </c>
      <c r="AC91" s="216">
        <v>0</v>
      </c>
      <c r="AD91" s="216">
        <v>0</v>
      </c>
      <c r="AJ91" s="216">
        <v>0</v>
      </c>
      <c r="AK91" s="284"/>
    </row>
    <row r="92" spans="1:37" customFormat="1" ht="15" x14ac:dyDescent="0.25">
      <c r="A92" s="243" t="s">
        <v>305</v>
      </c>
      <c r="B92" s="247">
        <f>SUM(3/30*F24)</f>
        <v>48840</v>
      </c>
      <c r="C92" s="109">
        <f t="shared" si="87"/>
        <v>488399.99999999994</v>
      </c>
      <c r="D92" s="216">
        <v>0</v>
      </c>
      <c r="E92" s="216">
        <v>0</v>
      </c>
      <c r="F92" s="216">
        <v>0</v>
      </c>
      <c r="G92" s="216">
        <v>488.39999999999992</v>
      </c>
      <c r="H92" s="216">
        <v>0</v>
      </c>
      <c r="I92" s="216">
        <v>0</v>
      </c>
      <c r="J92" s="216">
        <v>0</v>
      </c>
      <c r="K92" s="216">
        <v>0</v>
      </c>
      <c r="L92" s="216">
        <v>0</v>
      </c>
      <c r="M92" s="216">
        <v>0</v>
      </c>
      <c r="N92" s="216">
        <v>0</v>
      </c>
      <c r="O92" s="216">
        <v>0</v>
      </c>
      <c r="P92" s="216">
        <v>0</v>
      </c>
      <c r="Q92" s="216">
        <v>0</v>
      </c>
      <c r="R92" s="216">
        <v>0</v>
      </c>
      <c r="S92" s="216">
        <v>0</v>
      </c>
      <c r="T92" s="216">
        <v>0</v>
      </c>
      <c r="U92" s="216">
        <v>0</v>
      </c>
      <c r="V92" s="216">
        <v>0</v>
      </c>
      <c r="W92" s="216">
        <v>0</v>
      </c>
      <c r="X92" s="216">
        <v>0</v>
      </c>
      <c r="Y92" s="216">
        <v>0</v>
      </c>
      <c r="Z92" s="216">
        <v>0</v>
      </c>
      <c r="AA92" s="216">
        <v>0</v>
      </c>
      <c r="AB92" s="216">
        <v>0</v>
      </c>
      <c r="AC92" s="216">
        <v>0</v>
      </c>
      <c r="AD92" s="216">
        <v>0</v>
      </c>
      <c r="AJ92" s="216">
        <v>0</v>
      </c>
      <c r="AK92" s="284"/>
    </row>
    <row r="93" spans="1:37" customFormat="1" ht="15" x14ac:dyDescent="0.25">
      <c r="A93" s="243" t="s">
        <v>306</v>
      </c>
      <c r="B93" s="247">
        <f>SUM(31/60*D25+32/60*E25+33/60*F25+34/60*G25+35/60*H25+36/60*I25+37/60*J25+40/60*M25)</f>
        <v>10202399.950000001</v>
      </c>
      <c r="C93" s="109">
        <f t="shared" si="87"/>
        <v>17646606.010000002</v>
      </c>
      <c r="D93" s="216">
        <v>0</v>
      </c>
      <c r="E93" s="216">
        <v>0</v>
      </c>
      <c r="F93" s="216">
        <v>307.69199999999995</v>
      </c>
      <c r="G93" s="216">
        <v>805.33090000000004</v>
      </c>
      <c r="H93" s="216">
        <v>713.87799999999993</v>
      </c>
      <c r="I93" s="216">
        <v>9422.8233000000018</v>
      </c>
      <c r="J93" s="216">
        <v>35.490400000000001</v>
      </c>
      <c r="K93" s="216">
        <v>2212.2238600000001</v>
      </c>
      <c r="L93" s="216">
        <v>0</v>
      </c>
      <c r="M93" s="216">
        <v>1355.9634000000001</v>
      </c>
      <c r="N93" s="216">
        <v>1138.0369000000003</v>
      </c>
      <c r="O93" s="216">
        <v>32.56</v>
      </c>
      <c r="P93" s="216">
        <v>0</v>
      </c>
      <c r="Q93" s="216">
        <v>899.36010999999996</v>
      </c>
      <c r="R93" s="216">
        <v>0</v>
      </c>
      <c r="S93" s="216">
        <v>0</v>
      </c>
      <c r="T93" s="216">
        <v>0</v>
      </c>
      <c r="U93" s="216">
        <v>0</v>
      </c>
      <c r="V93" s="216">
        <v>0</v>
      </c>
      <c r="W93" s="216">
        <v>0</v>
      </c>
      <c r="X93" s="216">
        <v>455.31904000000003</v>
      </c>
      <c r="Y93" s="216">
        <v>0</v>
      </c>
      <c r="Z93" s="216">
        <v>0</v>
      </c>
      <c r="AA93" s="216">
        <v>0</v>
      </c>
      <c r="AB93" s="216">
        <v>0</v>
      </c>
      <c r="AC93" s="216">
        <v>187.34210000000002</v>
      </c>
      <c r="AD93" s="216">
        <v>0</v>
      </c>
      <c r="AJ93" s="216">
        <v>80.585999999999984</v>
      </c>
      <c r="AK93" s="284"/>
    </row>
    <row r="94" spans="1:37" customFormat="1" ht="15.75" thickBot="1" x14ac:dyDescent="0.3">
      <c r="A94" s="243" t="s">
        <v>307</v>
      </c>
      <c r="B94" s="247">
        <f>SUM(1/25*I26+2/25*J26+4/25*L26)</f>
        <v>423845.76</v>
      </c>
      <c r="C94" s="109">
        <f t="shared" si="87"/>
        <v>5909994.0899999989</v>
      </c>
      <c r="D94" s="216">
        <v>0</v>
      </c>
      <c r="E94" s="216">
        <v>0</v>
      </c>
      <c r="F94" s="216">
        <v>0</v>
      </c>
      <c r="G94" s="216">
        <v>0</v>
      </c>
      <c r="H94" s="216">
        <v>1076.9219999999998</v>
      </c>
      <c r="I94" s="216">
        <v>1563.0753599999998</v>
      </c>
      <c r="J94" s="216">
        <v>571.53788999999995</v>
      </c>
      <c r="K94" s="216">
        <v>1622.3060699999999</v>
      </c>
      <c r="L94" s="216">
        <v>0</v>
      </c>
      <c r="M94" s="216">
        <v>0</v>
      </c>
      <c r="N94" s="216">
        <v>0</v>
      </c>
      <c r="O94" s="216">
        <v>0</v>
      </c>
      <c r="P94" s="216">
        <v>0</v>
      </c>
      <c r="Q94" s="216">
        <v>0</v>
      </c>
      <c r="R94" s="216">
        <v>0</v>
      </c>
      <c r="S94" s="216">
        <v>0</v>
      </c>
      <c r="T94" s="216">
        <v>0</v>
      </c>
      <c r="U94" s="216">
        <v>0</v>
      </c>
      <c r="V94" s="216">
        <v>0</v>
      </c>
      <c r="W94" s="216">
        <v>0</v>
      </c>
      <c r="X94" s="216">
        <v>1076.1527699999999</v>
      </c>
      <c r="Y94" s="216">
        <v>0</v>
      </c>
      <c r="Z94" s="216">
        <v>0</v>
      </c>
      <c r="AA94" s="216">
        <v>0</v>
      </c>
      <c r="AB94" s="216">
        <v>0</v>
      </c>
      <c r="AC94" s="216">
        <v>0</v>
      </c>
      <c r="AD94" s="216">
        <v>0</v>
      </c>
      <c r="AJ94" s="216">
        <v>0</v>
      </c>
      <c r="AK94" s="284"/>
    </row>
    <row r="95" spans="1:37" customFormat="1" ht="15.75" thickBot="1" x14ac:dyDescent="0.3">
      <c r="A95" s="243" t="s">
        <v>21</v>
      </c>
      <c r="B95" s="109">
        <f>SUM(B83:B94)</f>
        <v>160879042.49666664</v>
      </c>
      <c r="C95" s="109">
        <f>SUM(C83:C94)</f>
        <v>568038831.29301</v>
      </c>
      <c r="D95" s="223">
        <v>8662.4861769599993</v>
      </c>
      <c r="E95" s="223">
        <v>23336.66676</v>
      </c>
      <c r="F95" s="223">
        <v>16307.649600000001</v>
      </c>
      <c r="G95" s="223">
        <v>43543.073646600002</v>
      </c>
      <c r="H95" s="288">
        <f t="shared" ref="H95:J95" si="88">SUM(H83:H94)</f>
        <v>45350.493927089992</v>
      </c>
      <c r="I95" s="287">
        <v>112149.15288235999</v>
      </c>
      <c r="J95" s="288">
        <f t="shared" si="88"/>
        <v>16628.491990000002</v>
      </c>
      <c r="K95" s="287">
        <v>34172.226824999998</v>
      </c>
      <c r="L95" s="223">
        <v>2622.6133999999997</v>
      </c>
      <c r="M95" s="223">
        <v>27598.395770000003</v>
      </c>
      <c r="N95" s="223">
        <v>25268.42527</v>
      </c>
      <c r="O95" s="223">
        <v>22112.172499999997</v>
      </c>
      <c r="P95" s="223">
        <v>26638.034390000001</v>
      </c>
      <c r="Q95" s="223">
        <v>38138.387649999997</v>
      </c>
      <c r="R95" s="223">
        <v>17263.29407</v>
      </c>
      <c r="S95" s="223">
        <v>10142.92433</v>
      </c>
      <c r="T95" s="223">
        <v>15446.815119999999</v>
      </c>
      <c r="U95" s="223">
        <v>9797.3853999999992</v>
      </c>
      <c r="V95" s="223">
        <v>8256.1220499999999</v>
      </c>
      <c r="W95" s="223">
        <v>5789.0427099999997</v>
      </c>
      <c r="X95" s="288">
        <f t="shared" ref="X95:Y95" si="89">SUM(X83:X94)</f>
        <v>23112.337820000001</v>
      </c>
      <c r="Y95" s="289">
        <f t="shared" si="89"/>
        <v>1732.4646899999998</v>
      </c>
      <c r="Z95" s="287">
        <v>8855.2212099999997</v>
      </c>
      <c r="AA95" s="223">
        <v>5676.9906600000004</v>
      </c>
      <c r="AB95" s="223">
        <v>1539.164</v>
      </c>
      <c r="AC95" s="223">
        <v>5124.7404999999999</v>
      </c>
      <c r="AD95" s="223">
        <v>7151.4519449999998</v>
      </c>
      <c r="AE95" s="214">
        <f t="shared" ref="AE95:AJ95" si="90">SUM(AE83:AE94)</f>
        <v>0</v>
      </c>
      <c r="AF95" s="214">
        <f t="shared" si="90"/>
        <v>0</v>
      </c>
      <c r="AG95" s="214">
        <f t="shared" si="90"/>
        <v>0</v>
      </c>
      <c r="AH95" s="214">
        <f t="shared" si="90"/>
        <v>0</v>
      </c>
      <c r="AI95" s="318">
        <f t="shared" si="90"/>
        <v>0</v>
      </c>
      <c r="AJ95" s="319">
        <f t="shared" si="90"/>
        <v>5622.6059999999989</v>
      </c>
      <c r="AK95" s="284"/>
    </row>
    <row r="96" spans="1:37" ht="15" x14ac:dyDescent="0.25">
      <c r="A96" s="234"/>
      <c r="B96" s="233"/>
      <c r="C96" s="232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6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</row>
  </sheetData>
  <mergeCells count="1">
    <mergeCell ref="A9:F9"/>
  </mergeCells>
  <phoneticPr fontId="14" type="noConversion"/>
  <conditionalFormatting sqref="D61:X61 Z61:AD61">
    <cfRule type="containsText" dxfId="416" priority="1100" operator="containsText" text="*-e">
      <formula>NOT(ISERROR(SEARCH("*-e",D61)))</formula>
    </cfRule>
    <cfRule type="containsText" dxfId="415" priority="1101" operator="containsText" text="*-d">
      <formula>NOT(ISERROR(SEARCH("*-d",D61)))</formula>
    </cfRule>
    <cfRule type="containsText" dxfId="414" priority="1102" operator="containsText" text="*-c">
      <formula>NOT(ISERROR(SEARCH("*-c",D61)))</formula>
    </cfRule>
    <cfRule type="containsText" dxfId="413" priority="1103" operator="containsText" text="*-b">
      <formula>NOT(ISERROR(SEARCH("*-b",D61)))</formula>
    </cfRule>
    <cfRule type="containsText" dxfId="412" priority="1104" operator="containsText" text="*-b">
      <formula>NOT(ISERROR(SEARCH("*-b",D61)))</formula>
    </cfRule>
    <cfRule type="containsText" dxfId="411" priority="1105" operator="containsText" text="*-a">
      <formula>NOT(ISERROR(SEARCH("*-a",D61)))</formula>
    </cfRule>
    <cfRule type="containsText" dxfId="410" priority="1106" operator="containsText" text="*-ref">
      <formula>NOT(ISERROR(SEARCH("*-ref",D61)))</formula>
    </cfRule>
  </conditionalFormatting>
  <conditionalFormatting sqref="AE61">
    <cfRule type="containsText" dxfId="409" priority="1093" operator="containsText" text="*-e">
      <formula>NOT(ISERROR(SEARCH("*-e",AE61)))</formula>
    </cfRule>
    <cfRule type="containsText" dxfId="408" priority="1094" operator="containsText" text="*-d">
      <formula>NOT(ISERROR(SEARCH("*-d",AE61)))</formula>
    </cfRule>
    <cfRule type="containsText" dxfId="407" priority="1095" operator="containsText" text="*-c">
      <formula>NOT(ISERROR(SEARCH("*-c",AE61)))</formula>
    </cfRule>
    <cfRule type="containsText" dxfId="406" priority="1096" operator="containsText" text="*-b">
      <formula>NOT(ISERROR(SEARCH("*-b",AE61)))</formula>
    </cfRule>
    <cfRule type="containsText" dxfId="405" priority="1097" operator="containsText" text="*-b">
      <formula>NOT(ISERROR(SEARCH("*-b",AE61)))</formula>
    </cfRule>
    <cfRule type="containsText" dxfId="404" priority="1098" operator="containsText" text="*-a">
      <formula>NOT(ISERROR(SEARCH("*-a",AE61)))</formula>
    </cfRule>
    <cfRule type="containsText" dxfId="403" priority="1099" operator="containsText" text="*-ref">
      <formula>NOT(ISERROR(SEARCH("*-ref",AE61)))</formula>
    </cfRule>
  </conditionalFormatting>
  <conditionalFormatting sqref="AF61">
    <cfRule type="containsText" dxfId="402" priority="1086" operator="containsText" text="*-e">
      <formula>NOT(ISERROR(SEARCH("*-e",AF61)))</formula>
    </cfRule>
    <cfRule type="containsText" dxfId="401" priority="1087" operator="containsText" text="*-d">
      <formula>NOT(ISERROR(SEARCH("*-d",AF61)))</formula>
    </cfRule>
    <cfRule type="containsText" dxfId="400" priority="1088" operator="containsText" text="*-c">
      <formula>NOT(ISERROR(SEARCH("*-c",AF61)))</formula>
    </cfRule>
    <cfRule type="containsText" dxfId="399" priority="1089" operator="containsText" text="*-b">
      <formula>NOT(ISERROR(SEARCH("*-b",AF61)))</formula>
    </cfRule>
    <cfRule type="containsText" dxfId="398" priority="1090" operator="containsText" text="*-b">
      <formula>NOT(ISERROR(SEARCH("*-b",AF61)))</formula>
    </cfRule>
    <cfRule type="containsText" dxfId="397" priority="1091" operator="containsText" text="*-a">
      <formula>NOT(ISERROR(SEARCH("*-a",AF61)))</formula>
    </cfRule>
    <cfRule type="containsText" dxfId="396" priority="1092" operator="containsText" text="*-ref">
      <formula>NOT(ISERROR(SEARCH("*-ref",AF61)))</formula>
    </cfRule>
  </conditionalFormatting>
  <conditionalFormatting sqref="AG61">
    <cfRule type="containsText" dxfId="395" priority="1079" operator="containsText" text="*-e">
      <formula>NOT(ISERROR(SEARCH("*-e",AG61)))</formula>
    </cfRule>
    <cfRule type="containsText" dxfId="394" priority="1080" operator="containsText" text="*-d">
      <formula>NOT(ISERROR(SEARCH("*-d",AG61)))</formula>
    </cfRule>
    <cfRule type="containsText" dxfId="393" priority="1081" operator="containsText" text="*-c">
      <formula>NOT(ISERROR(SEARCH("*-c",AG61)))</formula>
    </cfRule>
    <cfRule type="containsText" dxfId="392" priority="1082" operator="containsText" text="*-b">
      <formula>NOT(ISERROR(SEARCH("*-b",AG61)))</formula>
    </cfRule>
    <cfRule type="containsText" dxfId="391" priority="1083" operator="containsText" text="*-b">
      <formula>NOT(ISERROR(SEARCH("*-b",AG61)))</formula>
    </cfRule>
    <cfRule type="containsText" dxfId="390" priority="1084" operator="containsText" text="*-a">
      <formula>NOT(ISERROR(SEARCH("*-a",AG61)))</formula>
    </cfRule>
    <cfRule type="containsText" dxfId="389" priority="1085" operator="containsText" text="*-ref">
      <formula>NOT(ISERROR(SEARCH("*-ref",AG61)))</formula>
    </cfRule>
  </conditionalFormatting>
  <conditionalFormatting sqref="AH61">
    <cfRule type="containsText" dxfId="388" priority="1072" operator="containsText" text="*-e">
      <formula>NOT(ISERROR(SEARCH("*-e",AH61)))</formula>
    </cfRule>
    <cfRule type="containsText" dxfId="387" priority="1073" operator="containsText" text="*-d">
      <formula>NOT(ISERROR(SEARCH("*-d",AH61)))</formula>
    </cfRule>
    <cfRule type="containsText" dxfId="386" priority="1074" operator="containsText" text="*-c">
      <formula>NOT(ISERROR(SEARCH("*-c",AH61)))</formula>
    </cfRule>
    <cfRule type="containsText" dxfId="385" priority="1075" operator="containsText" text="*-b">
      <formula>NOT(ISERROR(SEARCH("*-b",AH61)))</formula>
    </cfRule>
    <cfRule type="containsText" dxfId="384" priority="1076" operator="containsText" text="*-b">
      <formula>NOT(ISERROR(SEARCH("*-b",AH61)))</formula>
    </cfRule>
    <cfRule type="containsText" dxfId="383" priority="1077" operator="containsText" text="*-a">
      <formula>NOT(ISERROR(SEARCH("*-a",AH61)))</formula>
    </cfRule>
    <cfRule type="containsText" dxfId="382" priority="1078" operator="containsText" text="*-ref">
      <formula>NOT(ISERROR(SEARCH("*-ref",AH61)))</formula>
    </cfRule>
  </conditionalFormatting>
  <conditionalFormatting sqref="AI61">
    <cfRule type="containsText" dxfId="381" priority="1065" operator="containsText" text="*-e">
      <formula>NOT(ISERROR(SEARCH("*-e",AI61)))</formula>
    </cfRule>
    <cfRule type="containsText" dxfId="380" priority="1066" operator="containsText" text="*-d">
      <formula>NOT(ISERROR(SEARCH("*-d",AI61)))</formula>
    </cfRule>
    <cfRule type="containsText" dxfId="379" priority="1067" operator="containsText" text="*-c">
      <formula>NOT(ISERROR(SEARCH("*-c",AI61)))</formula>
    </cfRule>
    <cfRule type="containsText" dxfId="378" priority="1068" operator="containsText" text="*-b">
      <formula>NOT(ISERROR(SEARCH("*-b",AI61)))</formula>
    </cfRule>
    <cfRule type="containsText" dxfId="377" priority="1069" operator="containsText" text="*-b">
      <formula>NOT(ISERROR(SEARCH("*-b",AI61)))</formula>
    </cfRule>
    <cfRule type="containsText" dxfId="376" priority="1070" operator="containsText" text="*-a">
      <formula>NOT(ISERROR(SEARCH("*-a",AI61)))</formula>
    </cfRule>
    <cfRule type="containsText" dxfId="375" priority="1071" operator="containsText" text="*-ref">
      <formula>NOT(ISERROR(SEARCH("*-ref",AI61)))</formula>
    </cfRule>
  </conditionalFormatting>
  <conditionalFormatting sqref="AJ61">
    <cfRule type="containsText" dxfId="374" priority="1058" operator="containsText" text="*-e">
      <formula>NOT(ISERROR(SEARCH("*-e",AJ61)))</formula>
    </cfRule>
    <cfRule type="containsText" dxfId="373" priority="1059" operator="containsText" text="*-d">
      <formula>NOT(ISERROR(SEARCH("*-d",AJ61)))</formula>
    </cfRule>
    <cfRule type="containsText" dxfId="372" priority="1060" operator="containsText" text="*-c">
      <formula>NOT(ISERROR(SEARCH("*-c",AJ61)))</formula>
    </cfRule>
    <cfRule type="containsText" dxfId="371" priority="1061" operator="containsText" text="*-b">
      <formula>NOT(ISERROR(SEARCH("*-b",AJ61)))</formula>
    </cfRule>
    <cfRule type="containsText" dxfId="370" priority="1062" operator="containsText" text="*-b">
      <formula>NOT(ISERROR(SEARCH("*-b",AJ61)))</formula>
    </cfRule>
    <cfRule type="containsText" dxfId="369" priority="1063" operator="containsText" text="*-a">
      <formula>NOT(ISERROR(SEARCH("*-a",AJ61)))</formula>
    </cfRule>
    <cfRule type="containsText" dxfId="368" priority="1064" operator="containsText" text="*-ref">
      <formula>NOT(ISERROR(SEARCH("*-ref",AJ61)))</formula>
    </cfRule>
  </conditionalFormatting>
  <conditionalFormatting sqref="Y61">
    <cfRule type="containsText" dxfId="367" priority="1051" operator="containsText" text="*-g">
      <formula>NOT(ISERROR(SEARCH("*-g",Y61)))</formula>
    </cfRule>
    <cfRule type="containsText" dxfId="366" priority="1052" operator="containsText" text="*-d">
      <formula>NOT(ISERROR(SEARCH("*-d",Y61)))</formula>
    </cfRule>
    <cfRule type="containsText" dxfId="365" priority="1053" operator="containsText" text="*-c">
      <formula>NOT(ISERROR(SEARCH("*-c",Y61)))</formula>
    </cfRule>
    <cfRule type="containsText" dxfId="364" priority="1054" operator="containsText" text="*-b">
      <formula>NOT(ISERROR(SEARCH("*-b",Y61)))</formula>
    </cfRule>
    <cfRule type="containsText" dxfId="363" priority="1055" operator="containsText" text="*-b">
      <formula>NOT(ISERROR(SEARCH("*-b",Y61)))</formula>
    </cfRule>
    <cfRule type="containsText" dxfId="362" priority="1056" operator="containsText" text="*-a">
      <formula>NOT(ISERROR(SEARCH("*-a",Y61)))</formula>
    </cfRule>
    <cfRule type="containsText" dxfId="361" priority="1057" operator="containsText" text="*-ref">
      <formula>NOT(ISERROR(SEARCH("*-ref",Y61)))</formula>
    </cfRule>
  </conditionalFormatting>
  <conditionalFormatting sqref="Z82:AA82">
    <cfRule type="containsText" dxfId="360" priority="776" operator="containsText" text="*-MIN">
      <formula>NOT(ISERROR(SEARCH("*-MIN",Z82)))</formula>
    </cfRule>
    <cfRule type="containsText" dxfId="359" priority="777" operator="containsText" text="*-d">
      <formula>NOT(ISERROR(SEARCH("*-d",Z82)))</formula>
    </cfRule>
    <cfRule type="containsText" dxfId="358" priority="778" operator="containsText" text="*-c">
      <formula>NOT(ISERROR(SEARCH("*-c",Z82)))</formula>
    </cfRule>
    <cfRule type="containsText" dxfId="357" priority="779" operator="containsText" text="*-b">
      <formula>NOT(ISERROR(SEARCH("*-b",Z82)))</formula>
    </cfRule>
    <cfRule type="containsText" dxfId="356" priority="780" operator="containsText" text="*-b">
      <formula>NOT(ISERROR(SEARCH("*-b",Z82)))</formula>
    </cfRule>
    <cfRule type="containsText" dxfId="355" priority="781" operator="containsText" text="*-a">
      <formula>NOT(ISERROR(SEARCH("*-a",Z82)))</formula>
    </cfRule>
    <cfRule type="containsText" dxfId="354" priority="782" operator="containsText" text="*-ref">
      <formula>NOT(ISERROR(SEARCH("*-ref",Z82)))</formula>
    </cfRule>
  </conditionalFormatting>
  <conditionalFormatting sqref="D82 G82:J82 X82">
    <cfRule type="containsText" dxfId="353" priority="846" operator="containsText" text="*-e">
      <formula>NOT(ISERROR(SEARCH("*-e",D82)))</formula>
    </cfRule>
    <cfRule type="containsText" dxfId="352" priority="847" operator="containsText" text="*-d">
      <formula>NOT(ISERROR(SEARCH("*-d",D82)))</formula>
    </cfRule>
    <cfRule type="containsText" dxfId="351" priority="848" operator="containsText" text="*-c">
      <formula>NOT(ISERROR(SEARCH("*-c",D82)))</formula>
    </cfRule>
    <cfRule type="containsText" dxfId="350" priority="849" operator="containsText" text="*-b">
      <formula>NOT(ISERROR(SEARCH("*-b",D82)))</formula>
    </cfRule>
    <cfRule type="containsText" dxfId="349" priority="850" operator="containsText" text="*-b">
      <formula>NOT(ISERROR(SEARCH("*-b",D82)))</formula>
    </cfRule>
    <cfRule type="containsText" dxfId="348" priority="851" operator="containsText" text="*-a">
      <formula>NOT(ISERROR(SEARCH("*-a",D82)))</formula>
    </cfRule>
    <cfRule type="containsText" dxfId="347" priority="852" operator="containsText" text="*-ref">
      <formula>NOT(ISERROR(SEARCH("*-ref",D82)))</formula>
    </cfRule>
  </conditionalFormatting>
  <conditionalFormatting sqref="AE82">
    <cfRule type="containsText" dxfId="346" priority="839" operator="containsText" text="*-e">
      <formula>NOT(ISERROR(SEARCH("*-e",AE82)))</formula>
    </cfRule>
    <cfRule type="containsText" dxfId="345" priority="840" operator="containsText" text="*-d">
      <formula>NOT(ISERROR(SEARCH("*-d",AE82)))</formula>
    </cfRule>
    <cfRule type="containsText" dxfId="344" priority="841" operator="containsText" text="*-c">
      <formula>NOT(ISERROR(SEARCH("*-c",AE82)))</formula>
    </cfRule>
    <cfRule type="containsText" dxfId="343" priority="842" operator="containsText" text="*-b">
      <formula>NOT(ISERROR(SEARCH("*-b",AE82)))</formula>
    </cfRule>
    <cfRule type="containsText" dxfId="342" priority="843" operator="containsText" text="*-b">
      <formula>NOT(ISERROR(SEARCH("*-b",AE82)))</formula>
    </cfRule>
    <cfRule type="containsText" dxfId="341" priority="844" operator="containsText" text="*-a">
      <formula>NOT(ISERROR(SEARCH("*-a",AE82)))</formula>
    </cfRule>
    <cfRule type="containsText" dxfId="340" priority="845" operator="containsText" text="*-ref">
      <formula>NOT(ISERROR(SEARCH("*-ref",AE82)))</formula>
    </cfRule>
  </conditionalFormatting>
  <conditionalFormatting sqref="AF82">
    <cfRule type="containsText" dxfId="339" priority="832" operator="containsText" text="*-e">
      <formula>NOT(ISERROR(SEARCH("*-e",AF82)))</formula>
    </cfRule>
    <cfRule type="containsText" dxfId="338" priority="833" operator="containsText" text="*-d">
      <formula>NOT(ISERROR(SEARCH("*-d",AF82)))</formula>
    </cfRule>
    <cfRule type="containsText" dxfId="337" priority="834" operator="containsText" text="*-c">
      <formula>NOT(ISERROR(SEARCH("*-c",AF82)))</formula>
    </cfRule>
    <cfRule type="containsText" dxfId="336" priority="835" operator="containsText" text="*-b">
      <formula>NOT(ISERROR(SEARCH("*-b",AF82)))</formula>
    </cfRule>
    <cfRule type="containsText" dxfId="335" priority="836" operator="containsText" text="*-b">
      <formula>NOT(ISERROR(SEARCH("*-b",AF82)))</formula>
    </cfRule>
    <cfRule type="containsText" dxfId="334" priority="837" operator="containsText" text="*-a">
      <formula>NOT(ISERROR(SEARCH("*-a",AF82)))</formula>
    </cfRule>
    <cfRule type="containsText" dxfId="333" priority="838" operator="containsText" text="*-ref">
      <formula>NOT(ISERROR(SEARCH("*-ref",AF82)))</formula>
    </cfRule>
  </conditionalFormatting>
  <conditionalFormatting sqref="AG82">
    <cfRule type="containsText" dxfId="332" priority="825" operator="containsText" text="*-e">
      <formula>NOT(ISERROR(SEARCH("*-e",AG82)))</formula>
    </cfRule>
    <cfRule type="containsText" dxfId="331" priority="826" operator="containsText" text="*-d">
      <formula>NOT(ISERROR(SEARCH("*-d",AG82)))</formula>
    </cfRule>
    <cfRule type="containsText" dxfId="330" priority="827" operator="containsText" text="*-c">
      <formula>NOT(ISERROR(SEARCH("*-c",AG82)))</formula>
    </cfRule>
    <cfRule type="containsText" dxfId="329" priority="828" operator="containsText" text="*-b">
      <formula>NOT(ISERROR(SEARCH("*-b",AG82)))</formula>
    </cfRule>
    <cfRule type="containsText" dxfId="328" priority="829" operator="containsText" text="*-b">
      <formula>NOT(ISERROR(SEARCH("*-b",AG82)))</formula>
    </cfRule>
    <cfRule type="containsText" dxfId="327" priority="830" operator="containsText" text="*-a">
      <formula>NOT(ISERROR(SEARCH("*-a",AG82)))</formula>
    </cfRule>
    <cfRule type="containsText" dxfId="326" priority="831" operator="containsText" text="*-ref">
      <formula>NOT(ISERROR(SEARCH("*-ref",AG82)))</formula>
    </cfRule>
  </conditionalFormatting>
  <conditionalFormatting sqref="AH82">
    <cfRule type="containsText" dxfId="325" priority="818" operator="containsText" text="*-e">
      <formula>NOT(ISERROR(SEARCH("*-e",AH82)))</formula>
    </cfRule>
    <cfRule type="containsText" dxfId="324" priority="819" operator="containsText" text="*-d">
      <formula>NOT(ISERROR(SEARCH("*-d",AH82)))</formula>
    </cfRule>
    <cfRule type="containsText" dxfId="323" priority="820" operator="containsText" text="*-c">
      <formula>NOT(ISERROR(SEARCH("*-c",AH82)))</formula>
    </cfRule>
    <cfRule type="containsText" dxfId="322" priority="821" operator="containsText" text="*-b">
      <formula>NOT(ISERROR(SEARCH("*-b",AH82)))</formula>
    </cfRule>
    <cfRule type="containsText" dxfId="321" priority="822" operator="containsText" text="*-b">
      <formula>NOT(ISERROR(SEARCH("*-b",AH82)))</formula>
    </cfRule>
    <cfRule type="containsText" dxfId="320" priority="823" operator="containsText" text="*-a">
      <formula>NOT(ISERROR(SEARCH("*-a",AH82)))</formula>
    </cfRule>
    <cfRule type="containsText" dxfId="319" priority="824" operator="containsText" text="*-ref">
      <formula>NOT(ISERROR(SEARCH("*-ref",AH82)))</formula>
    </cfRule>
  </conditionalFormatting>
  <conditionalFormatting sqref="AI82">
    <cfRule type="containsText" dxfId="318" priority="811" operator="containsText" text="*-e">
      <formula>NOT(ISERROR(SEARCH("*-e",AI82)))</formula>
    </cfRule>
    <cfRule type="containsText" dxfId="317" priority="812" operator="containsText" text="*-d">
      <formula>NOT(ISERROR(SEARCH("*-d",AI82)))</formula>
    </cfRule>
    <cfRule type="containsText" dxfId="316" priority="813" operator="containsText" text="*-c">
      <formula>NOT(ISERROR(SEARCH("*-c",AI82)))</formula>
    </cfRule>
    <cfRule type="containsText" dxfId="315" priority="814" operator="containsText" text="*-b">
      <formula>NOT(ISERROR(SEARCH("*-b",AI82)))</formula>
    </cfRule>
    <cfRule type="containsText" dxfId="314" priority="815" operator="containsText" text="*-b">
      <formula>NOT(ISERROR(SEARCH("*-b",AI82)))</formula>
    </cfRule>
    <cfRule type="containsText" dxfId="313" priority="816" operator="containsText" text="*-a">
      <formula>NOT(ISERROR(SEARCH("*-a",AI82)))</formula>
    </cfRule>
    <cfRule type="containsText" dxfId="312" priority="817" operator="containsText" text="*-ref">
      <formula>NOT(ISERROR(SEARCH("*-ref",AI82)))</formula>
    </cfRule>
  </conditionalFormatting>
  <conditionalFormatting sqref="AJ82">
    <cfRule type="containsText" dxfId="311" priority="804" operator="containsText" text="*-e">
      <formula>NOT(ISERROR(SEARCH("*-e",AJ82)))</formula>
    </cfRule>
    <cfRule type="containsText" dxfId="310" priority="805" operator="containsText" text="*-d">
      <formula>NOT(ISERROR(SEARCH("*-d",AJ82)))</formula>
    </cfRule>
    <cfRule type="containsText" dxfId="309" priority="806" operator="containsText" text="*-c">
      <formula>NOT(ISERROR(SEARCH("*-c",AJ82)))</formula>
    </cfRule>
    <cfRule type="containsText" dxfId="308" priority="807" operator="containsText" text="*-b">
      <formula>NOT(ISERROR(SEARCH("*-b",AJ82)))</formula>
    </cfRule>
    <cfRule type="containsText" dxfId="307" priority="808" operator="containsText" text="*-b">
      <formula>NOT(ISERROR(SEARCH("*-b",AJ82)))</formula>
    </cfRule>
    <cfRule type="containsText" dxfId="306" priority="809" operator="containsText" text="*-a">
      <formula>NOT(ISERROR(SEARCH("*-a",AJ82)))</formula>
    </cfRule>
    <cfRule type="containsText" dxfId="305" priority="810" operator="containsText" text="*-ref">
      <formula>NOT(ISERROR(SEARCH("*-ref",AJ82)))</formula>
    </cfRule>
  </conditionalFormatting>
  <conditionalFormatting sqref="E82">
    <cfRule type="containsText" dxfId="304" priority="769" operator="containsText" text="*-e">
      <formula>NOT(ISERROR(SEARCH("*-e",E82)))</formula>
    </cfRule>
    <cfRule type="containsText" dxfId="303" priority="770" operator="containsText" text="*-d">
      <formula>NOT(ISERROR(SEARCH("*-d",E82)))</formula>
    </cfRule>
    <cfRule type="containsText" dxfId="302" priority="771" operator="containsText" text="*-c">
      <formula>NOT(ISERROR(SEARCH("*-c",E82)))</formula>
    </cfRule>
    <cfRule type="containsText" dxfId="301" priority="772" operator="containsText" text="*-b">
      <formula>NOT(ISERROR(SEARCH("*-b",E82)))</formula>
    </cfRule>
    <cfRule type="containsText" dxfId="300" priority="773" operator="containsText" text="*-b">
      <formula>NOT(ISERROR(SEARCH("*-b",E82)))</formula>
    </cfRule>
    <cfRule type="containsText" dxfId="299" priority="774" operator="containsText" text="*-a">
      <formula>NOT(ISERROR(SEARCH("*-a",E82)))</formula>
    </cfRule>
    <cfRule type="containsText" dxfId="298" priority="775" operator="containsText" text="*-ref">
      <formula>NOT(ISERROR(SEARCH("*-ref",E82)))</formula>
    </cfRule>
  </conditionalFormatting>
  <conditionalFormatting sqref="F82">
    <cfRule type="containsText" dxfId="297" priority="762" operator="containsText" text="*-e">
      <formula>NOT(ISERROR(SEARCH("*-e",F82)))</formula>
    </cfRule>
    <cfRule type="containsText" dxfId="296" priority="763" operator="containsText" text="*-d">
      <formula>NOT(ISERROR(SEARCH("*-d",F82)))</formula>
    </cfRule>
    <cfRule type="containsText" dxfId="295" priority="764" operator="containsText" text="*-c">
      <formula>NOT(ISERROR(SEARCH("*-c",F82)))</formula>
    </cfRule>
    <cfRule type="containsText" dxfId="294" priority="765" operator="containsText" text="*-b">
      <formula>NOT(ISERROR(SEARCH("*-b",F82)))</formula>
    </cfRule>
    <cfRule type="containsText" dxfId="293" priority="766" operator="containsText" text="*-b">
      <formula>NOT(ISERROR(SEARCH("*-b",F82)))</formula>
    </cfRule>
    <cfRule type="containsText" dxfId="292" priority="767" operator="containsText" text="*-a">
      <formula>NOT(ISERROR(SEARCH("*-a",F82)))</formula>
    </cfRule>
    <cfRule type="containsText" dxfId="291" priority="768" operator="containsText" text="*-ref">
      <formula>NOT(ISERROR(SEARCH("*-ref",F82)))</formula>
    </cfRule>
  </conditionalFormatting>
  <conditionalFormatting sqref="K82">
    <cfRule type="containsText" dxfId="290" priority="755" operator="containsText" text="*-e">
      <formula>NOT(ISERROR(SEARCH("*-e",K82)))</formula>
    </cfRule>
    <cfRule type="containsText" dxfId="289" priority="756" operator="containsText" text="*-d">
      <formula>NOT(ISERROR(SEARCH("*-d",K82)))</formula>
    </cfRule>
    <cfRule type="containsText" dxfId="288" priority="757" operator="containsText" text="*-c">
      <formula>NOT(ISERROR(SEARCH("*-c",K82)))</formula>
    </cfRule>
    <cfRule type="containsText" dxfId="287" priority="758" operator="containsText" text="*-b">
      <formula>NOT(ISERROR(SEARCH("*-b",K82)))</formula>
    </cfRule>
    <cfRule type="containsText" dxfId="286" priority="759" operator="containsText" text="*-b">
      <formula>NOT(ISERROR(SEARCH("*-b",K82)))</formula>
    </cfRule>
    <cfRule type="containsText" dxfId="285" priority="760" operator="containsText" text="*-a">
      <formula>NOT(ISERROR(SEARCH("*-a",K82)))</formula>
    </cfRule>
    <cfRule type="containsText" dxfId="284" priority="761" operator="containsText" text="*-ref">
      <formula>NOT(ISERROR(SEARCH("*-ref",K82)))</formula>
    </cfRule>
  </conditionalFormatting>
  <conditionalFormatting sqref="N82">
    <cfRule type="containsText" dxfId="283" priority="748" operator="containsText" text="*-e">
      <formula>NOT(ISERROR(SEARCH("*-e",N82)))</formula>
    </cfRule>
    <cfRule type="containsText" dxfId="282" priority="749" operator="containsText" text="*-d">
      <formula>NOT(ISERROR(SEARCH("*-d",N82)))</formula>
    </cfRule>
    <cfRule type="containsText" dxfId="281" priority="750" operator="containsText" text="*-c">
      <formula>NOT(ISERROR(SEARCH("*-c",N82)))</formula>
    </cfRule>
    <cfRule type="containsText" dxfId="280" priority="751" operator="containsText" text="*-b">
      <formula>NOT(ISERROR(SEARCH("*-b",N82)))</formula>
    </cfRule>
    <cfRule type="containsText" dxfId="279" priority="752" operator="containsText" text="*-b">
      <formula>NOT(ISERROR(SEARCH("*-b",N82)))</formula>
    </cfRule>
    <cfRule type="containsText" dxfId="278" priority="753" operator="containsText" text="*-a">
      <formula>NOT(ISERROR(SEARCH("*-a",N82)))</formula>
    </cfRule>
    <cfRule type="containsText" dxfId="277" priority="754" operator="containsText" text="*-ref">
      <formula>NOT(ISERROR(SEARCH("*-ref",N82)))</formula>
    </cfRule>
  </conditionalFormatting>
  <conditionalFormatting sqref="P82:Q82">
    <cfRule type="containsText" dxfId="276" priority="734" operator="containsText" text="*-e">
      <formula>NOT(ISERROR(SEARCH("*-e",P82)))</formula>
    </cfRule>
    <cfRule type="containsText" dxfId="275" priority="735" operator="containsText" text="*-d">
      <formula>NOT(ISERROR(SEARCH("*-d",P82)))</formula>
    </cfRule>
    <cfRule type="containsText" dxfId="274" priority="736" operator="containsText" text="*-c">
      <formula>NOT(ISERROR(SEARCH("*-c",P82)))</formula>
    </cfRule>
    <cfRule type="containsText" dxfId="273" priority="737" operator="containsText" text="*-b">
      <formula>NOT(ISERROR(SEARCH("*-b",P82)))</formula>
    </cfRule>
    <cfRule type="containsText" dxfId="272" priority="738" operator="containsText" text="*-b">
      <formula>NOT(ISERROR(SEARCH("*-b",P82)))</formula>
    </cfRule>
    <cfRule type="containsText" dxfId="271" priority="739" operator="containsText" text="*-a">
      <formula>NOT(ISERROR(SEARCH("*-a",P82)))</formula>
    </cfRule>
    <cfRule type="containsText" dxfId="270" priority="740" operator="containsText" text="*-ref">
      <formula>NOT(ISERROR(SEARCH("*-ref",P82)))</formula>
    </cfRule>
  </conditionalFormatting>
  <conditionalFormatting sqref="AB82">
    <cfRule type="containsText" dxfId="269" priority="699" operator="containsText" text="*-e">
      <formula>NOT(ISERROR(SEARCH("*-e",AB82)))</formula>
    </cfRule>
    <cfRule type="containsText" dxfId="268" priority="700" operator="containsText" text="*-d">
      <formula>NOT(ISERROR(SEARCH("*-d",AB82)))</formula>
    </cfRule>
    <cfRule type="containsText" dxfId="267" priority="701" operator="containsText" text="*-c">
      <formula>NOT(ISERROR(SEARCH("*-c",AB82)))</formula>
    </cfRule>
    <cfRule type="containsText" dxfId="266" priority="702" operator="containsText" text="*-b">
      <formula>NOT(ISERROR(SEARCH("*-b",AB82)))</formula>
    </cfRule>
    <cfRule type="containsText" dxfId="265" priority="703" operator="containsText" text="*-b">
      <formula>NOT(ISERROR(SEARCH("*-b",AB82)))</formula>
    </cfRule>
    <cfRule type="containsText" dxfId="264" priority="704" operator="containsText" text="*-a">
      <formula>NOT(ISERROR(SEARCH("*-a",AB82)))</formula>
    </cfRule>
    <cfRule type="containsText" dxfId="263" priority="705" operator="containsText" text="*-ref">
      <formula>NOT(ISERROR(SEARCH("*-ref",AB82)))</formula>
    </cfRule>
  </conditionalFormatting>
  <conditionalFormatting sqref="L82">
    <cfRule type="containsText" dxfId="262" priority="692" operator="containsText" text="*-e">
      <formula>NOT(ISERROR(SEARCH("*-e",L82)))</formula>
    </cfRule>
    <cfRule type="containsText" dxfId="261" priority="693" operator="containsText" text="*-d">
      <formula>NOT(ISERROR(SEARCH("*-d",L82)))</formula>
    </cfRule>
    <cfRule type="containsText" dxfId="260" priority="694" operator="containsText" text="*-c">
      <formula>NOT(ISERROR(SEARCH("*-c",L82)))</formula>
    </cfRule>
    <cfRule type="containsText" dxfId="259" priority="695" operator="containsText" text="*-b">
      <formula>NOT(ISERROR(SEARCH("*-b",L82)))</formula>
    </cfRule>
    <cfRule type="containsText" dxfId="258" priority="696" operator="containsText" text="*-b">
      <formula>NOT(ISERROR(SEARCH("*-b",L82)))</formula>
    </cfRule>
    <cfRule type="containsText" dxfId="257" priority="697" operator="containsText" text="*-a">
      <formula>NOT(ISERROR(SEARCH("*-a",L82)))</formula>
    </cfRule>
    <cfRule type="containsText" dxfId="256" priority="698" operator="containsText" text="*-ref">
      <formula>NOT(ISERROR(SEARCH("*-ref",L82)))</formula>
    </cfRule>
  </conditionalFormatting>
  <conditionalFormatting sqref="M82">
    <cfRule type="containsText" dxfId="255" priority="685" operator="containsText" text="*-e">
      <formula>NOT(ISERROR(SEARCH("*-e",M82)))</formula>
    </cfRule>
    <cfRule type="containsText" dxfId="254" priority="686" operator="containsText" text="*-d">
      <formula>NOT(ISERROR(SEARCH("*-d",M82)))</formula>
    </cfRule>
    <cfRule type="containsText" dxfId="253" priority="687" operator="containsText" text="*-c">
      <formula>NOT(ISERROR(SEARCH("*-c",M82)))</formula>
    </cfRule>
    <cfRule type="containsText" dxfId="252" priority="688" operator="containsText" text="*-b">
      <formula>NOT(ISERROR(SEARCH("*-b",M82)))</formula>
    </cfRule>
    <cfRule type="containsText" dxfId="251" priority="689" operator="containsText" text="*-b">
      <formula>NOT(ISERROR(SEARCH("*-b",M82)))</formula>
    </cfRule>
    <cfRule type="containsText" dxfId="250" priority="690" operator="containsText" text="*-a">
      <formula>NOT(ISERROR(SEARCH("*-a",M82)))</formula>
    </cfRule>
    <cfRule type="containsText" dxfId="249" priority="691" operator="containsText" text="*-ref">
      <formula>NOT(ISERROR(SEARCH("*-ref",M82)))</formula>
    </cfRule>
  </conditionalFormatting>
  <conditionalFormatting sqref="R82:S82">
    <cfRule type="containsText" dxfId="248" priority="678" operator="containsText" text="*-MIN">
      <formula>NOT(ISERROR(SEARCH("*-MIN",R82)))</formula>
    </cfRule>
    <cfRule type="containsText" dxfId="247" priority="679" operator="containsText" text="*-d">
      <formula>NOT(ISERROR(SEARCH("*-d",R82)))</formula>
    </cfRule>
    <cfRule type="containsText" dxfId="246" priority="680" operator="containsText" text="*-c">
      <formula>NOT(ISERROR(SEARCH("*-c",R82)))</formula>
    </cfRule>
    <cfRule type="containsText" dxfId="245" priority="681" operator="containsText" text="*-b">
      <formula>NOT(ISERROR(SEARCH("*-b",R82)))</formula>
    </cfRule>
    <cfRule type="containsText" dxfId="244" priority="682" operator="containsText" text="*-b">
      <formula>NOT(ISERROR(SEARCH("*-b",R82)))</formula>
    </cfRule>
    <cfRule type="containsText" dxfId="243" priority="683" operator="containsText" text="*-a">
      <formula>NOT(ISERROR(SEARCH("*-a",R82)))</formula>
    </cfRule>
    <cfRule type="containsText" dxfId="242" priority="684" operator="containsText" text="*-ref">
      <formula>NOT(ISERROR(SEARCH("*-ref",R82)))</formula>
    </cfRule>
  </conditionalFormatting>
  <conditionalFormatting sqref="T82:W82">
    <cfRule type="containsText" dxfId="241" priority="671" operator="containsText" text="*-MIN">
      <formula>NOT(ISERROR(SEARCH("*-MIN",T82)))</formula>
    </cfRule>
    <cfRule type="containsText" dxfId="240" priority="672" operator="containsText" text="*-d">
      <formula>NOT(ISERROR(SEARCH("*-d",T82)))</formula>
    </cfRule>
    <cfRule type="containsText" dxfId="239" priority="673" operator="containsText" text="*-c">
      <formula>NOT(ISERROR(SEARCH("*-c",T82)))</formula>
    </cfRule>
    <cfRule type="containsText" dxfId="238" priority="674" operator="containsText" text="*-b">
      <formula>NOT(ISERROR(SEARCH("*-b",T82)))</formula>
    </cfRule>
    <cfRule type="containsText" dxfId="237" priority="675" operator="containsText" text="*-b">
      <formula>NOT(ISERROR(SEARCH("*-b",T82)))</formula>
    </cfRule>
    <cfRule type="containsText" dxfId="236" priority="676" operator="containsText" text="*-a">
      <formula>NOT(ISERROR(SEARCH("*-a",T82)))</formula>
    </cfRule>
    <cfRule type="containsText" dxfId="235" priority="677" operator="containsText" text="*-ref">
      <formula>NOT(ISERROR(SEARCH("*-ref",T82)))</formula>
    </cfRule>
  </conditionalFormatting>
  <conditionalFormatting sqref="O82">
    <cfRule type="containsText" dxfId="234" priority="664" operator="containsText" text="*-e">
      <formula>NOT(ISERROR(SEARCH("*-e",O82)))</formula>
    </cfRule>
    <cfRule type="containsText" dxfId="233" priority="665" operator="containsText" text="*-d">
      <formula>NOT(ISERROR(SEARCH("*-d",O82)))</formula>
    </cfRule>
    <cfRule type="containsText" dxfId="232" priority="666" operator="containsText" text="*-c">
      <formula>NOT(ISERROR(SEARCH("*-c",O82)))</formula>
    </cfRule>
    <cfRule type="containsText" dxfId="231" priority="667" operator="containsText" text="*-b">
      <formula>NOT(ISERROR(SEARCH("*-b",O82)))</formula>
    </cfRule>
    <cfRule type="containsText" dxfId="230" priority="668" operator="containsText" text="*-b">
      <formula>NOT(ISERROR(SEARCH("*-b",O82)))</formula>
    </cfRule>
    <cfRule type="containsText" dxfId="229" priority="669" operator="containsText" text="*-a">
      <formula>NOT(ISERROR(SEARCH("*-a",O82)))</formula>
    </cfRule>
    <cfRule type="containsText" dxfId="228" priority="670" operator="containsText" text="*-ref">
      <formula>NOT(ISERROR(SEARCH("*-ref",O82)))</formula>
    </cfRule>
  </conditionalFormatting>
  <conditionalFormatting sqref="AC82:AD82">
    <cfRule type="containsText" dxfId="227" priority="650" operator="containsText" text="*-e">
      <formula>NOT(ISERROR(SEARCH("*-e",AC82)))</formula>
    </cfRule>
    <cfRule type="containsText" dxfId="226" priority="651" operator="containsText" text="*-d">
      <formula>NOT(ISERROR(SEARCH("*-d",AC82)))</formula>
    </cfRule>
    <cfRule type="containsText" dxfId="225" priority="652" operator="containsText" text="*-c">
      <formula>NOT(ISERROR(SEARCH("*-c",AC82)))</formula>
    </cfRule>
    <cfRule type="containsText" dxfId="224" priority="653" operator="containsText" text="*-b">
      <formula>NOT(ISERROR(SEARCH("*-b",AC82)))</formula>
    </cfRule>
    <cfRule type="containsText" dxfId="223" priority="654" operator="containsText" text="*-b">
      <formula>NOT(ISERROR(SEARCH("*-b",AC82)))</formula>
    </cfRule>
    <cfRule type="containsText" dxfId="222" priority="655" operator="containsText" text="*-a">
      <formula>NOT(ISERROR(SEARCH("*-a",AC82)))</formula>
    </cfRule>
    <cfRule type="containsText" dxfId="221" priority="656" operator="containsText" text="*-ref">
      <formula>NOT(ISERROR(SEARCH("*-ref",AC82)))</formula>
    </cfRule>
  </conditionalFormatting>
  <conditionalFormatting sqref="Y82">
    <cfRule type="containsText" dxfId="220" priority="452" operator="containsText" text="*-g">
      <formula>NOT(ISERROR(SEARCH("*-g",Y82)))</formula>
    </cfRule>
    <cfRule type="containsText" dxfId="219" priority="453" operator="containsText" text="*-d">
      <formula>NOT(ISERROR(SEARCH("*-d",Y82)))</formula>
    </cfRule>
    <cfRule type="containsText" dxfId="218" priority="454" operator="containsText" text="*-c">
      <formula>NOT(ISERROR(SEARCH("*-c",Y82)))</formula>
    </cfRule>
    <cfRule type="containsText" dxfId="217" priority="455" operator="containsText" text="*-b">
      <formula>NOT(ISERROR(SEARCH("*-b",Y82)))</formula>
    </cfRule>
    <cfRule type="containsText" dxfId="216" priority="456" operator="containsText" text="*-b">
      <formula>NOT(ISERROR(SEARCH("*-b",Y82)))</formula>
    </cfRule>
    <cfRule type="containsText" dxfId="215" priority="457" operator="containsText" text="*-a">
      <formula>NOT(ISERROR(SEARCH("*-a",Y82)))</formula>
    </cfRule>
    <cfRule type="containsText" dxfId="214" priority="458" operator="containsText" text="*-ref">
      <formula>NOT(ISERROR(SEARCH("*-ref",Y82)))</formula>
    </cfRule>
  </conditionalFormatting>
  <conditionalFormatting sqref="D57:X57 Z57:AD57">
    <cfRule type="containsText" dxfId="213" priority="205" operator="containsText" text="*-e">
      <formula>NOT(ISERROR(SEARCH("*-e",D57)))</formula>
    </cfRule>
    <cfRule type="containsText" dxfId="212" priority="206" operator="containsText" text="*-d">
      <formula>NOT(ISERROR(SEARCH("*-d",D57)))</formula>
    </cfRule>
    <cfRule type="containsText" dxfId="211" priority="207" operator="containsText" text="*-c">
      <formula>NOT(ISERROR(SEARCH("*-c",D57)))</formula>
    </cfRule>
    <cfRule type="containsText" dxfId="210" priority="208" operator="containsText" text="*-b">
      <formula>NOT(ISERROR(SEARCH("*-b",D57)))</formula>
    </cfRule>
    <cfRule type="containsText" dxfId="209" priority="209" operator="containsText" text="*-b">
      <formula>NOT(ISERROR(SEARCH("*-b",D57)))</formula>
    </cfRule>
    <cfRule type="containsText" dxfId="208" priority="210" operator="containsText" text="*-a">
      <formula>NOT(ISERROR(SEARCH("*-a",D57)))</formula>
    </cfRule>
    <cfRule type="containsText" dxfId="207" priority="211" operator="containsText" text="*-ref">
      <formula>NOT(ISERROR(SEARCH("*-ref",D57)))</formula>
    </cfRule>
  </conditionalFormatting>
  <conditionalFormatting sqref="AE57">
    <cfRule type="containsText" dxfId="206" priority="198" operator="containsText" text="*-e">
      <formula>NOT(ISERROR(SEARCH("*-e",AE57)))</formula>
    </cfRule>
    <cfRule type="containsText" dxfId="205" priority="199" operator="containsText" text="*-d">
      <formula>NOT(ISERROR(SEARCH("*-d",AE57)))</formula>
    </cfRule>
    <cfRule type="containsText" dxfId="204" priority="200" operator="containsText" text="*-c">
      <formula>NOT(ISERROR(SEARCH("*-c",AE57)))</formula>
    </cfRule>
    <cfRule type="containsText" dxfId="203" priority="201" operator="containsText" text="*-b">
      <formula>NOT(ISERROR(SEARCH("*-b",AE57)))</formula>
    </cfRule>
    <cfRule type="containsText" dxfId="202" priority="202" operator="containsText" text="*-b">
      <formula>NOT(ISERROR(SEARCH("*-b",AE57)))</formula>
    </cfRule>
    <cfRule type="containsText" dxfId="201" priority="203" operator="containsText" text="*-a">
      <formula>NOT(ISERROR(SEARCH("*-a",AE57)))</formula>
    </cfRule>
    <cfRule type="containsText" dxfId="200" priority="204" operator="containsText" text="*-ref">
      <formula>NOT(ISERROR(SEARCH("*-ref",AE57)))</formula>
    </cfRule>
  </conditionalFormatting>
  <conditionalFormatting sqref="AF57">
    <cfRule type="containsText" dxfId="199" priority="191" operator="containsText" text="*-e">
      <formula>NOT(ISERROR(SEARCH("*-e",AF57)))</formula>
    </cfRule>
    <cfRule type="containsText" dxfId="198" priority="192" operator="containsText" text="*-d">
      <formula>NOT(ISERROR(SEARCH("*-d",AF57)))</formula>
    </cfRule>
    <cfRule type="containsText" dxfId="197" priority="193" operator="containsText" text="*-c">
      <formula>NOT(ISERROR(SEARCH("*-c",AF57)))</formula>
    </cfRule>
    <cfRule type="containsText" dxfId="196" priority="194" operator="containsText" text="*-b">
      <formula>NOT(ISERROR(SEARCH("*-b",AF57)))</formula>
    </cfRule>
    <cfRule type="containsText" dxfId="195" priority="195" operator="containsText" text="*-b">
      <formula>NOT(ISERROR(SEARCH("*-b",AF57)))</formula>
    </cfRule>
    <cfRule type="containsText" dxfId="194" priority="196" operator="containsText" text="*-a">
      <formula>NOT(ISERROR(SEARCH("*-a",AF57)))</formula>
    </cfRule>
    <cfRule type="containsText" dxfId="193" priority="197" operator="containsText" text="*-ref">
      <formula>NOT(ISERROR(SEARCH("*-ref",AF57)))</formula>
    </cfRule>
  </conditionalFormatting>
  <conditionalFormatting sqref="AG57">
    <cfRule type="containsText" dxfId="192" priority="184" operator="containsText" text="*-e">
      <formula>NOT(ISERROR(SEARCH("*-e",AG57)))</formula>
    </cfRule>
    <cfRule type="containsText" dxfId="191" priority="185" operator="containsText" text="*-d">
      <formula>NOT(ISERROR(SEARCH("*-d",AG57)))</formula>
    </cfRule>
    <cfRule type="containsText" dxfId="190" priority="186" operator="containsText" text="*-c">
      <formula>NOT(ISERROR(SEARCH("*-c",AG57)))</formula>
    </cfRule>
    <cfRule type="containsText" dxfId="189" priority="187" operator="containsText" text="*-b">
      <formula>NOT(ISERROR(SEARCH("*-b",AG57)))</formula>
    </cfRule>
    <cfRule type="containsText" dxfId="188" priority="188" operator="containsText" text="*-b">
      <formula>NOT(ISERROR(SEARCH("*-b",AG57)))</formula>
    </cfRule>
    <cfRule type="containsText" dxfId="187" priority="189" operator="containsText" text="*-a">
      <formula>NOT(ISERROR(SEARCH("*-a",AG57)))</formula>
    </cfRule>
    <cfRule type="containsText" dxfId="186" priority="190" operator="containsText" text="*-ref">
      <formula>NOT(ISERROR(SEARCH("*-ref",AG57)))</formula>
    </cfRule>
  </conditionalFormatting>
  <conditionalFormatting sqref="AH57">
    <cfRule type="containsText" dxfId="185" priority="177" operator="containsText" text="*-e">
      <formula>NOT(ISERROR(SEARCH("*-e",AH57)))</formula>
    </cfRule>
    <cfRule type="containsText" dxfId="184" priority="178" operator="containsText" text="*-d">
      <formula>NOT(ISERROR(SEARCH("*-d",AH57)))</formula>
    </cfRule>
    <cfRule type="containsText" dxfId="183" priority="179" operator="containsText" text="*-c">
      <formula>NOT(ISERROR(SEARCH("*-c",AH57)))</formula>
    </cfRule>
    <cfRule type="containsText" dxfId="182" priority="180" operator="containsText" text="*-b">
      <formula>NOT(ISERROR(SEARCH("*-b",AH57)))</formula>
    </cfRule>
    <cfRule type="containsText" dxfId="181" priority="181" operator="containsText" text="*-b">
      <formula>NOT(ISERROR(SEARCH("*-b",AH57)))</formula>
    </cfRule>
    <cfRule type="containsText" dxfId="180" priority="182" operator="containsText" text="*-a">
      <formula>NOT(ISERROR(SEARCH("*-a",AH57)))</formula>
    </cfRule>
    <cfRule type="containsText" dxfId="179" priority="183" operator="containsText" text="*-ref">
      <formula>NOT(ISERROR(SEARCH("*-ref",AH57)))</formula>
    </cfRule>
  </conditionalFormatting>
  <conditionalFormatting sqref="AI57">
    <cfRule type="containsText" dxfId="178" priority="170" operator="containsText" text="*-e">
      <formula>NOT(ISERROR(SEARCH("*-e",AI57)))</formula>
    </cfRule>
    <cfRule type="containsText" dxfId="177" priority="171" operator="containsText" text="*-d">
      <formula>NOT(ISERROR(SEARCH("*-d",AI57)))</formula>
    </cfRule>
    <cfRule type="containsText" dxfId="176" priority="172" operator="containsText" text="*-c">
      <formula>NOT(ISERROR(SEARCH("*-c",AI57)))</formula>
    </cfRule>
    <cfRule type="containsText" dxfId="175" priority="173" operator="containsText" text="*-b">
      <formula>NOT(ISERROR(SEARCH("*-b",AI57)))</formula>
    </cfRule>
    <cfRule type="containsText" dxfId="174" priority="174" operator="containsText" text="*-b">
      <formula>NOT(ISERROR(SEARCH("*-b",AI57)))</formula>
    </cfRule>
    <cfRule type="containsText" dxfId="173" priority="175" operator="containsText" text="*-a">
      <formula>NOT(ISERROR(SEARCH("*-a",AI57)))</formula>
    </cfRule>
    <cfRule type="containsText" dxfId="172" priority="176" operator="containsText" text="*-ref">
      <formula>NOT(ISERROR(SEARCH("*-ref",AI57)))</formula>
    </cfRule>
  </conditionalFormatting>
  <conditionalFormatting sqref="AJ57">
    <cfRule type="containsText" dxfId="171" priority="163" operator="containsText" text="*-e">
      <formula>NOT(ISERROR(SEARCH("*-e",AJ57)))</formula>
    </cfRule>
    <cfRule type="containsText" dxfId="170" priority="164" operator="containsText" text="*-d">
      <formula>NOT(ISERROR(SEARCH("*-d",AJ57)))</formula>
    </cfRule>
    <cfRule type="containsText" dxfId="169" priority="165" operator="containsText" text="*-c">
      <formula>NOT(ISERROR(SEARCH("*-c",AJ57)))</formula>
    </cfRule>
    <cfRule type="containsText" dxfId="168" priority="166" operator="containsText" text="*-b">
      <formula>NOT(ISERROR(SEARCH("*-b",AJ57)))</formula>
    </cfRule>
    <cfRule type="containsText" dxfId="167" priority="167" operator="containsText" text="*-b">
      <formula>NOT(ISERROR(SEARCH("*-b",AJ57)))</formula>
    </cfRule>
    <cfRule type="containsText" dxfId="166" priority="168" operator="containsText" text="*-a">
      <formula>NOT(ISERROR(SEARCH("*-a",AJ57)))</formula>
    </cfRule>
    <cfRule type="containsText" dxfId="165" priority="169" operator="containsText" text="*-ref">
      <formula>NOT(ISERROR(SEARCH("*-ref",AJ57)))</formula>
    </cfRule>
  </conditionalFormatting>
  <conditionalFormatting sqref="Y57">
    <cfRule type="containsText" dxfId="164" priority="156" operator="containsText" text="*-g">
      <formula>NOT(ISERROR(SEARCH("*-g",Y57)))</formula>
    </cfRule>
    <cfRule type="containsText" dxfId="163" priority="157" operator="containsText" text="*-d">
      <formula>NOT(ISERROR(SEARCH("*-d",Y57)))</formula>
    </cfRule>
    <cfRule type="containsText" dxfId="162" priority="158" operator="containsText" text="*-c">
      <formula>NOT(ISERROR(SEARCH("*-c",Y57)))</formula>
    </cfRule>
    <cfRule type="containsText" dxfId="161" priority="159" operator="containsText" text="*-b">
      <formula>NOT(ISERROR(SEARCH("*-b",Y57)))</formula>
    </cfRule>
    <cfRule type="containsText" dxfId="160" priority="160" operator="containsText" text="*-b">
      <formula>NOT(ISERROR(SEARCH("*-b",Y57)))</formula>
    </cfRule>
    <cfRule type="containsText" dxfId="159" priority="161" operator="containsText" text="*-a">
      <formula>NOT(ISERROR(SEARCH("*-a",Y57)))</formula>
    </cfRule>
    <cfRule type="containsText" dxfId="158" priority="162" operator="containsText" text="*-ref">
      <formula>NOT(ISERROR(SEARCH("*-ref",Y57)))</formula>
    </cfRule>
  </conditionalFormatting>
  <conditionalFormatting sqref="D78">
    <cfRule type="containsText" dxfId="157" priority="148" operator="containsText" text="*-e">
      <formula>NOT(ISERROR(SEARCH("*-e",D78)))</formula>
    </cfRule>
    <cfRule type="containsText" dxfId="156" priority="149" operator="containsText" text="*-d">
      <formula>NOT(ISERROR(SEARCH("*-d",D78)))</formula>
    </cfRule>
    <cfRule type="containsText" dxfId="155" priority="150" operator="containsText" text="*-c">
      <formula>NOT(ISERROR(SEARCH("*-c",D78)))</formula>
    </cfRule>
    <cfRule type="containsText" dxfId="154" priority="151" operator="containsText" text="*-b">
      <formula>NOT(ISERROR(SEARCH("*-b",D78)))</formula>
    </cfRule>
    <cfRule type="containsText" dxfId="153" priority="152" operator="containsText" text="*-b">
      <formula>NOT(ISERROR(SEARCH("*-b",D78)))</formula>
    </cfRule>
    <cfRule type="containsText" dxfId="152" priority="153" operator="containsText" text="*-a">
      <formula>NOT(ISERROR(SEARCH("*-a",D78)))</formula>
    </cfRule>
    <cfRule type="containsText" dxfId="151" priority="154" operator="containsText" text="*-ref">
      <formula>NOT(ISERROR(SEARCH("*-ref",D78)))</formula>
    </cfRule>
  </conditionalFormatting>
  <conditionalFormatting sqref="E78">
    <cfRule type="containsText" dxfId="150" priority="141" operator="containsText" text="*-e">
      <formula>NOT(ISERROR(SEARCH("*-e",E78)))</formula>
    </cfRule>
    <cfRule type="containsText" dxfId="149" priority="142" operator="containsText" text="*-d">
      <formula>NOT(ISERROR(SEARCH("*-d",E78)))</formula>
    </cfRule>
    <cfRule type="containsText" dxfId="148" priority="143" operator="containsText" text="*-c">
      <formula>NOT(ISERROR(SEARCH("*-c",E78)))</formula>
    </cfRule>
    <cfRule type="containsText" dxfId="147" priority="144" operator="containsText" text="*-b">
      <formula>NOT(ISERROR(SEARCH("*-b",E78)))</formula>
    </cfRule>
    <cfRule type="containsText" dxfId="146" priority="145" operator="containsText" text="*-b">
      <formula>NOT(ISERROR(SEARCH("*-b",E78)))</formula>
    </cfRule>
    <cfRule type="containsText" dxfId="145" priority="146" operator="containsText" text="*-a">
      <formula>NOT(ISERROR(SEARCH("*-a",E78)))</formula>
    </cfRule>
    <cfRule type="containsText" dxfId="144" priority="147" operator="containsText" text="*-ref">
      <formula>NOT(ISERROR(SEARCH("*-ref",E78)))</formula>
    </cfRule>
  </conditionalFormatting>
  <conditionalFormatting sqref="F78">
    <cfRule type="containsText" dxfId="143" priority="134" operator="containsText" text="*-e">
      <formula>NOT(ISERROR(SEARCH("*-e",F78)))</formula>
    </cfRule>
    <cfRule type="containsText" dxfId="142" priority="135" operator="containsText" text="*-d">
      <formula>NOT(ISERROR(SEARCH("*-d",F78)))</formula>
    </cfRule>
    <cfRule type="containsText" dxfId="141" priority="136" operator="containsText" text="*-c">
      <formula>NOT(ISERROR(SEARCH("*-c",F78)))</formula>
    </cfRule>
    <cfRule type="containsText" dxfId="140" priority="137" operator="containsText" text="*-b">
      <formula>NOT(ISERROR(SEARCH("*-b",F78)))</formula>
    </cfRule>
    <cfRule type="containsText" dxfId="139" priority="138" operator="containsText" text="*-b">
      <formula>NOT(ISERROR(SEARCH("*-b",F78)))</formula>
    </cfRule>
    <cfRule type="containsText" dxfId="138" priority="139" operator="containsText" text="*-a">
      <formula>NOT(ISERROR(SEARCH("*-a",F78)))</formula>
    </cfRule>
    <cfRule type="containsText" dxfId="137" priority="140" operator="containsText" text="*-ref">
      <formula>NOT(ISERROR(SEARCH("*-ref",F78)))</formula>
    </cfRule>
  </conditionalFormatting>
  <conditionalFormatting sqref="G78">
    <cfRule type="containsText" dxfId="136" priority="127" operator="containsText" text="*-e">
      <formula>NOT(ISERROR(SEARCH("*-e",G78)))</formula>
    </cfRule>
    <cfRule type="containsText" dxfId="135" priority="128" operator="containsText" text="*-d">
      <formula>NOT(ISERROR(SEARCH("*-d",G78)))</formula>
    </cfRule>
    <cfRule type="containsText" dxfId="134" priority="129" operator="containsText" text="*-c">
      <formula>NOT(ISERROR(SEARCH("*-c",G78)))</formula>
    </cfRule>
    <cfRule type="containsText" dxfId="133" priority="130" operator="containsText" text="*-b">
      <formula>NOT(ISERROR(SEARCH("*-b",G78)))</formula>
    </cfRule>
    <cfRule type="containsText" dxfId="132" priority="131" operator="containsText" text="*-b">
      <formula>NOT(ISERROR(SEARCH("*-b",G78)))</formula>
    </cfRule>
    <cfRule type="containsText" dxfId="131" priority="132" operator="containsText" text="*-a">
      <formula>NOT(ISERROR(SEARCH("*-a",G78)))</formula>
    </cfRule>
    <cfRule type="containsText" dxfId="130" priority="133" operator="containsText" text="*-ref">
      <formula>NOT(ISERROR(SEARCH("*-ref",G78)))</formula>
    </cfRule>
  </conditionalFormatting>
  <conditionalFormatting sqref="H78">
    <cfRule type="containsText" dxfId="129" priority="120" operator="containsText" text="*-e">
      <formula>NOT(ISERROR(SEARCH("*-e",H78)))</formula>
    </cfRule>
    <cfRule type="containsText" dxfId="128" priority="121" operator="containsText" text="*-d">
      <formula>NOT(ISERROR(SEARCH("*-d",H78)))</formula>
    </cfRule>
    <cfRule type="containsText" dxfId="127" priority="122" operator="containsText" text="*-c">
      <formula>NOT(ISERROR(SEARCH("*-c",H78)))</formula>
    </cfRule>
    <cfRule type="containsText" dxfId="126" priority="123" operator="containsText" text="*-b">
      <formula>NOT(ISERROR(SEARCH("*-b",H78)))</formula>
    </cfRule>
    <cfRule type="containsText" dxfId="125" priority="124" operator="containsText" text="*-b">
      <formula>NOT(ISERROR(SEARCH("*-b",H78)))</formula>
    </cfRule>
    <cfRule type="containsText" dxfId="124" priority="125" operator="containsText" text="*-a">
      <formula>NOT(ISERROR(SEARCH("*-a",H78)))</formula>
    </cfRule>
    <cfRule type="containsText" dxfId="123" priority="126" operator="containsText" text="*-ref">
      <formula>NOT(ISERROR(SEARCH("*-ref",H78)))</formula>
    </cfRule>
  </conditionalFormatting>
  <conditionalFormatting sqref="I78:J78">
    <cfRule type="containsText" dxfId="122" priority="113" operator="containsText" text="*-e">
      <formula>NOT(ISERROR(SEARCH("*-e",I78)))</formula>
    </cfRule>
    <cfRule type="containsText" dxfId="121" priority="114" operator="containsText" text="*-d">
      <formula>NOT(ISERROR(SEARCH("*-d",I78)))</formula>
    </cfRule>
    <cfRule type="containsText" dxfId="120" priority="115" operator="containsText" text="*-c">
      <formula>NOT(ISERROR(SEARCH("*-c",I78)))</formula>
    </cfRule>
    <cfRule type="containsText" dxfId="119" priority="116" operator="containsText" text="*-b">
      <formula>NOT(ISERROR(SEARCH("*-b",I78)))</formula>
    </cfRule>
    <cfRule type="containsText" dxfId="118" priority="117" operator="containsText" text="*-b">
      <formula>NOT(ISERROR(SEARCH("*-b",I78)))</formula>
    </cfRule>
    <cfRule type="containsText" dxfId="117" priority="118" operator="containsText" text="*-a">
      <formula>NOT(ISERROR(SEARCH("*-a",I78)))</formula>
    </cfRule>
    <cfRule type="containsText" dxfId="116" priority="119" operator="containsText" text="*-ref">
      <formula>NOT(ISERROR(SEARCH("*-ref",I78)))</formula>
    </cfRule>
  </conditionalFormatting>
  <conditionalFormatting sqref="K78:P78">
    <cfRule type="containsText" dxfId="115" priority="106" operator="containsText" text="*-e">
      <formula>NOT(ISERROR(SEARCH("*-e",K78)))</formula>
    </cfRule>
    <cfRule type="containsText" dxfId="114" priority="107" operator="containsText" text="*-d">
      <formula>NOT(ISERROR(SEARCH("*-d",K78)))</formula>
    </cfRule>
    <cfRule type="containsText" dxfId="113" priority="108" operator="containsText" text="*-c">
      <formula>NOT(ISERROR(SEARCH("*-c",K78)))</formula>
    </cfRule>
    <cfRule type="containsText" dxfId="112" priority="109" operator="containsText" text="*-b">
      <formula>NOT(ISERROR(SEARCH("*-b",K78)))</formula>
    </cfRule>
    <cfRule type="containsText" dxfId="111" priority="110" operator="containsText" text="*-b">
      <formula>NOT(ISERROR(SEARCH("*-b",K78)))</formula>
    </cfRule>
    <cfRule type="containsText" dxfId="110" priority="111" operator="containsText" text="*-a">
      <formula>NOT(ISERROR(SEARCH("*-a",K78)))</formula>
    </cfRule>
    <cfRule type="containsText" dxfId="109" priority="112" operator="containsText" text="*-ref">
      <formula>NOT(ISERROR(SEARCH("*-ref",K78)))</formula>
    </cfRule>
  </conditionalFormatting>
  <conditionalFormatting sqref="Q78">
    <cfRule type="containsText" dxfId="108" priority="99" operator="containsText" text="*-e">
      <formula>NOT(ISERROR(SEARCH("*-e",Q78)))</formula>
    </cfRule>
    <cfRule type="containsText" dxfId="107" priority="100" operator="containsText" text="*-d">
      <formula>NOT(ISERROR(SEARCH("*-d",Q78)))</formula>
    </cfRule>
    <cfRule type="containsText" dxfId="106" priority="101" operator="containsText" text="*-c">
      <formula>NOT(ISERROR(SEARCH("*-c",Q78)))</formula>
    </cfRule>
    <cfRule type="containsText" dxfId="105" priority="102" operator="containsText" text="*-b">
      <formula>NOT(ISERROR(SEARCH("*-b",Q78)))</formula>
    </cfRule>
    <cfRule type="containsText" dxfId="104" priority="103" operator="containsText" text="*-b">
      <formula>NOT(ISERROR(SEARCH("*-b",Q78)))</formula>
    </cfRule>
    <cfRule type="containsText" dxfId="103" priority="104" operator="containsText" text="*-a">
      <formula>NOT(ISERROR(SEARCH("*-a",Q78)))</formula>
    </cfRule>
    <cfRule type="containsText" dxfId="102" priority="105" operator="containsText" text="*-ref">
      <formula>NOT(ISERROR(SEARCH("*-ref",Q78)))</formula>
    </cfRule>
  </conditionalFormatting>
  <conditionalFormatting sqref="X78">
    <cfRule type="containsText" dxfId="101" priority="92" operator="containsText" text="*-e">
      <formula>NOT(ISERROR(SEARCH("*-e",X78)))</formula>
    </cfRule>
    <cfRule type="containsText" dxfId="100" priority="93" operator="containsText" text="*-d">
      <formula>NOT(ISERROR(SEARCH("*-d",X78)))</formula>
    </cfRule>
    <cfRule type="containsText" dxfId="99" priority="94" operator="containsText" text="*-c">
      <formula>NOT(ISERROR(SEARCH("*-c",X78)))</formula>
    </cfRule>
    <cfRule type="containsText" dxfId="98" priority="95" operator="containsText" text="*-b">
      <formula>NOT(ISERROR(SEARCH("*-b",X78)))</formula>
    </cfRule>
    <cfRule type="containsText" dxfId="97" priority="96" operator="containsText" text="*-b">
      <formula>NOT(ISERROR(SEARCH("*-b",X78)))</formula>
    </cfRule>
    <cfRule type="containsText" dxfId="96" priority="97" operator="containsText" text="*-a">
      <formula>NOT(ISERROR(SEARCH("*-a",X78)))</formula>
    </cfRule>
    <cfRule type="containsText" dxfId="95" priority="98" operator="containsText" text="*-ref">
      <formula>NOT(ISERROR(SEARCH("*-ref",X78)))</formula>
    </cfRule>
  </conditionalFormatting>
  <conditionalFormatting sqref="AB78">
    <cfRule type="containsText" dxfId="94" priority="85" operator="containsText" text="*-e">
      <formula>NOT(ISERROR(SEARCH("*-e",AB78)))</formula>
    </cfRule>
    <cfRule type="containsText" dxfId="93" priority="86" operator="containsText" text="*-d">
      <formula>NOT(ISERROR(SEARCH("*-d",AB78)))</formula>
    </cfRule>
    <cfRule type="containsText" dxfId="92" priority="87" operator="containsText" text="*-c">
      <formula>NOT(ISERROR(SEARCH("*-c",AB78)))</formula>
    </cfRule>
    <cfRule type="containsText" dxfId="91" priority="88" operator="containsText" text="*-b">
      <formula>NOT(ISERROR(SEARCH("*-b",AB78)))</formula>
    </cfRule>
    <cfRule type="containsText" dxfId="90" priority="89" operator="containsText" text="*-b">
      <formula>NOT(ISERROR(SEARCH("*-b",AB78)))</formula>
    </cfRule>
    <cfRule type="containsText" dxfId="89" priority="90" operator="containsText" text="*-a">
      <formula>NOT(ISERROR(SEARCH("*-a",AB78)))</formula>
    </cfRule>
    <cfRule type="containsText" dxfId="88" priority="91" operator="containsText" text="*-ref">
      <formula>NOT(ISERROR(SEARCH("*-ref",AB78)))</formula>
    </cfRule>
  </conditionalFormatting>
  <conditionalFormatting sqref="Y78">
    <cfRule type="containsText" dxfId="87" priority="78" operator="containsText" text="*-g">
      <formula>NOT(ISERROR(SEARCH("*-g",Y78)))</formula>
    </cfRule>
    <cfRule type="containsText" dxfId="86" priority="79" operator="containsText" text="*-d">
      <formula>NOT(ISERROR(SEARCH("*-d",Y78)))</formula>
    </cfRule>
    <cfRule type="containsText" dxfId="85" priority="80" operator="containsText" text="*-c">
      <formula>NOT(ISERROR(SEARCH("*-c",Y78)))</formula>
    </cfRule>
    <cfRule type="containsText" dxfId="84" priority="81" operator="containsText" text="*-b">
      <formula>NOT(ISERROR(SEARCH("*-b",Y78)))</formula>
    </cfRule>
    <cfRule type="containsText" dxfId="83" priority="82" operator="containsText" text="*-b">
      <formula>NOT(ISERROR(SEARCH("*-b",Y78)))</formula>
    </cfRule>
    <cfRule type="containsText" dxfId="82" priority="83" operator="containsText" text="*-a">
      <formula>NOT(ISERROR(SEARCH("*-a",Y78)))</formula>
    </cfRule>
    <cfRule type="containsText" dxfId="81" priority="84" operator="containsText" text="*-ref">
      <formula>NOT(ISERROR(SEARCH("*-ref",Y78)))</formula>
    </cfRule>
  </conditionalFormatting>
  <conditionalFormatting sqref="AE78">
    <cfRule type="containsText" dxfId="80" priority="71" operator="containsText" text="*-e">
      <formula>NOT(ISERROR(SEARCH("*-e",AE78)))</formula>
    </cfRule>
    <cfRule type="containsText" dxfId="79" priority="72" operator="containsText" text="*-d">
      <formula>NOT(ISERROR(SEARCH("*-d",AE78)))</formula>
    </cfRule>
    <cfRule type="containsText" dxfId="78" priority="73" operator="containsText" text="*-c">
      <formula>NOT(ISERROR(SEARCH("*-c",AE78)))</formula>
    </cfRule>
    <cfRule type="containsText" dxfId="77" priority="74" operator="containsText" text="*-b">
      <formula>NOT(ISERROR(SEARCH("*-b",AE78)))</formula>
    </cfRule>
    <cfRule type="containsText" dxfId="76" priority="75" operator="containsText" text="*-b">
      <formula>NOT(ISERROR(SEARCH("*-b",AE78)))</formula>
    </cfRule>
    <cfRule type="containsText" dxfId="75" priority="76" operator="containsText" text="*-a">
      <formula>NOT(ISERROR(SEARCH("*-a",AE78)))</formula>
    </cfRule>
    <cfRule type="containsText" dxfId="74" priority="77" operator="containsText" text="*-ref">
      <formula>NOT(ISERROR(SEARCH("*-ref",AE78)))</formula>
    </cfRule>
  </conditionalFormatting>
  <conditionalFormatting sqref="AF78">
    <cfRule type="containsText" dxfId="73" priority="64" operator="containsText" text="*-e">
      <formula>NOT(ISERROR(SEARCH("*-e",AF78)))</formula>
    </cfRule>
    <cfRule type="containsText" dxfId="72" priority="65" operator="containsText" text="*-d">
      <formula>NOT(ISERROR(SEARCH("*-d",AF78)))</formula>
    </cfRule>
    <cfRule type="containsText" dxfId="71" priority="66" operator="containsText" text="*-c">
      <formula>NOT(ISERROR(SEARCH("*-c",AF78)))</formula>
    </cfRule>
    <cfRule type="containsText" dxfId="70" priority="67" operator="containsText" text="*-b">
      <formula>NOT(ISERROR(SEARCH("*-b",AF78)))</formula>
    </cfRule>
    <cfRule type="containsText" dxfId="69" priority="68" operator="containsText" text="*-b">
      <formula>NOT(ISERROR(SEARCH("*-b",AF78)))</formula>
    </cfRule>
    <cfRule type="containsText" dxfId="68" priority="69" operator="containsText" text="*-a">
      <formula>NOT(ISERROR(SEARCH("*-a",AF78)))</formula>
    </cfRule>
    <cfRule type="containsText" dxfId="67" priority="70" operator="containsText" text="*-ref">
      <formula>NOT(ISERROR(SEARCH("*-ref",AF78)))</formula>
    </cfRule>
  </conditionalFormatting>
  <conditionalFormatting sqref="AG78">
    <cfRule type="containsText" dxfId="66" priority="57" operator="containsText" text="*-e">
      <formula>NOT(ISERROR(SEARCH("*-e",AG78)))</formula>
    </cfRule>
    <cfRule type="containsText" dxfId="65" priority="58" operator="containsText" text="*-d">
      <formula>NOT(ISERROR(SEARCH("*-d",AG78)))</formula>
    </cfRule>
    <cfRule type="containsText" dxfId="64" priority="59" operator="containsText" text="*-c">
      <formula>NOT(ISERROR(SEARCH("*-c",AG78)))</formula>
    </cfRule>
    <cfRule type="containsText" dxfId="63" priority="60" operator="containsText" text="*-b">
      <formula>NOT(ISERROR(SEARCH("*-b",AG78)))</formula>
    </cfRule>
    <cfRule type="containsText" dxfId="62" priority="61" operator="containsText" text="*-b">
      <formula>NOT(ISERROR(SEARCH("*-b",AG78)))</formula>
    </cfRule>
    <cfRule type="containsText" dxfId="61" priority="62" operator="containsText" text="*-a">
      <formula>NOT(ISERROR(SEARCH("*-a",AG78)))</formula>
    </cfRule>
    <cfRule type="containsText" dxfId="60" priority="63" operator="containsText" text="*-ref">
      <formula>NOT(ISERROR(SEARCH("*-ref",AG78)))</formula>
    </cfRule>
  </conditionalFormatting>
  <conditionalFormatting sqref="AH78">
    <cfRule type="containsText" dxfId="59" priority="50" operator="containsText" text="*-e">
      <formula>NOT(ISERROR(SEARCH("*-e",AH78)))</formula>
    </cfRule>
    <cfRule type="containsText" dxfId="58" priority="51" operator="containsText" text="*-d">
      <formula>NOT(ISERROR(SEARCH("*-d",AH78)))</formula>
    </cfRule>
    <cfRule type="containsText" dxfId="57" priority="52" operator="containsText" text="*-c">
      <formula>NOT(ISERROR(SEARCH("*-c",AH78)))</formula>
    </cfRule>
    <cfRule type="containsText" dxfId="56" priority="53" operator="containsText" text="*-b">
      <formula>NOT(ISERROR(SEARCH("*-b",AH78)))</formula>
    </cfRule>
    <cfRule type="containsText" dxfId="55" priority="54" operator="containsText" text="*-b">
      <formula>NOT(ISERROR(SEARCH("*-b",AH78)))</formula>
    </cfRule>
    <cfRule type="containsText" dxfId="54" priority="55" operator="containsText" text="*-a">
      <formula>NOT(ISERROR(SEARCH("*-a",AH78)))</formula>
    </cfRule>
    <cfRule type="containsText" dxfId="53" priority="56" operator="containsText" text="*-ref">
      <formula>NOT(ISERROR(SEARCH("*-ref",AH78)))</formula>
    </cfRule>
  </conditionalFormatting>
  <conditionalFormatting sqref="AI78">
    <cfRule type="containsText" dxfId="52" priority="43" operator="containsText" text="*-e">
      <formula>NOT(ISERROR(SEARCH("*-e",AI78)))</formula>
    </cfRule>
    <cfRule type="containsText" dxfId="51" priority="44" operator="containsText" text="*-d">
      <formula>NOT(ISERROR(SEARCH("*-d",AI78)))</formula>
    </cfRule>
    <cfRule type="containsText" dxfId="50" priority="45" operator="containsText" text="*-c">
      <formula>NOT(ISERROR(SEARCH("*-c",AI78)))</formula>
    </cfRule>
    <cfRule type="containsText" dxfId="49" priority="46" operator="containsText" text="*-b">
      <formula>NOT(ISERROR(SEARCH("*-b",AI78)))</formula>
    </cfRule>
    <cfRule type="containsText" dxfId="48" priority="47" operator="containsText" text="*-b">
      <formula>NOT(ISERROR(SEARCH("*-b",AI78)))</formula>
    </cfRule>
    <cfRule type="containsText" dxfId="47" priority="48" operator="containsText" text="*-a">
      <formula>NOT(ISERROR(SEARCH("*-a",AI78)))</formula>
    </cfRule>
    <cfRule type="containsText" dxfId="46" priority="49" operator="containsText" text="*-ref">
      <formula>NOT(ISERROR(SEARCH("*-ref",AI78)))</formula>
    </cfRule>
  </conditionalFormatting>
  <conditionalFormatting sqref="AJ78">
    <cfRule type="containsText" dxfId="45" priority="36" operator="containsText" text="*-e">
      <formula>NOT(ISERROR(SEARCH("*-e",AJ78)))</formula>
    </cfRule>
    <cfRule type="containsText" dxfId="44" priority="37" operator="containsText" text="*-d">
      <formula>NOT(ISERROR(SEARCH("*-d",AJ78)))</formula>
    </cfRule>
    <cfRule type="containsText" dxfId="43" priority="38" operator="containsText" text="*-c">
      <formula>NOT(ISERROR(SEARCH("*-c",AJ78)))</formula>
    </cfRule>
    <cfRule type="containsText" dxfId="42" priority="39" operator="containsText" text="*-b">
      <formula>NOT(ISERROR(SEARCH("*-b",AJ78)))</formula>
    </cfRule>
    <cfRule type="containsText" dxfId="41" priority="40" operator="containsText" text="*-b">
      <formula>NOT(ISERROR(SEARCH("*-b",AJ78)))</formula>
    </cfRule>
    <cfRule type="containsText" dxfId="40" priority="41" operator="containsText" text="*-a">
      <formula>NOT(ISERROR(SEARCH("*-a",AJ78)))</formula>
    </cfRule>
    <cfRule type="containsText" dxfId="39" priority="42" operator="containsText" text="*-ref">
      <formula>NOT(ISERROR(SEARCH("*-ref",AJ78)))</formula>
    </cfRule>
  </conditionalFormatting>
  <conditionalFormatting sqref="AC78">
    <cfRule type="containsText" dxfId="38" priority="29" operator="containsText" text="*-e">
      <formula>NOT(ISERROR(SEARCH("*-e",AC78)))</formula>
    </cfRule>
    <cfRule type="containsText" dxfId="37" priority="30" operator="containsText" text="*-d">
      <formula>NOT(ISERROR(SEARCH("*-d",AC78)))</formula>
    </cfRule>
    <cfRule type="containsText" dxfId="36" priority="31" operator="containsText" text="*-c">
      <formula>NOT(ISERROR(SEARCH("*-c",AC78)))</formula>
    </cfRule>
    <cfRule type="containsText" dxfId="35" priority="32" operator="containsText" text="*-b">
      <formula>NOT(ISERROR(SEARCH("*-b",AC78)))</formula>
    </cfRule>
    <cfRule type="containsText" dxfId="34" priority="33" operator="containsText" text="*-b">
      <formula>NOT(ISERROR(SEARCH("*-b",AC78)))</formula>
    </cfRule>
    <cfRule type="containsText" dxfId="33" priority="34" operator="containsText" text="*-a">
      <formula>NOT(ISERROR(SEARCH("*-a",AC78)))</formula>
    </cfRule>
    <cfRule type="containsText" dxfId="32" priority="35" operator="containsText" text="*-ref">
      <formula>NOT(ISERROR(SEARCH("*-ref",AC78)))</formula>
    </cfRule>
  </conditionalFormatting>
  <conditionalFormatting sqref="AD78">
    <cfRule type="containsText" dxfId="31" priority="22" operator="containsText" text="*-e">
      <formula>NOT(ISERROR(SEARCH("*-e",AD78)))</formula>
    </cfRule>
    <cfRule type="containsText" dxfId="30" priority="23" operator="containsText" text="*-d">
      <formula>NOT(ISERROR(SEARCH("*-d",AD78)))</formula>
    </cfRule>
    <cfRule type="containsText" dxfId="29" priority="24" operator="containsText" text="*-c">
      <formula>NOT(ISERROR(SEARCH("*-c",AD78)))</formula>
    </cfRule>
    <cfRule type="containsText" dxfId="28" priority="25" operator="containsText" text="*-b">
      <formula>NOT(ISERROR(SEARCH("*-b",AD78)))</formula>
    </cfRule>
    <cfRule type="containsText" dxfId="27" priority="26" operator="containsText" text="*-b">
      <formula>NOT(ISERROR(SEARCH("*-b",AD78)))</formula>
    </cfRule>
    <cfRule type="containsText" dxfId="26" priority="27" operator="containsText" text="*-a">
      <formula>NOT(ISERROR(SEARCH("*-a",AD78)))</formula>
    </cfRule>
    <cfRule type="containsText" dxfId="25" priority="28" operator="containsText" text="*-ref">
      <formula>NOT(ISERROR(SEARCH("*-ref",AD78)))</formula>
    </cfRule>
  </conditionalFormatting>
  <conditionalFormatting sqref="R78:S78">
    <cfRule type="containsText" dxfId="24" priority="15" operator="containsText" text="*-MIN">
      <formula>NOT(ISERROR(SEARCH("*-MIN",R78)))</formula>
    </cfRule>
    <cfRule type="containsText" dxfId="23" priority="16" operator="containsText" text="*-d">
      <formula>NOT(ISERROR(SEARCH("*-d",R78)))</formula>
    </cfRule>
    <cfRule type="containsText" dxfId="22" priority="17" operator="containsText" text="*-c">
      <formula>NOT(ISERROR(SEARCH("*-c",R78)))</formula>
    </cfRule>
    <cfRule type="containsText" dxfId="21" priority="18" operator="containsText" text="*-b">
      <formula>NOT(ISERROR(SEARCH("*-b",R78)))</formula>
    </cfRule>
    <cfRule type="containsText" dxfId="20" priority="19" operator="containsText" text="*-b">
      <formula>NOT(ISERROR(SEARCH("*-b",R78)))</formula>
    </cfRule>
    <cfRule type="containsText" dxfId="19" priority="20" operator="containsText" text="*-a">
      <formula>NOT(ISERROR(SEARCH("*-a",R78)))</formula>
    </cfRule>
    <cfRule type="containsText" dxfId="18" priority="21" operator="containsText" text="*-ref">
      <formula>NOT(ISERROR(SEARCH("*-ref",R78)))</formula>
    </cfRule>
  </conditionalFormatting>
  <conditionalFormatting sqref="T78:W78">
    <cfRule type="containsText" dxfId="17" priority="8" operator="containsText" text="*-MIN">
      <formula>NOT(ISERROR(SEARCH("*-MIN",T78)))</formula>
    </cfRule>
    <cfRule type="containsText" dxfId="16" priority="9" operator="containsText" text="*-d">
      <formula>NOT(ISERROR(SEARCH("*-d",T78)))</formula>
    </cfRule>
    <cfRule type="containsText" dxfId="15" priority="10" operator="containsText" text="*-c">
      <formula>NOT(ISERROR(SEARCH("*-c",T78)))</formula>
    </cfRule>
    <cfRule type="containsText" dxfId="14" priority="11" operator="containsText" text="*-b">
      <formula>NOT(ISERROR(SEARCH("*-b",T78)))</formula>
    </cfRule>
    <cfRule type="containsText" dxfId="13" priority="12" operator="containsText" text="*-b">
      <formula>NOT(ISERROR(SEARCH("*-b",T78)))</formula>
    </cfRule>
    <cfRule type="containsText" dxfId="12" priority="13" operator="containsText" text="*-a">
      <formula>NOT(ISERROR(SEARCH("*-a",T78)))</formula>
    </cfRule>
    <cfRule type="containsText" dxfId="11" priority="14" operator="containsText" text="*-ref">
      <formula>NOT(ISERROR(SEARCH("*-ref",T78)))</formula>
    </cfRule>
  </conditionalFormatting>
  <conditionalFormatting sqref="Z78:AA78">
    <cfRule type="containsText" dxfId="10" priority="1" operator="containsText" text="*-e">
      <formula>NOT(ISERROR(SEARCH("*-e",Z78)))</formula>
    </cfRule>
    <cfRule type="containsText" dxfId="9" priority="2" operator="containsText" text="*-d">
      <formula>NOT(ISERROR(SEARCH("*-d",Z78)))</formula>
    </cfRule>
    <cfRule type="containsText" dxfId="8" priority="3" operator="containsText" text="*-c">
      <formula>NOT(ISERROR(SEARCH("*-c",Z78)))</formula>
    </cfRule>
    <cfRule type="containsText" dxfId="7" priority="4" operator="containsText" text="*-b">
      <formula>NOT(ISERROR(SEARCH("*-b",Z78)))</formula>
    </cfRule>
    <cfRule type="containsText" dxfId="6" priority="5" operator="containsText" text="*-b">
      <formula>NOT(ISERROR(SEARCH("*-b",Z78)))</formula>
    </cfRule>
    <cfRule type="containsText" dxfId="5" priority="6" operator="containsText" text="*-a">
      <formula>NOT(ISERROR(SEARCH("*-a",Z78)))</formula>
    </cfRule>
    <cfRule type="containsText" dxfId="4" priority="7" operator="containsText" text="*-ref">
      <formula>NOT(ISERROR(SEARCH("*-ref",Z78)))</formula>
    </cfRule>
  </conditionalFormatting>
  <dataValidations count="52">
    <dataValidation type="list" allowBlank="1" showInputMessage="1" showErrorMessage="1" errorTitle="Chybne_zadanie" error="Vyber zo zoznamu jeden variant" promptTitle="ciastkovy_usek" prompt="vyber variant z_x000a_ rozbaľovcieho zoznamu " sqref="E61 E82 E57 E78">
      <formula1>usekB01</formula1>
    </dataValidation>
    <dataValidation type="list" allowBlank="1" showInputMessage="1" showErrorMessage="1" errorTitle="Chybne_zadanie" error="Vyber zo zoznamu jeden variant" promptTitle="ciastkovy_usek" prompt="vyber variant z rozbaľovcieho zoznamu " sqref="D61 D82 D57 D78">
      <formula1>usekA01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F61 F82 F57 F78">
      <formula1>usekB02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G61 G82 G57 G78">
      <formula1>usekB03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H61 H82 H57 H78">
      <formula1>usekB04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I61 I82 I57 I78">
      <formula1>usekB05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J61 J82 J57 J78">
      <formula1>usekC01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K61 K82 K57 K78">
      <formula1>usekC02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L61 L82 L57 L78">
      <formula1>usekC03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M61 M82 M57 M78">
      <formula1>usekD01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N61 N82 N57 N78">
      <formula1>usekD02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O61 O82 O57 O78">
      <formula1>usekE01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P61 P82:Q82 P57 P78">
      <formula1>usekE02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Q61 Q57 Q78">
      <formula1>usekE03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R61 R82 R57 R78">
      <formula1>usekE04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S61 S82 S57 S78">
      <formula1>usekE05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T61 T82 T57 T78">
      <formula1>usekE06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U61 U82 U57 U78">
      <formula1>usekE07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V61 V82 V57 V78">
      <formula1>usekE08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W61 W82 W57 W78">
      <formula1>usekE09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X61 X82 X57 X78">
      <formula1>usekF01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Z61 Z82 Z57 Z78">
      <formula1>usekH01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A61 AA82 AA57 AA78">
      <formula1>usekH02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B61 AB82 AB57 AB78">
      <formula1>usekI01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C61 AC82 AC57 AC78">
      <formula1>usekJ01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D61 AD82 AD57 AD78">
      <formula1>usekJ02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82">
      <formula1>$F$4:$F$6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82">
      <formula1>$F$101:$F$106</formula1>
    </dataValidation>
    <dataValidation type="list" allowBlank="1" showInputMessage="1" showErrorMessage="1" sqref="AJ82">
      <formula1>$F$107:$F$112</formula1>
    </dataValidation>
    <dataValidation type="list" allowBlank="1" showInputMessage="1" showErrorMessage="1" sqref="AJ61">
      <formula1>$E$186:$E$191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61">
      <formula1>$E$180:$E$185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61">
      <formula1>$E$174:$E$179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61">
      <formula1>$E$168:$E$173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61">
      <formula1>$E$106:$E$119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E61 AE78 AE57">
      <formula1>$E$12:$E$17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57">
      <formula1>$E$119:$E$124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57">
      <formula1>$E$125:$E$130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57">
      <formula1>$E$131:$E$136</formula1>
    </dataValidation>
    <dataValidation type="list" allowBlank="1" showInputMessage="1" showErrorMessage="1" sqref="AJ57">
      <formula1>$E$137:$E$142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78">
      <formula1>$E$114:$E$119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78">
      <formula1>$E$120:$E$125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I78">
      <formula1>$E$126:$E$131</formula1>
    </dataValidation>
    <dataValidation type="list" allowBlank="1" showInputMessage="1" showErrorMessage="1" sqref="AJ78">
      <formula1>$E$132:$E$137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G82">
      <formula1>#REF!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H82">
      <formula1>$F$97:$F$100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82">
      <formula1>#REF!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82">
      <formula1>$F$7:$F$96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61">
      <formula1>$E$18:$E$167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57">
      <formula1>$E$18:$E$118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57">
      <formula1>#REF!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AF78">
      <formula1>$E$18:$E$113</formula1>
    </dataValidation>
    <dataValidation type="list" allowBlank="1" showInputMessage="1" showErrorMessage="1" errorTitle="Chybne_zadanie" error="Vyber zo zoznamu jeden variant" promptTitle="ciastkovy_usek" prompt="vyber variant z_x000a_ rozbaľovcieho zoznamu " sqref="Y78">
      <formula1>#REF!</formula1>
    </dataValidation>
  </dataValidations>
  <pageMargins left="0.23622047244094491" right="0.23622047244094491" top="0.74803149606299213" bottom="0.74803149606299213" header="0.31496062992125984" footer="0.31496062992125984"/>
  <pageSetup paperSize="3" orientation="landscape" r:id="rId1"/>
  <headerFooter>
    <oddHeader xml:space="preserve">&amp;CŽSR, dopravný uzol Bratislava - štúdia realizovateľnosti </oddHeader>
    <oddFooter xml:space="preserve">&amp;CŠtúdia realizovateľnosti - Investičné náklady
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07" operator="containsText" id="{B9C66FEC-3031-47BE-A1DB-DE5D14C74CE6}">
            <xm:f>NOT(ISERROR(SEARCH(-ref,D61)))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ontainsText" priority="853" operator="containsText" id="{D03EB0C0-23FE-4869-8E5C-DF5A9B7AC76E}">
            <xm:f>NOT(ISERROR(SEARCH(-ref,D82)))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212" operator="containsText" id="{30CDDA2A-DD57-4FEB-BBA5-F628FA4D2865}">
            <xm:f>NOT(ISERROR(SEARCH(-ref,D57)))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ontainsText" priority="155" operator="containsText" id="{B660B250-F40A-4B4C-A921-97EDD7A8BAA7}">
            <xm:f>NOT(ISERROR(SEARCH(-ref,D78)))</xm:f>
            <xm:f>-ref</xm:f>
            <x14:dxf>
              <fill>
                <patternFill patternType="none">
                  <bgColor auto="1"/>
                </patternFill>
              </fill>
            </x14:dxf>
          </x14:cfRule>
          <xm:sqref>D78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2:C25"/>
  <sheetViews>
    <sheetView zoomScale="85" zoomScaleNormal="85" workbookViewId="0">
      <selection activeCell="C4" sqref="C4"/>
    </sheetView>
  </sheetViews>
  <sheetFormatPr defaultColWidth="7.28515625" defaultRowHeight="14.25" x14ac:dyDescent="0.2"/>
  <cols>
    <col min="1" max="1" width="65.7109375" style="1" customWidth="1"/>
    <col min="2" max="2" width="15.7109375" style="1" customWidth="1"/>
    <col min="3" max="3" width="18" style="1" customWidth="1"/>
    <col min="4" max="4" width="7.28515625" style="1"/>
    <col min="5" max="5" width="20.7109375" style="1" customWidth="1"/>
    <col min="6" max="6" width="12.7109375" style="1" customWidth="1"/>
    <col min="7" max="16384" width="7.28515625" style="1"/>
  </cols>
  <sheetData>
    <row r="2" spans="1:3" ht="15.75" x14ac:dyDescent="0.25">
      <c r="A2" s="2" t="s">
        <v>30</v>
      </c>
    </row>
    <row r="3" spans="1:3" x14ac:dyDescent="0.2">
      <c r="A3" s="1" t="s">
        <v>0</v>
      </c>
    </row>
    <row r="4" spans="1:3" x14ac:dyDescent="0.2">
      <c r="A4" s="40" t="s">
        <v>486</v>
      </c>
    </row>
    <row r="5" spans="1:3" x14ac:dyDescent="0.2">
      <c r="A5" s="40"/>
    </row>
    <row r="6" spans="1:3" x14ac:dyDescent="0.2">
      <c r="A6" s="40"/>
    </row>
    <row r="7" spans="1:3" x14ac:dyDescent="0.2">
      <c r="A7" s="3"/>
    </row>
    <row r="8" spans="1:3" x14ac:dyDescent="0.2">
      <c r="A8" s="3"/>
    </row>
    <row r="9" spans="1:3" x14ac:dyDescent="0.2">
      <c r="A9" s="13" t="s">
        <v>124</v>
      </c>
    </row>
    <row r="10" spans="1:3" ht="28.5" x14ac:dyDescent="0.2">
      <c r="A10" s="14" t="s">
        <v>25</v>
      </c>
      <c r="B10" s="23" t="s">
        <v>26</v>
      </c>
      <c r="C10" s="37" t="s">
        <v>27</v>
      </c>
    </row>
    <row r="11" spans="1:3" x14ac:dyDescent="0.2">
      <c r="A11" s="83" t="s">
        <v>28</v>
      </c>
      <c r="B11" s="37" t="s">
        <v>29</v>
      </c>
      <c r="C11" s="38">
        <f>'Investičné náklady'!B13</f>
        <v>0</v>
      </c>
    </row>
    <row r="12" spans="1:3" x14ac:dyDescent="0.2">
      <c r="A12" s="83" t="s">
        <v>81</v>
      </c>
      <c r="B12" s="65">
        <v>50</v>
      </c>
      <c r="C12" s="25">
        <f>'Investičné náklady'!B87</f>
        <v>12938446.859999999</v>
      </c>
    </row>
    <row r="13" spans="1:3" x14ac:dyDescent="0.2">
      <c r="A13" s="83" t="s">
        <v>82</v>
      </c>
      <c r="B13" s="65">
        <v>30</v>
      </c>
      <c r="C13" s="25">
        <f>'Investičné náklady'!B86</f>
        <v>42230199.933333337</v>
      </c>
    </row>
    <row r="14" spans="1:3" x14ac:dyDescent="0.2">
      <c r="A14" s="83" t="s">
        <v>84</v>
      </c>
      <c r="B14" s="65">
        <v>100</v>
      </c>
      <c r="C14" s="25">
        <f>'Investičné náklady'!B88</f>
        <v>60893693.529999994</v>
      </c>
    </row>
    <row r="15" spans="1:3" x14ac:dyDescent="0.2">
      <c r="A15" s="83" t="s">
        <v>205</v>
      </c>
      <c r="B15" s="65">
        <v>100</v>
      </c>
      <c r="C15" s="25">
        <f>'Investičné náklady'!B89</f>
        <v>10407214.68</v>
      </c>
    </row>
    <row r="16" spans="1:3" x14ac:dyDescent="0.2">
      <c r="A16" s="83" t="s">
        <v>206</v>
      </c>
      <c r="B16" s="65">
        <v>30</v>
      </c>
      <c r="C16" s="25">
        <f>'Investičné náklady'!B90</f>
        <v>2179012.6</v>
      </c>
    </row>
    <row r="17" spans="1:3" x14ac:dyDescent="0.2">
      <c r="A17" s="83" t="s">
        <v>207</v>
      </c>
      <c r="B17" s="65">
        <v>60</v>
      </c>
      <c r="C17" s="25">
        <f>'Investičné náklady'!B93</f>
        <v>10202399.950000001</v>
      </c>
    </row>
    <row r="18" spans="1:3" x14ac:dyDescent="0.2">
      <c r="A18" s="83" t="s">
        <v>85</v>
      </c>
      <c r="B18" s="65">
        <v>40</v>
      </c>
      <c r="C18" s="25">
        <f>'Investičné náklady'!B91</f>
        <v>6180634.25</v>
      </c>
    </row>
    <row r="19" spans="1:3" x14ac:dyDescent="0.2">
      <c r="A19" s="83" t="s">
        <v>86</v>
      </c>
      <c r="B19" s="65">
        <v>30</v>
      </c>
      <c r="C19" s="25">
        <f>'Investičné náklady'!B92</f>
        <v>48840</v>
      </c>
    </row>
    <row r="20" spans="1:3" x14ac:dyDescent="0.2">
      <c r="A20" s="83" t="s">
        <v>208</v>
      </c>
      <c r="B20" s="65">
        <v>12</v>
      </c>
      <c r="C20" s="25">
        <f>'Investičné náklady'!B83</f>
        <v>0</v>
      </c>
    </row>
    <row r="21" spans="1:3" x14ac:dyDescent="0.2">
      <c r="A21" s="83" t="s">
        <v>209</v>
      </c>
      <c r="B21" s="65">
        <v>20</v>
      </c>
      <c r="C21" s="25">
        <f>'Investičné náklady'!B84</f>
        <v>0</v>
      </c>
    </row>
    <row r="22" spans="1:3" x14ac:dyDescent="0.2">
      <c r="A22" s="83" t="s">
        <v>210</v>
      </c>
      <c r="B22" s="65">
        <v>30</v>
      </c>
      <c r="C22" s="25">
        <f>'Investičné náklady'!B85</f>
        <v>15374754.933333334</v>
      </c>
    </row>
    <row r="23" spans="1:3" x14ac:dyDescent="0.2">
      <c r="A23" s="83" t="s">
        <v>307</v>
      </c>
      <c r="B23" s="65">
        <v>25</v>
      </c>
      <c r="C23" s="25">
        <f>'Investičné náklady'!B94</f>
        <v>423845.76</v>
      </c>
    </row>
    <row r="24" spans="1:3" x14ac:dyDescent="0.2">
      <c r="A24" s="12" t="s">
        <v>204</v>
      </c>
      <c r="B24" s="7"/>
      <c r="C24" s="25">
        <f>SUM(C11:C23)</f>
        <v>160879042.49666664</v>
      </c>
    </row>
    <row r="25" spans="1:3" x14ac:dyDescent="0.2">
      <c r="A25" s="12" t="s">
        <v>83</v>
      </c>
      <c r="B25" s="7"/>
      <c r="C25" s="39">
        <f>C24*Parametre!F25+C11</f>
        <v>144791138.24699995</v>
      </c>
    </row>
  </sheetData>
  <phoneticPr fontId="14" type="noConversion"/>
  <pageMargins left="0.7" right="0.7" top="0.75" bottom="0.75" header="0.3" footer="0.3"/>
  <pageSetup paperSize="9" orientation="landscape" r:id="rId1"/>
  <headerFooter>
    <oddHeader xml:space="preserve">&amp;CŽSR, dopravný uzol Bratislava - štúdia realizovateľnosti </oddHeader>
    <oddFooter xml:space="preserve">&amp;CŠtúdia realizovateľnosti - Zostatková hodnota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50"/>
  <sheetViews>
    <sheetView zoomScale="85" zoomScaleNormal="85" zoomScalePageLayoutView="85" workbookViewId="0">
      <selection activeCell="C3" sqref="C3"/>
    </sheetView>
  </sheetViews>
  <sheetFormatPr defaultRowHeight="14.25" x14ac:dyDescent="0.2"/>
  <cols>
    <col min="1" max="1" width="40.7109375" style="1" customWidth="1"/>
    <col min="2" max="2" width="18.7109375" style="30" customWidth="1"/>
    <col min="3" max="32" width="15.7109375" style="30" customWidth="1"/>
    <col min="33" max="42" width="15.7109375" style="1" customWidth="1"/>
    <col min="43" max="16384" width="9.140625" style="1"/>
  </cols>
  <sheetData>
    <row r="2" spans="1:32" ht="15.75" x14ac:dyDescent="0.25">
      <c r="A2" s="2" t="s">
        <v>31</v>
      </c>
    </row>
    <row r="3" spans="1:32" x14ac:dyDescent="0.2">
      <c r="A3" s="1" t="s">
        <v>0</v>
      </c>
    </row>
    <row r="4" spans="1:32" x14ac:dyDescent="0.2">
      <c r="A4" s="3" t="s">
        <v>1</v>
      </c>
      <c r="B4" s="31"/>
    </row>
    <row r="5" spans="1:32" x14ac:dyDescent="0.2">
      <c r="A5" s="40" t="s">
        <v>486</v>
      </c>
      <c r="B5" s="31"/>
    </row>
    <row r="6" spans="1:32" x14ac:dyDescent="0.2">
      <c r="A6" s="40"/>
      <c r="B6" s="31"/>
    </row>
    <row r="7" spans="1:32" x14ac:dyDescent="0.2">
      <c r="A7" s="3"/>
    </row>
    <row r="8" spans="1:32" x14ac:dyDescent="0.2">
      <c r="A8" s="3"/>
    </row>
    <row r="9" spans="1:32" x14ac:dyDescent="0.2">
      <c r="A9" s="1" t="s">
        <v>33</v>
      </c>
      <c r="K9" s="1"/>
      <c r="V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34</v>
      </c>
      <c r="B11" s="32">
        <f>SUM(C11:AF11)</f>
        <v>220588650</v>
      </c>
      <c r="C11" s="166">
        <f>'Vstupné dáta'!B39</f>
        <v>7352955</v>
      </c>
      <c r="D11" s="166">
        <f>'Vstupné dáta'!C39</f>
        <v>7352955</v>
      </c>
      <c r="E11" s="166">
        <f>'Vstupné dáta'!D39</f>
        <v>7352955</v>
      </c>
      <c r="F11" s="166">
        <f>'Vstupné dáta'!E39</f>
        <v>7352955</v>
      </c>
      <c r="G11" s="166">
        <f>'Vstupné dáta'!F39</f>
        <v>7352955</v>
      </c>
      <c r="H11" s="166">
        <f>'Vstupné dáta'!G39</f>
        <v>7352955</v>
      </c>
      <c r="I11" s="166">
        <f>'Vstupné dáta'!H39</f>
        <v>7352955</v>
      </c>
      <c r="J11" s="166">
        <f>'Vstupné dáta'!I39</f>
        <v>7352955</v>
      </c>
      <c r="K11" s="166">
        <f>'Vstupné dáta'!J39</f>
        <v>7352955</v>
      </c>
      <c r="L11" s="166">
        <f>'Vstupné dáta'!K39</f>
        <v>7352955</v>
      </c>
      <c r="M11" s="166">
        <f>'Vstupné dáta'!L39</f>
        <v>7352955</v>
      </c>
      <c r="N11" s="166">
        <f>'Vstupné dáta'!M39</f>
        <v>7352955</v>
      </c>
      <c r="O11" s="166">
        <f>'Vstupné dáta'!N39</f>
        <v>7352955</v>
      </c>
      <c r="P11" s="166">
        <f>'Vstupné dáta'!O39</f>
        <v>7352955</v>
      </c>
      <c r="Q11" s="166">
        <f>'Vstupné dáta'!P39</f>
        <v>7352955</v>
      </c>
      <c r="R11" s="166">
        <f>'Vstupné dáta'!Q39</f>
        <v>7352955</v>
      </c>
      <c r="S11" s="166">
        <f>'Vstupné dáta'!R39</f>
        <v>7352955</v>
      </c>
      <c r="T11" s="166">
        <f>'Vstupné dáta'!S39</f>
        <v>7352955</v>
      </c>
      <c r="U11" s="166">
        <f>'Vstupné dáta'!T39</f>
        <v>7352955</v>
      </c>
      <c r="V11" s="166">
        <f>'Vstupné dáta'!U39</f>
        <v>7352955</v>
      </c>
      <c r="W11" s="166">
        <f>'Vstupné dáta'!V39</f>
        <v>7352955</v>
      </c>
      <c r="X11" s="166">
        <f>'Vstupné dáta'!W39</f>
        <v>7352955</v>
      </c>
      <c r="Y11" s="166">
        <f>'Vstupné dáta'!X39</f>
        <v>7352955</v>
      </c>
      <c r="Z11" s="166">
        <f>'Vstupné dáta'!Y39</f>
        <v>7352955</v>
      </c>
      <c r="AA11" s="166">
        <f>'Vstupné dáta'!Z39</f>
        <v>7352955</v>
      </c>
      <c r="AB11" s="166">
        <f>'Vstupné dáta'!AA39</f>
        <v>7352955</v>
      </c>
      <c r="AC11" s="166">
        <f>'Vstupné dáta'!AB39</f>
        <v>7352955</v>
      </c>
      <c r="AD11" s="166">
        <f>'Vstupné dáta'!AC39</f>
        <v>7352955</v>
      </c>
      <c r="AE11" s="166">
        <f>'Vstupné dáta'!AD39</f>
        <v>7352955</v>
      </c>
      <c r="AF11" s="166">
        <f>'Vstupné dáta'!AE39</f>
        <v>7352955</v>
      </c>
    </row>
    <row r="12" spans="1:32" x14ac:dyDescent="0.2">
      <c r="A12" s="7" t="s">
        <v>140</v>
      </c>
      <c r="B12" s="32">
        <f>SUM(C12:AF12)</f>
        <v>251181240</v>
      </c>
      <c r="C12" s="166">
        <f>'Vstupné dáta'!B40</f>
        <v>8372708</v>
      </c>
      <c r="D12" s="166">
        <f>'Vstupné dáta'!C40</f>
        <v>8372708</v>
      </c>
      <c r="E12" s="166">
        <f>'Vstupné dáta'!D40</f>
        <v>8372708</v>
      </c>
      <c r="F12" s="166">
        <f>'Vstupné dáta'!E40</f>
        <v>8372708</v>
      </c>
      <c r="G12" s="166">
        <f>'Vstupné dáta'!F40</f>
        <v>8372708</v>
      </c>
      <c r="H12" s="166">
        <f>'Vstupné dáta'!G40</f>
        <v>8372708</v>
      </c>
      <c r="I12" s="166">
        <f>'Vstupné dáta'!H40</f>
        <v>8372708</v>
      </c>
      <c r="J12" s="166">
        <f>'Vstupné dáta'!I40</f>
        <v>8372708</v>
      </c>
      <c r="K12" s="166">
        <f>'Vstupné dáta'!J40</f>
        <v>8372708</v>
      </c>
      <c r="L12" s="166">
        <f>'Vstupné dáta'!K40</f>
        <v>8372708</v>
      </c>
      <c r="M12" s="166">
        <f>'Vstupné dáta'!L40</f>
        <v>8372708</v>
      </c>
      <c r="N12" s="166">
        <f>'Vstupné dáta'!M40</f>
        <v>8372708</v>
      </c>
      <c r="O12" s="166">
        <f>'Vstupné dáta'!N40</f>
        <v>8372708</v>
      </c>
      <c r="P12" s="166">
        <f>'Vstupné dáta'!O40</f>
        <v>8372708</v>
      </c>
      <c r="Q12" s="166">
        <f>'Vstupné dáta'!P40</f>
        <v>8372708</v>
      </c>
      <c r="R12" s="166">
        <f>'Vstupné dáta'!Q40</f>
        <v>8372708</v>
      </c>
      <c r="S12" s="166">
        <f>'Vstupné dáta'!R40</f>
        <v>8372708</v>
      </c>
      <c r="T12" s="166">
        <f>'Vstupné dáta'!S40</f>
        <v>8372708</v>
      </c>
      <c r="U12" s="166">
        <f>'Vstupné dáta'!T40</f>
        <v>8372708</v>
      </c>
      <c r="V12" s="166">
        <f>'Vstupné dáta'!U40</f>
        <v>8372708</v>
      </c>
      <c r="W12" s="166">
        <f>'Vstupné dáta'!V40</f>
        <v>8372708</v>
      </c>
      <c r="X12" s="166">
        <f>'Vstupné dáta'!W40</f>
        <v>8372708</v>
      </c>
      <c r="Y12" s="166">
        <f>'Vstupné dáta'!X40</f>
        <v>8372708</v>
      </c>
      <c r="Z12" s="166">
        <f>'Vstupné dáta'!Y40</f>
        <v>8372708</v>
      </c>
      <c r="AA12" s="166">
        <f>'Vstupné dáta'!Z40</f>
        <v>8372708</v>
      </c>
      <c r="AB12" s="166">
        <f>'Vstupné dáta'!AA40</f>
        <v>8372708</v>
      </c>
      <c r="AC12" s="166">
        <f>'Vstupné dáta'!AB40</f>
        <v>8372708</v>
      </c>
      <c r="AD12" s="166">
        <f>'Vstupné dáta'!AC40</f>
        <v>8372708</v>
      </c>
      <c r="AE12" s="166">
        <f>'Vstupné dáta'!AD40</f>
        <v>8372708</v>
      </c>
      <c r="AF12" s="166">
        <f>'Vstupné dáta'!AE40</f>
        <v>8372708</v>
      </c>
    </row>
    <row r="13" spans="1:32" x14ac:dyDescent="0.2">
      <c r="A13" s="7" t="s">
        <v>35</v>
      </c>
      <c r="B13" s="32">
        <f>SUM(C13:AF13)</f>
        <v>126850530</v>
      </c>
      <c r="C13" s="166">
        <f>'Vstupné dáta'!B41</f>
        <v>4228351</v>
      </c>
      <c r="D13" s="166">
        <f>'Vstupné dáta'!C41</f>
        <v>4228351</v>
      </c>
      <c r="E13" s="166">
        <f>'Vstupné dáta'!D41</f>
        <v>4228351</v>
      </c>
      <c r="F13" s="166">
        <f>'Vstupné dáta'!E41</f>
        <v>4228351</v>
      </c>
      <c r="G13" s="166">
        <f>'Vstupné dáta'!F41</f>
        <v>4228351</v>
      </c>
      <c r="H13" s="166">
        <f>'Vstupné dáta'!G41</f>
        <v>4228351</v>
      </c>
      <c r="I13" s="166">
        <f>'Vstupné dáta'!H41</f>
        <v>4228351</v>
      </c>
      <c r="J13" s="166">
        <f>'Vstupné dáta'!I41</f>
        <v>4228351</v>
      </c>
      <c r="K13" s="166">
        <f>'Vstupné dáta'!J41</f>
        <v>4228351</v>
      </c>
      <c r="L13" s="166">
        <f>'Vstupné dáta'!K41</f>
        <v>4228351</v>
      </c>
      <c r="M13" s="166">
        <f>'Vstupné dáta'!L41</f>
        <v>4228351</v>
      </c>
      <c r="N13" s="166">
        <f>'Vstupné dáta'!M41</f>
        <v>4228351</v>
      </c>
      <c r="O13" s="166">
        <f>'Vstupné dáta'!N41</f>
        <v>4228351</v>
      </c>
      <c r="P13" s="166">
        <f>'Vstupné dáta'!O41</f>
        <v>4228351</v>
      </c>
      <c r="Q13" s="166">
        <f>'Vstupné dáta'!P41</f>
        <v>4228351</v>
      </c>
      <c r="R13" s="166">
        <f>'Vstupné dáta'!Q41</f>
        <v>4228351</v>
      </c>
      <c r="S13" s="166">
        <f>'Vstupné dáta'!R41</f>
        <v>4228351</v>
      </c>
      <c r="T13" s="166">
        <f>'Vstupné dáta'!S41</f>
        <v>4228351</v>
      </c>
      <c r="U13" s="166">
        <f>'Vstupné dáta'!T41</f>
        <v>4228351</v>
      </c>
      <c r="V13" s="166">
        <f>'Vstupné dáta'!U41</f>
        <v>4228351</v>
      </c>
      <c r="W13" s="166">
        <f>'Vstupné dáta'!V41</f>
        <v>4228351</v>
      </c>
      <c r="X13" s="166">
        <f>'Vstupné dáta'!W41</f>
        <v>4228351</v>
      </c>
      <c r="Y13" s="166">
        <f>'Vstupné dáta'!X41</f>
        <v>4228351</v>
      </c>
      <c r="Z13" s="166">
        <f>'Vstupné dáta'!Y41</f>
        <v>4228351</v>
      </c>
      <c r="AA13" s="166">
        <f>'Vstupné dáta'!Z41</f>
        <v>4228351</v>
      </c>
      <c r="AB13" s="166">
        <f>'Vstupné dáta'!AA41</f>
        <v>4228351</v>
      </c>
      <c r="AC13" s="166">
        <f>'Vstupné dáta'!AB41</f>
        <v>4228351</v>
      </c>
      <c r="AD13" s="166">
        <f>'Vstupné dáta'!AC41</f>
        <v>4228351</v>
      </c>
      <c r="AE13" s="166">
        <f>'Vstupné dáta'!AD41</f>
        <v>4228351</v>
      </c>
      <c r="AF13" s="166">
        <f>'Vstupné dáta'!AE41</f>
        <v>4228351</v>
      </c>
    </row>
    <row r="14" spans="1:32" x14ac:dyDescent="0.2">
      <c r="A14" s="7" t="s">
        <v>141</v>
      </c>
      <c r="B14" s="32">
        <f>SUM(C14:AF14)</f>
        <v>242930420.60000002</v>
      </c>
      <c r="C14" s="166">
        <f>'Investičné náklady'!D49</f>
        <v>24973987.649999999</v>
      </c>
      <c r="D14" s="166">
        <f>'Investičné náklady'!E49</f>
        <v>19188272.100000001</v>
      </c>
      <c r="E14" s="166">
        <f>'Investičné náklady'!F49</f>
        <v>29172381.199999999</v>
      </c>
      <c r="F14" s="166">
        <f>'Investičné náklady'!G49</f>
        <v>25792461.050000001</v>
      </c>
      <c r="G14" s="166">
        <f>'Investičné náklady'!H49</f>
        <v>20920668.899999999</v>
      </c>
      <c r="H14" s="166">
        <f>'Investičné náklady'!I49</f>
        <v>15102355.449999999</v>
      </c>
      <c r="I14" s="166">
        <f>'Investičné náklady'!J49</f>
        <v>15821123.85</v>
      </c>
      <c r="J14" s="166">
        <f>'Investičné náklady'!K49</f>
        <v>15105774.4</v>
      </c>
      <c r="K14" s="166">
        <f>'Investičné náklady'!L49</f>
        <v>20962794.550000001</v>
      </c>
      <c r="L14" s="166">
        <f>'Investičné náklady'!M49</f>
        <v>12409637.35</v>
      </c>
      <c r="M14" s="166">
        <f>'Investičné náklady'!N49</f>
        <v>0</v>
      </c>
      <c r="N14" s="166">
        <f>'Investičné náklady'!O49</f>
        <v>0</v>
      </c>
      <c r="O14" s="166">
        <f>'Investičné náklady'!P49</f>
        <v>8224169.7999999998</v>
      </c>
      <c r="P14" s="166">
        <f>'Investičné náklady'!Q49</f>
        <v>5062049.3</v>
      </c>
      <c r="Q14" s="166">
        <f>'Investičné náklady'!R49</f>
        <v>0</v>
      </c>
      <c r="R14" s="166">
        <f>'Investičné náklady'!S49</f>
        <v>8041309.4500000002</v>
      </c>
      <c r="S14" s="166">
        <f>'Investičné náklady'!T49</f>
        <v>3784198.05</v>
      </c>
      <c r="T14" s="166">
        <f>'Investičné náklady'!U49</f>
        <v>1657193.7</v>
      </c>
      <c r="U14" s="166">
        <f>'Investičné náklady'!V49</f>
        <v>0</v>
      </c>
      <c r="V14" s="166">
        <f>'Investičné náklady'!W49</f>
        <v>5094730</v>
      </c>
      <c r="W14" s="166">
        <f>'Investičné náklady'!X49</f>
        <v>5088774.1500000004</v>
      </c>
      <c r="X14" s="166">
        <f>'Investičné náklady'!Y49</f>
        <v>6528539.6500000004</v>
      </c>
      <c r="Y14" s="166">
        <f>'Investičné náklady'!Z49</f>
        <v>0</v>
      </c>
      <c r="Z14" s="166">
        <f>'Investičné náklady'!AA49</f>
        <v>0</v>
      </c>
      <c r="AA14" s="166">
        <f>'Investičné náklady'!AB49</f>
        <v>0</v>
      </c>
      <c r="AB14" s="166">
        <f>'Investičné náklady'!AC49</f>
        <v>0</v>
      </c>
      <c r="AC14" s="166">
        <f>'Investičné náklady'!AD49</f>
        <v>0</v>
      </c>
      <c r="AD14" s="166">
        <f>'Investičné náklady'!AE49</f>
        <v>0</v>
      </c>
      <c r="AE14" s="166">
        <f>'Investičné náklady'!AF49</f>
        <v>0</v>
      </c>
      <c r="AF14" s="166">
        <f>'Investičné náklady'!AG49</f>
        <v>0</v>
      </c>
    </row>
    <row r="15" spans="1:32" x14ac:dyDescent="0.2">
      <c r="A15" s="7" t="s">
        <v>15</v>
      </c>
      <c r="B15" s="32">
        <f>SUM(C15:AF15)</f>
        <v>841550840.60000002</v>
      </c>
      <c r="C15" s="32">
        <f>SUM(C11:C14)</f>
        <v>44928001.649999999</v>
      </c>
      <c r="D15" s="32">
        <f t="shared" ref="D15:AF15" si="1">SUM(D11:D14)</f>
        <v>39142286.100000001</v>
      </c>
      <c r="E15" s="32">
        <f t="shared" si="1"/>
        <v>49126395.200000003</v>
      </c>
      <c r="F15" s="32">
        <f t="shared" si="1"/>
        <v>45746475.049999997</v>
      </c>
      <c r="G15" s="32">
        <f t="shared" si="1"/>
        <v>40874682.899999999</v>
      </c>
      <c r="H15" s="32">
        <f t="shared" si="1"/>
        <v>35056369.450000003</v>
      </c>
      <c r="I15" s="32">
        <f t="shared" si="1"/>
        <v>35775137.850000001</v>
      </c>
      <c r="J15" s="32">
        <f t="shared" si="1"/>
        <v>35059788.399999999</v>
      </c>
      <c r="K15" s="32">
        <f t="shared" si="1"/>
        <v>40916808.549999997</v>
      </c>
      <c r="L15" s="32">
        <f t="shared" si="1"/>
        <v>32363651.350000001</v>
      </c>
      <c r="M15" s="32">
        <f t="shared" si="1"/>
        <v>19954014</v>
      </c>
      <c r="N15" s="32">
        <f t="shared" si="1"/>
        <v>19954014</v>
      </c>
      <c r="O15" s="32">
        <f t="shared" si="1"/>
        <v>28178183.800000001</v>
      </c>
      <c r="P15" s="32">
        <f t="shared" si="1"/>
        <v>25016063.300000001</v>
      </c>
      <c r="Q15" s="32">
        <f t="shared" si="1"/>
        <v>19954014</v>
      </c>
      <c r="R15" s="32">
        <f t="shared" si="1"/>
        <v>27995323.449999999</v>
      </c>
      <c r="S15" s="32">
        <f t="shared" si="1"/>
        <v>23738212.050000001</v>
      </c>
      <c r="T15" s="32">
        <f t="shared" si="1"/>
        <v>21611207.699999999</v>
      </c>
      <c r="U15" s="32">
        <f t="shared" si="1"/>
        <v>19954014</v>
      </c>
      <c r="V15" s="32">
        <f t="shared" si="1"/>
        <v>25048744</v>
      </c>
      <c r="W15" s="32">
        <f t="shared" si="1"/>
        <v>25042788.149999999</v>
      </c>
      <c r="X15" s="32">
        <f t="shared" si="1"/>
        <v>26482553.649999999</v>
      </c>
      <c r="Y15" s="32">
        <f t="shared" si="1"/>
        <v>19954014</v>
      </c>
      <c r="Z15" s="32">
        <f t="shared" si="1"/>
        <v>19954014</v>
      </c>
      <c r="AA15" s="32">
        <f t="shared" si="1"/>
        <v>19954014</v>
      </c>
      <c r="AB15" s="32">
        <f t="shared" si="1"/>
        <v>19954014</v>
      </c>
      <c r="AC15" s="32">
        <f t="shared" si="1"/>
        <v>19954014</v>
      </c>
      <c r="AD15" s="32">
        <f t="shared" si="1"/>
        <v>19954014</v>
      </c>
      <c r="AE15" s="32">
        <f t="shared" si="1"/>
        <v>19954014</v>
      </c>
      <c r="AF15" s="32">
        <f t="shared" si="1"/>
        <v>19954014</v>
      </c>
    </row>
    <row r="16" spans="1:32" x14ac:dyDescent="0.2">
      <c r="A16" s="1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spans="1:32" x14ac:dyDescent="0.2">
      <c r="A17" s="1" t="s">
        <v>506</v>
      </c>
      <c r="K17" s="1"/>
      <c r="V17" s="1"/>
    </row>
    <row r="18" spans="1:32" x14ac:dyDescent="0.2">
      <c r="A18" s="7" t="s">
        <v>32</v>
      </c>
      <c r="B18" s="17" t="s">
        <v>21</v>
      </c>
      <c r="C18" s="17">
        <f>Parametre!B12</f>
        <v>2022</v>
      </c>
      <c r="D18" s="17">
        <f t="shared" ref="D18:AF18" si="2">(C18+1)</f>
        <v>2023</v>
      </c>
      <c r="E18" s="17">
        <f t="shared" si="2"/>
        <v>2024</v>
      </c>
      <c r="F18" s="17">
        <f t="shared" si="2"/>
        <v>2025</v>
      </c>
      <c r="G18" s="17">
        <f t="shared" si="2"/>
        <v>2026</v>
      </c>
      <c r="H18" s="17">
        <f t="shared" si="2"/>
        <v>2027</v>
      </c>
      <c r="I18" s="17">
        <f t="shared" si="2"/>
        <v>2028</v>
      </c>
      <c r="J18" s="17">
        <f t="shared" si="2"/>
        <v>2029</v>
      </c>
      <c r="K18" s="17">
        <f t="shared" si="2"/>
        <v>2030</v>
      </c>
      <c r="L18" s="17">
        <f t="shared" si="2"/>
        <v>2031</v>
      </c>
      <c r="M18" s="17">
        <f t="shared" si="2"/>
        <v>2032</v>
      </c>
      <c r="N18" s="17">
        <f t="shared" si="2"/>
        <v>2033</v>
      </c>
      <c r="O18" s="17">
        <f t="shared" si="2"/>
        <v>2034</v>
      </c>
      <c r="P18" s="17">
        <f t="shared" si="2"/>
        <v>2035</v>
      </c>
      <c r="Q18" s="17">
        <f t="shared" si="2"/>
        <v>2036</v>
      </c>
      <c r="R18" s="17">
        <f t="shared" si="2"/>
        <v>2037</v>
      </c>
      <c r="S18" s="17">
        <f t="shared" si="2"/>
        <v>2038</v>
      </c>
      <c r="T18" s="17">
        <f t="shared" si="2"/>
        <v>2039</v>
      </c>
      <c r="U18" s="17">
        <f t="shared" si="2"/>
        <v>2040</v>
      </c>
      <c r="V18" s="17">
        <f t="shared" si="2"/>
        <v>2041</v>
      </c>
      <c r="W18" s="17">
        <f t="shared" si="2"/>
        <v>2042</v>
      </c>
      <c r="X18" s="17">
        <f t="shared" si="2"/>
        <v>2043</v>
      </c>
      <c r="Y18" s="17">
        <f t="shared" si="2"/>
        <v>2044</v>
      </c>
      <c r="Z18" s="17">
        <f t="shared" si="2"/>
        <v>2045</v>
      </c>
      <c r="AA18" s="17">
        <f t="shared" si="2"/>
        <v>2046</v>
      </c>
      <c r="AB18" s="17">
        <f t="shared" si="2"/>
        <v>2047</v>
      </c>
      <c r="AC18" s="17">
        <f t="shared" si="2"/>
        <v>2048</v>
      </c>
      <c r="AD18" s="17">
        <f t="shared" si="2"/>
        <v>2049</v>
      </c>
      <c r="AE18" s="17">
        <f t="shared" si="2"/>
        <v>2050</v>
      </c>
      <c r="AF18" s="17">
        <f t="shared" si="2"/>
        <v>2051</v>
      </c>
    </row>
    <row r="19" spans="1:32" x14ac:dyDescent="0.2">
      <c r="A19" s="7" t="s">
        <v>34</v>
      </c>
      <c r="B19" s="32">
        <f>SUM(C19:AF19)</f>
        <v>192132711</v>
      </c>
      <c r="C19" s="34">
        <f>'Vstupné dáta'!B45</f>
        <v>7352955</v>
      </c>
      <c r="D19" s="34">
        <f>'Vstupné dáta'!C45</f>
        <v>7352955</v>
      </c>
      <c r="E19" s="34">
        <f>'Vstupné dáta'!D45</f>
        <v>7352955</v>
      </c>
      <c r="F19" s="34">
        <v>6727954</v>
      </c>
      <c r="G19" s="34">
        <v>6727954</v>
      </c>
      <c r="H19" s="34">
        <v>6727954</v>
      </c>
      <c r="I19" s="34">
        <v>6727954</v>
      </c>
      <c r="J19" s="34">
        <v>6727954</v>
      </c>
      <c r="K19" s="34">
        <v>6727954</v>
      </c>
      <c r="L19" s="34">
        <v>6176482</v>
      </c>
      <c r="M19" s="34">
        <v>6176482</v>
      </c>
      <c r="N19" s="34">
        <v>6176482</v>
      </c>
      <c r="O19" s="34">
        <v>6176482</v>
      </c>
      <c r="P19" s="34">
        <v>6176482</v>
      </c>
      <c r="Q19" s="34">
        <v>6176482</v>
      </c>
      <c r="R19" s="34">
        <v>6176482</v>
      </c>
      <c r="S19" s="34">
        <v>6176482</v>
      </c>
      <c r="T19" s="34">
        <v>6176482</v>
      </c>
      <c r="U19" s="34">
        <v>6176482</v>
      </c>
      <c r="V19" s="34">
        <v>6176482</v>
      </c>
      <c r="W19" s="34">
        <v>6176482</v>
      </c>
      <c r="X19" s="34">
        <v>6176482</v>
      </c>
      <c r="Y19" s="34">
        <v>6176482</v>
      </c>
      <c r="Z19" s="34">
        <v>6176482</v>
      </c>
      <c r="AA19" s="34">
        <v>6176482</v>
      </c>
      <c r="AB19" s="34">
        <v>6176482</v>
      </c>
      <c r="AC19" s="34">
        <v>6176482</v>
      </c>
      <c r="AD19" s="34">
        <v>6176482</v>
      </c>
      <c r="AE19" s="34">
        <v>6176482</v>
      </c>
      <c r="AF19" s="34">
        <v>6176482</v>
      </c>
    </row>
    <row r="20" spans="1:32" x14ac:dyDescent="0.2">
      <c r="A20" s="7" t="s">
        <v>140</v>
      </c>
      <c r="B20" s="32">
        <f>SUM(C20:AF20)</f>
        <v>242596218</v>
      </c>
      <c r="C20" s="34">
        <f>'Vstupné dáta'!B46</f>
        <v>8372708</v>
      </c>
      <c r="D20" s="34">
        <f>'Vstupné dáta'!C46</f>
        <v>8372708</v>
      </c>
      <c r="E20" s="34">
        <f>'Vstupné dáta'!D46</f>
        <v>8382708</v>
      </c>
      <c r="F20" s="34">
        <f>'Vstupné dáta'!E46</f>
        <v>8360808</v>
      </c>
      <c r="G20" s="34">
        <f>'Vstupné dáta'!F46</f>
        <v>8445566</v>
      </c>
      <c r="H20" s="34">
        <f>'Vstupné dáta'!G46</f>
        <v>8445566</v>
      </c>
      <c r="I20" s="34">
        <f>'Vstupné dáta'!H46</f>
        <v>8445566</v>
      </c>
      <c r="J20" s="34">
        <f>'Vstupné dáta'!I46</f>
        <v>8361374</v>
      </c>
      <c r="K20" s="34">
        <f>'Vstupné dáta'!J46</f>
        <v>8055425</v>
      </c>
      <c r="L20" s="34">
        <f>'Vstupné dáta'!K46</f>
        <v>8021509</v>
      </c>
      <c r="M20" s="34">
        <f>'Vstupné dáta'!L46</f>
        <v>7966614</v>
      </c>
      <c r="N20" s="34">
        <f>'Vstupné dáta'!M46</f>
        <v>7966614</v>
      </c>
      <c r="O20" s="34">
        <f>'Vstupné dáta'!N46</f>
        <v>7966614</v>
      </c>
      <c r="P20" s="34">
        <f>'Vstupné dáta'!O46</f>
        <v>7966614</v>
      </c>
      <c r="Q20" s="34">
        <f>'Vstupné dáta'!P46</f>
        <v>7966614</v>
      </c>
      <c r="R20" s="34">
        <f>'Vstupné dáta'!Q46</f>
        <v>7966614</v>
      </c>
      <c r="S20" s="34">
        <f>'Vstupné dáta'!R46</f>
        <v>7966614</v>
      </c>
      <c r="T20" s="34">
        <f>'Vstupné dáta'!S46</f>
        <v>7966614</v>
      </c>
      <c r="U20" s="34">
        <f>'Vstupné dáta'!T46</f>
        <v>7966614</v>
      </c>
      <c r="V20" s="34">
        <f>'Vstupné dáta'!U46</f>
        <v>7966614</v>
      </c>
      <c r="W20" s="34">
        <f>'Vstupné dáta'!V46</f>
        <v>7966614</v>
      </c>
      <c r="X20" s="34">
        <f>'Vstupné dáta'!W46</f>
        <v>7966614</v>
      </c>
      <c r="Y20" s="34">
        <f>'Vstupné dáta'!X46</f>
        <v>7966614</v>
      </c>
      <c r="Z20" s="34">
        <f>'Vstupné dáta'!Y46</f>
        <v>7966614</v>
      </c>
      <c r="AA20" s="34">
        <f>'Vstupné dáta'!Z46</f>
        <v>7966614</v>
      </c>
      <c r="AB20" s="34">
        <f>'Vstupné dáta'!AA46</f>
        <v>7966614</v>
      </c>
      <c r="AC20" s="34">
        <f>'Vstupné dáta'!AB46</f>
        <v>7966614</v>
      </c>
      <c r="AD20" s="34">
        <f>'Vstupné dáta'!AC46</f>
        <v>7966614</v>
      </c>
      <c r="AE20" s="34">
        <f>'Vstupné dáta'!AD46</f>
        <v>7966614</v>
      </c>
      <c r="AF20" s="34">
        <f>'Vstupné dáta'!AE46</f>
        <v>7966614</v>
      </c>
    </row>
    <row r="21" spans="1:32" x14ac:dyDescent="0.2">
      <c r="A21" s="7" t="s">
        <v>35</v>
      </c>
      <c r="B21" s="32">
        <f>SUM(C21:AF21)</f>
        <v>122119585</v>
      </c>
      <c r="C21" s="34">
        <f>'Vstupné dáta'!B47</f>
        <v>4228351</v>
      </c>
      <c r="D21" s="34">
        <f>'Vstupné dáta'!C47</f>
        <v>4228351</v>
      </c>
      <c r="E21" s="34">
        <f>'Vstupné dáta'!D47</f>
        <v>4233401</v>
      </c>
      <c r="F21" s="34">
        <f>'Vstupné dáta'!E47</f>
        <v>4222341</v>
      </c>
      <c r="G21" s="34">
        <f>'Vstupné dáta'!F47</f>
        <v>4265145</v>
      </c>
      <c r="H21" s="34">
        <f>'Vstupné dáta'!G47</f>
        <v>4265145</v>
      </c>
      <c r="I21" s="34">
        <f>'Vstupné dáta'!H47</f>
        <v>4265145</v>
      </c>
      <c r="J21" s="34">
        <f>'Vstupné dáta'!I47</f>
        <v>4201456</v>
      </c>
      <c r="K21" s="34">
        <f>'Vstupné dáta'!J47</f>
        <v>4050933</v>
      </c>
      <c r="L21" s="34">
        <f>'Vstupné dáta'!K47</f>
        <v>4033877</v>
      </c>
      <c r="M21" s="34">
        <f>'Vstupné dáta'!L47</f>
        <v>4006272</v>
      </c>
      <c r="N21" s="34">
        <f>'Vstupné dáta'!M47</f>
        <v>4006272</v>
      </c>
      <c r="O21" s="34">
        <f>'Vstupné dáta'!N47</f>
        <v>4006272</v>
      </c>
      <c r="P21" s="34">
        <f>'Vstupné dáta'!O47</f>
        <v>4006272</v>
      </c>
      <c r="Q21" s="34">
        <f>'Vstupné dáta'!P47</f>
        <v>4006272</v>
      </c>
      <c r="R21" s="34">
        <f>'Vstupné dáta'!Q47</f>
        <v>4006272</v>
      </c>
      <c r="S21" s="34">
        <f>'Vstupné dáta'!R47</f>
        <v>4006272</v>
      </c>
      <c r="T21" s="34">
        <f>'Vstupné dáta'!S47</f>
        <v>4006272</v>
      </c>
      <c r="U21" s="34">
        <f>'Vstupné dáta'!T47</f>
        <v>4006272</v>
      </c>
      <c r="V21" s="34">
        <f>'Vstupné dáta'!U47</f>
        <v>4006272</v>
      </c>
      <c r="W21" s="34">
        <f>'Vstupné dáta'!V47</f>
        <v>4006272</v>
      </c>
      <c r="X21" s="34">
        <f>'Vstupné dáta'!W47</f>
        <v>4006272</v>
      </c>
      <c r="Y21" s="34">
        <f>'Vstupné dáta'!X47</f>
        <v>4006272</v>
      </c>
      <c r="Z21" s="34">
        <f>'Vstupné dáta'!Y47</f>
        <v>4006272</v>
      </c>
      <c r="AA21" s="34">
        <f>'Vstupné dáta'!Z47</f>
        <v>4006272</v>
      </c>
      <c r="AB21" s="34">
        <f>'Vstupné dáta'!AA47</f>
        <v>4006272</v>
      </c>
      <c r="AC21" s="34">
        <f>'Vstupné dáta'!AB47</f>
        <v>4006272</v>
      </c>
      <c r="AD21" s="34">
        <f>'Vstupné dáta'!AC47</f>
        <v>4006272</v>
      </c>
      <c r="AE21" s="34">
        <f>'Vstupné dáta'!AD47</f>
        <v>4006272</v>
      </c>
      <c r="AF21" s="34">
        <f>'Vstupné dáta'!AE47</f>
        <v>4006272</v>
      </c>
    </row>
    <row r="22" spans="1:32" x14ac:dyDescent="0.2">
      <c r="A22" s="7" t="s">
        <v>141</v>
      </c>
      <c r="B22" s="32">
        <f>SUM(C22:AF22)</f>
        <v>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1:32" x14ac:dyDescent="0.2">
      <c r="A23" s="7" t="s">
        <v>15</v>
      </c>
      <c r="B23" s="32">
        <f>SUM(C23:AF23)</f>
        <v>556848514</v>
      </c>
      <c r="C23" s="32">
        <f t="shared" ref="C23:AF23" si="3">SUM(C19:C22)</f>
        <v>19954014</v>
      </c>
      <c r="D23" s="32">
        <f t="shared" si="3"/>
        <v>19954014</v>
      </c>
      <c r="E23" s="32">
        <f t="shared" si="3"/>
        <v>19969064</v>
      </c>
      <c r="F23" s="33">
        <f t="shared" si="3"/>
        <v>19311103</v>
      </c>
      <c r="G23" s="33">
        <f t="shared" si="3"/>
        <v>19438665</v>
      </c>
      <c r="H23" s="33">
        <f t="shared" si="3"/>
        <v>19438665</v>
      </c>
      <c r="I23" s="33">
        <f t="shared" si="3"/>
        <v>19438665</v>
      </c>
      <c r="J23" s="33">
        <f t="shared" si="3"/>
        <v>19290784</v>
      </c>
      <c r="K23" s="33">
        <f t="shared" si="3"/>
        <v>18834312</v>
      </c>
      <c r="L23" s="33">
        <f t="shared" si="3"/>
        <v>18231868</v>
      </c>
      <c r="M23" s="33">
        <f t="shared" si="3"/>
        <v>18149368</v>
      </c>
      <c r="N23" s="33">
        <f t="shared" si="3"/>
        <v>18149368</v>
      </c>
      <c r="O23" s="33">
        <f t="shared" si="3"/>
        <v>18149368</v>
      </c>
      <c r="P23" s="33">
        <f t="shared" si="3"/>
        <v>18149368</v>
      </c>
      <c r="Q23" s="33">
        <f t="shared" si="3"/>
        <v>18149368</v>
      </c>
      <c r="R23" s="33">
        <f t="shared" si="3"/>
        <v>18149368</v>
      </c>
      <c r="S23" s="33">
        <f t="shared" si="3"/>
        <v>18149368</v>
      </c>
      <c r="T23" s="33">
        <f t="shared" si="3"/>
        <v>18149368</v>
      </c>
      <c r="U23" s="33">
        <f t="shared" si="3"/>
        <v>18149368</v>
      </c>
      <c r="V23" s="33">
        <f t="shared" si="3"/>
        <v>18149368</v>
      </c>
      <c r="W23" s="33">
        <f t="shared" si="3"/>
        <v>18149368</v>
      </c>
      <c r="X23" s="33">
        <f t="shared" si="3"/>
        <v>18149368</v>
      </c>
      <c r="Y23" s="33">
        <f t="shared" si="3"/>
        <v>18149368</v>
      </c>
      <c r="Z23" s="33">
        <f t="shared" si="3"/>
        <v>18149368</v>
      </c>
      <c r="AA23" s="33">
        <f t="shared" si="3"/>
        <v>18149368</v>
      </c>
      <c r="AB23" s="33">
        <f t="shared" si="3"/>
        <v>18149368</v>
      </c>
      <c r="AC23" s="33">
        <f t="shared" si="3"/>
        <v>18149368</v>
      </c>
      <c r="AD23" s="33">
        <f t="shared" si="3"/>
        <v>18149368</v>
      </c>
      <c r="AE23" s="33">
        <f t="shared" si="3"/>
        <v>18149368</v>
      </c>
      <c r="AF23" s="33">
        <f t="shared" si="3"/>
        <v>18149368</v>
      </c>
    </row>
    <row r="25" spans="1:32" x14ac:dyDescent="0.2">
      <c r="A25" s="1" t="s">
        <v>138</v>
      </c>
      <c r="K25" s="1"/>
      <c r="V25" s="1"/>
    </row>
    <row r="26" spans="1:32" x14ac:dyDescent="0.2">
      <c r="A26" s="7" t="s">
        <v>32</v>
      </c>
      <c r="B26" s="17" t="s">
        <v>21</v>
      </c>
      <c r="C26" s="17">
        <f>Parametre!B12</f>
        <v>2022</v>
      </c>
      <c r="D26" s="17">
        <f>(C26+1)</f>
        <v>2023</v>
      </c>
      <c r="E26" s="17">
        <f t="shared" ref="E26:U26" si="4">(D26+1)</f>
        <v>2024</v>
      </c>
      <c r="F26" s="17">
        <f t="shared" si="4"/>
        <v>2025</v>
      </c>
      <c r="G26" s="17">
        <f t="shared" si="4"/>
        <v>2026</v>
      </c>
      <c r="H26" s="17">
        <f t="shared" si="4"/>
        <v>2027</v>
      </c>
      <c r="I26" s="17">
        <f t="shared" si="4"/>
        <v>2028</v>
      </c>
      <c r="J26" s="17">
        <f t="shared" si="4"/>
        <v>2029</v>
      </c>
      <c r="K26" s="17">
        <f t="shared" si="4"/>
        <v>2030</v>
      </c>
      <c r="L26" s="17">
        <f t="shared" si="4"/>
        <v>2031</v>
      </c>
      <c r="M26" s="17">
        <f t="shared" si="4"/>
        <v>2032</v>
      </c>
      <c r="N26" s="17">
        <f t="shared" si="4"/>
        <v>2033</v>
      </c>
      <c r="O26" s="17">
        <f t="shared" si="4"/>
        <v>2034</v>
      </c>
      <c r="P26" s="17">
        <f t="shared" si="4"/>
        <v>2035</v>
      </c>
      <c r="Q26" s="17">
        <f t="shared" si="4"/>
        <v>2036</v>
      </c>
      <c r="R26" s="17">
        <f t="shared" si="4"/>
        <v>2037</v>
      </c>
      <c r="S26" s="17">
        <f t="shared" si="4"/>
        <v>2038</v>
      </c>
      <c r="T26" s="17">
        <f t="shared" si="4"/>
        <v>2039</v>
      </c>
      <c r="U26" s="17">
        <f t="shared" si="4"/>
        <v>2040</v>
      </c>
      <c r="V26" s="17">
        <f>(U26+1)</f>
        <v>2041</v>
      </c>
      <c r="W26" s="17">
        <f t="shared" ref="W26:AF26" si="5">(V26+1)</f>
        <v>2042</v>
      </c>
      <c r="X26" s="17">
        <f t="shared" si="5"/>
        <v>2043</v>
      </c>
      <c r="Y26" s="17">
        <f t="shared" si="5"/>
        <v>2044</v>
      </c>
      <c r="Z26" s="17">
        <f t="shared" si="5"/>
        <v>2045</v>
      </c>
      <c r="AA26" s="17">
        <f t="shared" si="5"/>
        <v>2046</v>
      </c>
      <c r="AB26" s="17">
        <f t="shared" si="5"/>
        <v>2047</v>
      </c>
      <c r="AC26" s="17">
        <f t="shared" si="5"/>
        <v>2048</v>
      </c>
      <c r="AD26" s="17">
        <f t="shared" si="5"/>
        <v>2049</v>
      </c>
      <c r="AE26" s="17">
        <f t="shared" si="5"/>
        <v>2050</v>
      </c>
      <c r="AF26" s="17">
        <f t="shared" si="5"/>
        <v>2051</v>
      </c>
    </row>
    <row r="27" spans="1:32" x14ac:dyDescent="0.2">
      <c r="A27" s="7" t="s">
        <v>34</v>
      </c>
      <c r="B27" s="33">
        <f>SUM(C27:AF27)</f>
        <v>-28455939</v>
      </c>
      <c r="C27" s="33">
        <f t="shared" ref="C27:AF27" si="6">C19-C11</f>
        <v>0</v>
      </c>
      <c r="D27" s="33">
        <f t="shared" si="6"/>
        <v>0</v>
      </c>
      <c r="E27" s="33">
        <f t="shared" si="6"/>
        <v>0</v>
      </c>
      <c r="F27" s="33">
        <f t="shared" si="6"/>
        <v>-625001</v>
      </c>
      <c r="G27" s="33">
        <f t="shared" si="6"/>
        <v>-625001</v>
      </c>
      <c r="H27" s="33">
        <f t="shared" si="6"/>
        <v>-625001</v>
      </c>
      <c r="I27" s="33">
        <f t="shared" si="6"/>
        <v>-625001</v>
      </c>
      <c r="J27" s="33">
        <f t="shared" si="6"/>
        <v>-625001</v>
      </c>
      <c r="K27" s="33">
        <f t="shared" si="6"/>
        <v>-625001</v>
      </c>
      <c r="L27" s="33">
        <f t="shared" si="6"/>
        <v>-1176473</v>
      </c>
      <c r="M27" s="33">
        <f t="shared" si="6"/>
        <v>-1176473</v>
      </c>
      <c r="N27" s="33">
        <f t="shared" si="6"/>
        <v>-1176473</v>
      </c>
      <c r="O27" s="33">
        <f t="shared" si="6"/>
        <v>-1176473</v>
      </c>
      <c r="P27" s="33">
        <f t="shared" si="6"/>
        <v>-1176473</v>
      </c>
      <c r="Q27" s="33">
        <f t="shared" si="6"/>
        <v>-1176473</v>
      </c>
      <c r="R27" s="33">
        <f t="shared" si="6"/>
        <v>-1176473</v>
      </c>
      <c r="S27" s="33">
        <f t="shared" si="6"/>
        <v>-1176473</v>
      </c>
      <c r="T27" s="33">
        <f t="shared" si="6"/>
        <v>-1176473</v>
      </c>
      <c r="U27" s="33">
        <f t="shared" si="6"/>
        <v>-1176473</v>
      </c>
      <c r="V27" s="33">
        <f t="shared" si="6"/>
        <v>-1176473</v>
      </c>
      <c r="W27" s="33">
        <f t="shared" si="6"/>
        <v>-1176473</v>
      </c>
      <c r="X27" s="33">
        <f t="shared" si="6"/>
        <v>-1176473</v>
      </c>
      <c r="Y27" s="33">
        <f t="shared" si="6"/>
        <v>-1176473</v>
      </c>
      <c r="Z27" s="33">
        <f t="shared" si="6"/>
        <v>-1176473</v>
      </c>
      <c r="AA27" s="33">
        <f t="shared" si="6"/>
        <v>-1176473</v>
      </c>
      <c r="AB27" s="33">
        <f t="shared" si="6"/>
        <v>-1176473</v>
      </c>
      <c r="AC27" s="33">
        <f t="shared" si="6"/>
        <v>-1176473</v>
      </c>
      <c r="AD27" s="33">
        <f t="shared" si="6"/>
        <v>-1176473</v>
      </c>
      <c r="AE27" s="33">
        <f t="shared" si="6"/>
        <v>-1176473</v>
      </c>
      <c r="AF27" s="33">
        <f t="shared" si="6"/>
        <v>-1176473</v>
      </c>
    </row>
    <row r="28" spans="1:32" x14ac:dyDescent="0.2">
      <c r="A28" s="7" t="s">
        <v>140</v>
      </c>
      <c r="B28" s="33">
        <f>SUM(C28:AF28)</f>
        <v>-8585022</v>
      </c>
      <c r="C28" s="33">
        <f t="shared" ref="C28:AF28" si="7">C20-C12</f>
        <v>0</v>
      </c>
      <c r="D28" s="33">
        <f t="shared" si="7"/>
        <v>0</v>
      </c>
      <c r="E28" s="33">
        <f t="shared" si="7"/>
        <v>10000</v>
      </c>
      <c r="F28" s="33">
        <f t="shared" si="7"/>
        <v>-11900</v>
      </c>
      <c r="G28" s="33">
        <f t="shared" si="7"/>
        <v>72858</v>
      </c>
      <c r="H28" s="33">
        <f t="shared" si="7"/>
        <v>72858</v>
      </c>
      <c r="I28" s="33">
        <f t="shared" si="7"/>
        <v>72858</v>
      </c>
      <c r="J28" s="33">
        <f t="shared" si="7"/>
        <v>-11334</v>
      </c>
      <c r="K28" s="33">
        <f t="shared" si="7"/>
        <v>-317283</v>
      </c>
      <c r="L28" s="33">
        <f t="shared" si="7"/>
        <v>-351199</v>
      </c>
      <c r="M28" s="33">
        <f t="shared" si="7"/>
        <v>-406094</v>
      </c>
      <c r="N28" s="33">
        <f t="shared" si="7"/>
        <v>-406094</v>
      </c>
      <c r="O28" s="33">
        <f t="shared" si="7"/>
        <v>-406094</v>
      </c>
      <c r="P28" s="33">
        <f t="shared" si="7"/>
        <v>-406094</v>
      </c>
      <c r="Q28" s="33">
        <f t="shared" si="7"/>
        <v>-406094</v>
      </c>
      <c r="R28" s="33">
        <f t="shared" si="7"/>
        <v>-406094</v>
      </c>
      <c r="S28" s="33">
        <f t="shared" si="7"/>
        <v>-406094</v>
      </c>
      <c r="T28" s="33">
        <f t="shared" si="7"/>
        <v>-406094</v>
      </c>
      <c r="U28" s="33">
        <f t="shared" si="7"/>
        <v>-406094</v>
      </c>
      <c r="V28" s="33">
        <f t="shared" si="7"/>
        <v>-406094</v>
      </c>
      <c r="W28" s="33">
        <f t="shared" si="7"/>
        <v>-406094</v>
      </c>
      <c r="X28" s="33">
        <f t="shared" si="7"/>
        <v>-406094</v>
      </c>
      <c r="Y28" s="33">
        <f t="shared" si="7"/>
        <v>-406094</v>
      </c>
      <c r="Z28" s="33">
        <f t="shared" si="7"/>
        <v>-406094</v>
      </c>
      <c r="AA28" s="33">
        <f t="shared" si="7"/>
        <v>-406094</v>
      </c>
      <c r="AB28" s="33">
        <f t="shared" si="7"/>
        <v>-406094</v>
      </c>
      <c r="AC28" s="33">
        <f t="shared" si="7"/>
        <v>-406094</v>
      </c>
      <c r="AD28" s="33">
        <f t="shared" si="7"/>
        <v>-406094</v>
      </c>
      <c r="AE28" s="33">
        <f t="shared" si="7"/>
        <v>-406094</v>
      </c>
      <c r="AF28" s="33">
        <f t="shared" si="7"/>
        <v>-406094</v>
      </c>
    </row>
    <row r="29" spans="1:32" x14ac:dyDescent="0.2">
      <c r="A29" s="7" t="s">
        <v>35</v>
      </c>
      <c r="B29" s="33">
        <f>SUM(C29:AF29)</f>
        <v>-4730945</v>
      </c>
      <c r="C29" s="33">
        <f t="shared" ref="C29:AF29" si="8">C21-C13</f>
        <v>0</v>
      </c>
      <c r="D29" s="33">
        <f t="shared" si="8"/>
        <v>0</v>
      </c>
      <c r="E29" s="33">
        <f t="shared" si="8"/>
        <v>5050</v>
      </c>
      <c r="F29" s="33">
        <f t="shared" si="8"/>
        <v>-6010</v>
      </c>
      <c r="G29" s="33">
        <f t="shared" si="8"/>
        <v>36794</v>
      </c>
      <c r="H29" s="33">
        <f t="shared" si="8"/>
        <v>36794</v>
      </c>
      <c r="I29" s="33">
        <f t="shared" si="8"/>
        <v>36794</v>
      </c>
      <c r="J29" s="33">
        <f t="shared" si="8"/>
        <v>-26895</v>
      </c>
      <c r="K29" s="33">
        <f t="shared" si="8"/>
        <v>-177418</v>
      </c>
      <c r="L29" s="33">
        <f t="shared" si="8"/>
        <v>-194474</v>
      </c>
      <c r="M29" s="33">
        <f t="shared" si="8"/>
        <v>-222079</v>
      </c>
      <c r="N29" s="33">
        <f t="shared" si="8"/>
        <v>-222079</v>
      </c>
      <c r="O29" s="33">
        <f t="shared" si="8"/>
        <v>-222079</v>
      </c>
      <c r="P29" s="33">
        <f t="shared" si="8"/>
        <v>-222079</v>
      </c>
      <c r="Q29" s="33">
        <f t="shared" si="8"/>
        <v>-222079</v>
      </c>
      <c r="R29" s="33">
        <f t="shared" si="8"/>
        <v>-222079</v>
      </c>
      <c r="S29" s="33">
        <f t="shared" si="8"/>
        <v>-222079</v>
      </c>
      <c r="T29" s="33">
        <f t="shared" si="8"/>
        <v>-222079</v>
      </c>
      <c r="U29" s="33">
        <f t="shared" si="8"/>
        <v>-222079</v>
      </c>
      <c r="V29" s="33">
        <f t="shared" si="8"/>
        <v>-222079</v>
      </c>
      <c r="W29" s="33">
        <f t="shared" si="8"/>
        <v>-222079</v>
      </c>
      <c r="X29" s="33">
        <f t="shared" si="8"/>
        <v>-222079</v>
      </c>
      <c r="Y29" s="33">
        <f t="shared" si="8"/>
        <v>-222079</v>
      </c>
      <c r="Z29" s="33">
        <f t="shared" si="8"/>
        <v>-222079</v>
      </c>
      <c r="AA29" s="33">
        <f t="shared" si="8"/>
        <v>-222079</v>
      </c>
      <c r="AB29" s="33">
        <f t="shared" si="8"/>
        <v>-222079</v>
      </c>
      <c r="AC29" s="33">
        <f t="shared" si="8"/>
        <v>-222079</v>
      </c>
      <c r="AD29" s="33">
        <f t="shared" si="8"/>
        <v>-222079</v>
      </c>
      <c r="AE29" s="33">
        <f t="shared" si="8"/>
        <v>-222079</v>
      </c>
      <c r="AF29" s="33">
        <f t="shared" si="8"/>
        <v>-222079</v>
      </c>
    </row>
    <row r="30" spans="1:32" x14ac:dyDescent="0.2">
      <c r="A30" s="7" t="s">
        <v>141</v>
      </c>
      <c r="B30" s="33">
        <f>SUM(C30:AF30)</f>
        <v>-242930420.60000002</v>
      </c>
      <c r="C30" s="33">
        <f t="shared" ref="C30:AF30" si="9">C22-C14</f>
        <v>-24973987.649999999</v>
      </c>
      <c r="D30" s="33">
        <f t="shared" si="9"/>
        <v>-19188272.100000001</v>
      </c>
      <c r="E30" s="33">
        <f t="shared" si="9"/>
        <v>-29172381.199999999</v>
      </c>
      <c r="F30" s="33">
        <f t="shared" si="9"/>
        <v>-25792461.050000001</v>
      </c>
      <c r="G30" s="33">
        <f t="shared" si="9"/>
        <v>-20920668.899999999</v>
      </c>
      <c r="H30" s="33">
        <f t="shared" si="9"/>
        <v>-15102355.449999999</v>
      </c>
      <c r="I30" s="33">
        <f t="shared" si="9"/>
        <v>-15821123.85</v>
      </c>
      <c r="J30" s="33">
        <f t="shared" si="9"/>
        <v>-15105774.4</v>
      </c>
      <c r="K30" s="33">
        <f t="shared" si="9"/>
        <v>-20962794.550000001</v>
      </c>
      <c r="L30" s="33">
        <f t="shared" si="9"/>
        <v>-12409637.35</v>
      </c>
      <c r="M30" s="33">
        <f t="shared" si="9"/>
        <v>0</v>
      </c>
      <c r="N30" s="33">
        <f t="shared" si="9"/>
        <v>0</v>
      </c>
      <c r="O30" s="33">
        <f t="shared" si="9"/>
        <v>-8224169.7999999998</v>
      </c>
      <c r="P30" s="33">
        <f t="shared" si="9"/>
        <v>-5062049.3</v>
      </c>
      <c r="Q30" s="33">
        <f t="shared" si="9"/>
        <v>0</v>
      </c>
      <c r="R30" s="33">
        <f t="shared" si="9"/>
        <v>-8041309.4500000002</v>
      </c>
      <c r="S30" s="33">
        <f t="shared" si="9"/>
        <v>-3784198.05</v>
      </c>
      <c r="T30" s="33">
        <f t="shared" si="9"/>
        <v>-1657193.7</v>
      </c>
      <c r="U30" s="33">
        <f t="shared" si="9"/>
        <v>0</v>
      </c>
      <c r="V30" s="33">
        <f t="shared" si="9"/>
        <v>-5094730</v>
      </c>
      <c r="W30" s="33">
        <f t="shared" si="9"/>
        <v>-5088774.1500000004</v>
      </c>
      <c r="X30" s="33">
        <f t="shared" si="9"/>
        <v>-6528539.6500000004</v>
      </c>
      <c r="Y30" s="33">
        <f t="shared" si="9"/>
        <v>0</v>
      </c>
      <c r="Z30" s="33">
        <f t="shared" si="9"/>
        <v>0</v>
      </c>
      <c r="AA30" s="33">
        <f t="shared" si="9"/>
        <v>0</v>
      </c>
      <c r="AB30" s="33">
        <f t="shared" si="9"/>
        <v>0</v>
      </c>
      <c r="AC30" s="33">
        <f t="shared" si="9"/>
        <v>0</v>
      </c>
      <c r="AD30" s="33">
        <f t="shared" si="9"/>
        <v>0</v>
      </c>
      <c r="AE30" s="33">
        <f t="shared" si="9"/>
        <v>0</v>
      </c>
      <c r="AF30" s="33">
        <f t="shared" si="9"/>
        <v>0</v>
      </c>
    </row>
    <row r="31" spans="1:32" x14ac:dyDescent="0.2">
      <c r="A31" s="7" t="s">
        <v>15</v>
      </c>
      <c r="B31" s="33">
        <f>SUM(C31:AF31)</f>
        <v>-284702326.60000002</v>
      </c>
      <c r="C31" s="33">
        <f t="shared" ref="C31:AF31" si="10">C23-C15</f>
        <v>-24973987.649999999</v>
      </c>
      <c r="D31" s="33">
        <f t="shared" si="10"/>
        <v>-19188272.100000001</v>
      </c>
      <c r="E31" s="33">
        <f t="shared" si="10"/>
        <v>-29157331.200000003</v>
      </c>
      <c r="F31" s="33">
        <f t="shared" si="10"/>
        <v>-26435372.049999997</v>
      </c>
      <c r="G31" s="33">
        <f t="shared" si="10"/>
        <v>-21436017.899999999</v>
      </c>
      <c r="H31" s="33">
        <f t="shared" si="10"/>
        <v>-15617704.450000003</v>
      </c>
      <c r="I31" s="33">
        <f t="shared" si="10"/>
        <v>-16336472.850000001</v>
      </c>
      <c r="J31" s="33">
        <f t="shared" si="10"/>
        <v>-15769004.399999999</v>
      </c>
      <c r="K31" s="33">
        <f t="shared" si="10"/>
        <v>-22082496.549999997</v>
      </c>
      <c r="L31" s="33">
        <f t="shared" si="10"/>
        <v>-14131783.350000001</v>
      </c>
      <c r="M31" s="33">
        <f t="shared" si="10"/>
        <v>-1804646</v>
      </c>
      <c r="N31" s="33">
        <f t="shared" si="10"/>
        <v>-1804646</v>
      </c>
      <c r="O31" s="33">
        <f t="shared" si="10"/>
        <v>-10028815.800000001</v>
      </c>
      <c r="P31" s="33">
        <f t="shared" si="10"/>
        <v>-6866695.3000000007</v>
      </c>
      <c r="Q31" s="33">
        <f t="shared" si="10"/>
        <v>-1804646</v>
      </c>
      <c r="R31" s="33">
        <f t="shared" si="10"/>
        <v>-9845955.4499999993</v>
      </c>
      <c r="S31" s="33">
        <f t="shared" si="10"/>
        <v>-5588844.0500000007</v>
      </c>
      <c r="T31" s="33">
        <f t="shared" si="10"/>
        <v>-3461839.6999999993</v>
      </c>
      <c r="U31" s="33">
        <f t="shared" si="10"/>
        <v>-1804646</v>
      </c>
      <c r="V31" s="33">
        <f t="shared" si="10"/>
        <v>-6899376</v>
      </c>
      <c r="W31" s="33">
        <f t="shared" si="10"/>
        <v>-6893420.1499999985</v>
      </c>
      <c r="X31" s="33">
        <f t="shared" si="10"/>
        <v>-8333185.6499999985</v>
      </c>
      <c r="Y31" s="33">
        <f t="shared" si="10"/>
        <v>-1804646</v>
      </c>
      <c r="Z31" s="33">
        <f t="shared" si="10"/>
        <v>-1804646</v>
      </c>
      <c r="AA31" s="33">
        <f t="shared" si="10"/>
        <v>-1804646</v>
      </c>
      <c r="AB31" s="33">
        <f t="shared" si="10"/>
        <v>-1804646</v>
      </c>
      <c r="AC31" s="33">
        <f t="shared" si="10"/>
        <v>-1804646</v>
      </c>
      <c r="AD31" s="33">
        <f t="shared" si="10"/>
        <v>-1804646</v>
      </c>
      <c r="AE31" s="33">
        <f t="shared" si="10"/>
        <v>-1804646</v>
      </c>
      <c r="AF31" s="33">
        <f t="shared" si="10"/>
        <v>-1804646</v>
      </c>
    </row>
    <row r="33" spans="1:32" x14ac:dyDescent="0.2">
      <c r="A33" s="1" t="s">
        <v>139</v>
      </c>
      <c r="K33" s="1"/>
      <c r="V33" s="1"/>
    </row>
    <row r="34" spans="1:32" x14ac:dyDescent="0.2">
      <c r="A34" s="7" t="s">
        <v>32</v>
      </c>
      <c r="B34" s="17" t="s">
        <v>21</v>
      </c>
      <c r="C34" s="17">
        <f>Parametre!B12</f>
        <v>2022</v>
      </c>
      <c r="D34" s="17">
        <f>(C34+1)</f>
        <v>2023</v>
      </c>
      <c r="E34" s="17">
        <f t="shared" ref="E34:U34" si="11">(D34+1)</f>
        <v>2024</v>
      </c>
      <c r="F34" s="17">
        <f t="shared" si="11"/>
        <v>2025</v>
      </c>
      <c r="G34" s="17">
        <f t="shared" si="11"/>
        <v>2026</v>
      </c>
      <c r="H34" s="17">
        <f t="shared" si="11"/>
        <v>2027</v>
      </c>
      <c r="I34" s="17">
        <f t="shared" si="11"/>
        <v>2028</v>
      </c>
      <c r="J34" s="17">
        <f t="shared" si="11"/>
        <v>2029</v>
      </c>
      <c r="K34" s="17">
        <f t="shared" si="11"/>
        <v>2030</v>
      </c>
      <c r="L34" s="17">
        <f t="shared" si="11"/>
        <v>2031</v>
      </c>
      <c r="M34" s="17">
        <f t="shared" si="11"/>
        <v>2032</v>
      </c>
      <c r="N34" s="17">
        <f t="shared" si="11"/>
        <v>2033</v>
      </c>
      <c r="O34" s="17">
        <f t="shared" si="11"/>
        <v>2034</v>
      </c>
      <c r="P34" s="17">
        <f t="shared" si="11"/>
        <v>2035</v>
      </c>
      <c r="Q34" s="17">
        <f t="shared" si="11"/>
        <v>2036</v>
      </c>
      <c r="R34" s="17">
        <f t="shared" si="11"/>
        <v>2037</v>
      </c>
      <c r="S34" s="17">
        <f t="shared" si="11"/>
        <v>2038</v>
      </c>
      <c r="T34" s="17">
        <f t="shared" si="11"/>
        <v>2039</v>
      </c>
      <c r="U34" s="17">
        <f t="shared" si="11"/>
        <v>2040</v>
      </c>
      <c r="V34" s="17">
        <f>(U34+1)</f>
        <v>2041</v>
      </c>
      <c r="W34" s="17">
        <f t="shared" ref="W34:AF34" si="12">(V34+1)</f>
        <v>2042</v>
      </c>
      <c r="X34" s="17">
        <f t="shared" si="12"/>
        <v>2043</v>
      </c>
      <c r="Y34" s="17">
        <f t="shared" si="12"/>
        <v>2044</v>
      </c>
      <c r="Z34" s="17">
        <f t="shared" si="12"/>
        <v>2045</v>
      </c>
      <c r="AA34" s="17">
        <f t="shared" si="12"/>
        <v>2046</v>
      </c>
      <c r="AB34" s="17">
        <f t="shared" si="12"/>
        <v>2047</v>
      </c>
      <c r="AC34" s="17">
        <f t="shared" si="12"/>
        <v>2048</v>
      </c>
      <c r="AD34" s="17">
        <f t="shared" si="12"/>
        <v>2049</v>
      </c>
      <c r="AE34" s="17">
        <f t="shared" si="12"/>
        <v>2050</v>
      </c>
      <c r="AF34" s="17">
        <f t="shared" si="12"/>
        <v>2051</v>
      </c>
    </row>
    <row r="35" spans="1:32" x14ac:dyDescent="0.2">
      <c r="A35" s="7" t="s">
        <v>34</v>
      </c>
      <c r="B35" s="33">
        <f>SUM(C35:AF35)</f>
        <v>-25894904.489999995</v>
      </c>
      <c r="C35" s="32">
        <f>C27*Parametre!$F$28</f>
        <v>0</v>
      </c>
      <c r="D35" s="32">
        <f>D27*Parametre!$F$28</f>
        <v>0</v>
      </c>
      <c r="E35" s="32">
        <f>E27*Parametre!$F$28</f>
        <v>0</v>
      </c>
      <c r="F35" s="32">
        <f>F27*Parametre!$F$28</f>
        <v>-568750.91</v>
      </c>
      <c r="G35" s="32">
        <f>G27*Parametre!$F$28</f>
        <v>-568750.91</v>
      </c>
      <c r="H35" s="32">
        <f>H27*Parametre!$F$28</f>
        <v>-568750.91</v>
      </c>
      <c r="I35" s="32">
        <f>I27*Parametre!$F$28</f>
        <v>-568750.91</v>
      </c>
      <c r="J35" s="32">
        <f>J27*Parametre!$F$28</f>
        <v>-568750.91</v>
      </c>
      <c r="K35" s="32">
        <f>K27*Parametre!$F$28</f>
        <v>-568750.91</v>
      </c>
      <c r="L35" s="32">
        <f>L27*Parametre!$F$28</f>
        <v>-1070590.43</v>
      </c>
      <c r="M35" s="32">
        <f>M27*Parametre!$F$28</f>
        <v>-1070590.43</v>
      </c>
      <c r="N35" s="32">
        <f>N27*Parametre!$F$28</f>
        <v>-1070590.43</v>
      </c>
      <c r="O35" s="32">
        <f>O27*Parametre!$F$28</f>
        <v>-1070590.43</v>
      </c>
      <c r="P35" s="32">
        <f>P27*Parametre!$F$28</f>
        <v>-1070590.43</v>
      </c>
      <c r="Q35" s="32">
        <f>Q27*Parametre!$F$28</f>
        <v>-1070590.43</v>
      </c>
      <c r="R35" s="32">
        <f>R27*Parametre!$F$28</f>
        <v>-1070590.43</v>
      </c>
      <c r="S35" s="32">
        <f>S27*Parametre!$F$28</f>
        <v>-1070590.43</v>
      </c>
      <c r="T35" s="32">
        <f>T27*Parametre!$F$28</f>
        <v>-1070590.43</v>
      </c>
      <c r="U35" s="32">
        <f>U27*Parametre!$F$28</f>
        <v>-1070590.43</v>
      </c>
      <c r="V35" s="32">
        <f>V27*Parametre!$F$28</f>
        <v>-1070590.43</v>
      </c>
      <c r="W35" s="32">
        <f>W27*Parametre!$F$28</f>
        <v>-1070590.43</v>
      </c>
      <c r="X35" s="32">
        <f>X27*Parametre!$F$28</f>
        <v>-1070590.43</v>
      </c>
      <c r="Y35" s="32">
        <f>Y27*Parametre!$F$28</f>
        <v>-1070590.43</v>
      </c>
      <c r="Z35" s="32">
        <f>Z27*Parametre!$F$28</f>
        <v>-1070590.43</v>
      </c>
      <c r="AA35" s="32">
        <f>AA27*Parametre!$F$28</f>
        <v>-1070590.43</v>
      </c>
      <c r="AB35" s="32">
        <f>AB27*Parametre!$F$28</f>
        <v>-1070590.43</v>
      </c>
      <c r="AC35" s="32">
        <f>AC27*Parametre!$F$28</f>
        <v>-1070590.43</v>
      </c>
      <c r="AD35" s="32">
        <f>AD27*Parametre!$F$28</f>
        <v>-1070590.43</v>
      </c>
      <c r="AE35" s="32">
        <f>AE27*Parametre!$F$28</f>
        <v>-1070590.43</v>
      </c>
      <c r="AF35" s="32">
        <f>AF27*Parametre!$F$28</f>
        <v>-1070590.43</v>
      </c>
    </row>
    <row r="36" spans="1:32" x14ac:dyDescent="0.2">
      <c r="A36" s="7" t="s">
        <v>140</v>
      </c>
      <c r="B36" s="33">
        <f>SUM(C36:AF36)</f>
        <v>-7898220.2400000039</v>
      </c>
      <c r="C36" s="32">
        <f>C28*Parametre!F29</f>
        <v>0</v>
      </c>
      <c r="D36" s="32">
        <f>D28*Parametre!F29</f>
        <v>0</v>
      </c>
      <c r="E36" s="32">
        <f>E28*Parametre!F29</f>
        <v>9200</v>
      </c>
      <c r="F36" s="32">
        <f>(F28*Parametre!F29)</f>
        <v>-10948</v>
      </c>
      <c r="G36" s="32">
        <f>(G28*Parametre!F29)</f>
        <v>67029.36</v>
      </c>
      <c r="H36" s="32">
        <f>(H28*Parametre!F29)</f>
        <v>67029.36</v>
      </c>
      <c r="I36" s="32">
        <f>(I28*Parametre!F29)</f>
        <v>67029.36</v>
      </c>
      <c r="J36" s="32">
        <f>(J28*Parametre!F29)</f>
        <v>-10427.279999999999</v>
      </c>
      <c r="K36" s="32">
        <f>(K28*Parametre!F29)</f>
        <v>-291900.36</v>
      </c>
      <c r="L36" s="32">
        <f>(L28*Parametre!F29)</f>
        <v>-323103.07999999996</v>
      </c>
      <c r="M36" s="32">
        <f>(M28*Parametre!F29)</f>
        <v>-373606.48</v>
      </c>
      <c r="N36" s="32">
        <f>(N28*Parametre!F29)</f>
        <v>-373606.48</v>
      </c>
      <c r="O36" s="32">
        <f>(O28*Parametre!F29)</f>
        <v>-373606.48</v>
      </c>
      <c r="P36" s="32">
        <f>(P28*Parametre!F29)</f>
        <v>-373606.48</v>
      </c>
      <c r="Q36" s="32">
        <f>(Q28*Parametre!F29)</f>
        <v>-373606.48</v>
      </c>
      <c r="R36" s="32">
        <f>(R28*Parametre!F29)</f>
        <v>-373606.48</v>
      </c>
      <c r="S36" s="32">
        <f>(S28*Parametre!F29)</f>
        <v>-373606.48</v>
      </c>
      <c r="T36" s="32">
        <f>(T28*Parametre!F29)</f>
        <v>-373606.48</v>
      </c>
      <c r="U36" s="32">
        <f>(U28*Parametre!F29)</f>
        <v>-373606.48</v>
      </c>
      <c r="V36" s="32">
        <f>(V28*Parametre!F29)</f>
        <v>-373606.48</v>
      </c>
      <c r="W36" s="32">
        <f>(W28*Parametre!F29)</f>
        <v>-373606.48</v>
      </c>
      <c r="X36" s="32">
        <f>(X28*Parametre!F29)</f>
        <v>-373606.48</v>
      </c>
      <c r="Y36" s="32">
        <f>(Y28*Parametre!F29)</f>
        <v>-373606.48</v>
      </c>
      <c r="Z36" s="32">
        <f>(Z28*Parametre!F29)</f>
        <v>-373606.48</v>
      </c>
      <c r="AA36" s="32">
        <f>(AA28*Parametre!F29)</f>
        <v>-373606.48</v>
      </c>
      <c r="AB36" s="32">
        <f>(AB28*Parametre!F29)</f>
        <v>-373606.48</v>
      </c>
      <c r="AC36" s="32">
        <f>(AC28*Parametre!F29)</f>
        <v>-373606.48</v>
      </c>
      <c r="AD36" s="32">
        <f>(AD28*Parametre!F29)</f>
        <v>-373606.48</v>
      </c>
      <c r="AE36" s="32">
        <f>(AE28*Parametre!F29)</f>
        <v>-373606.48</v>
      </c>
      <c r="AF36" s="32">
        <f>(AF28*Parametre!F29)</f>
        <v>-373606.48</v>
      </c>
    </row>
    <row r="37" spans="1:32" x14ac:dyDescent="0.2">
      <c r="A37" s="7" t="s">
        <v>35</v>
      </c>
      <c r="B37" s="33">
        <f>SUM(C37:AF37)</f>
        <v>-4352469.4000000013</v>
      </c>
      <c r="C37" s="32">
        <f>C29*Parametre!F29</f>
        <v>0</v>
      </c>
      <c r="D37" s="32">
        <f>D29*Parametre!F29</f>
        <v>0</v>
      </c>
      <c r="E37" s="32">
        <f>E29*Parametre!F29</f>
        <v>4646</v>
      </c>
      <c r="F37" s="32">
        <f>F29*Parametre!F29</f>
        <v>-5529.2</v>
      </c>
      <c r="G37" s="32">
        <f>G29*Parametre!F29</f>
        <v>33850.479999999996</v>
      </c>
      <c r="H37" s="32">
        <f>H29*Parametre!F29</f>
        <v>33850.479999999996</v>
      </c>
      <c r="I37" s="32">
        <f>I29*Parametre!F29</f>
        <v>33850.479999999996</v>
      </c>
      <c r="J37" s="32">
        <f>J29*Parametre!F29</f>
        <v>-24743.399999999998</v>
      </c>
      <c r="K37" s="32">
        <f>K29*Parametre!F29</f>
        <v>-163224.56</v>
      </c>
      <c r="L37" s="32">
        <f>L29*Parametre!F29</f>
        <v>-178916.08</v>
      </c>
      <c r="M37" s="32">
        <f>M29*Parametre!F29</f>
        <v>-204312.68</v>
      </c>
      <c r="N37" s="32">
        <f>N29*Parametre!F29</f>
        <v>-204312.68</v>
      </c>
      <c r="O37" s="32">
        <f>O29*Parametre!F29</f>
        <v>-204312.68</v>
      </c>
      <c r="P37" s="32">
        <f>P29*Parametre!F29</f>
        <v>-204312.68</v>
      </c>
      <c r="Q37" s="32">
        <f>Q29*Parametre!F29</f>
        <v>-204312.68</v>
      </c>
      <c r="R37" s="32">
        <f>R29*Parametre!F29</f>
        <v>-204312.68</v>
      </c>
      <c r="S37" s="32">
        <f>S29*Parametre!F29</f>
        <v>-204312.68</v>
      </c>
      <c r="T37" s="32">
        <f>T29*Parametre!F29</f>
        <v>-204312.68</v>
      </c>
      <c r="U37" s="32">
        <f>U29*Parametre!F29</f>
        <v>-204312.68</v>
      </c>
      <c r="V37" s="32">
        <f>V29*Parametre!F29</f>
        <v>-204312.68</v>
      </c>
      <c r="W37" s="32">
        <f>W29*Parametre!F29</f>
        <v>-204312.68</v>
      </c>
      <c r="X37" s="32">
        <f>X29*Parametre!F29</f>
        <v>-204312.68</v>
      </c>
      <c r="Y37" s="32">
        <f>Y29*Parametre!F29</f>
        <v>-204312.68</v>
      </c>
      <c r="Z37" s="32">
        <f>Z29*Parametre!F29</f>
        <v>-204312.68</v>
      </c>
      <c r="AA37" s="32">
        <f>AA29*Parametre!F29</f>
        <v>-204312.68</v>
      </c>
      <c r="AB37" s="32">
        <f>AB29*Parametre!F29</f>
        <v>-204312.68</v>
      </c>
      <c r="AC37" s="32">
        <f>AC29*Parametre!F29</f>
        <v>-204312.68</v>
      </c>
      <c r="AD37" s="32">
        <f>AD29*Parametre!F29</f>
        <v>-204312.68</v>
      </c>
      <c r="AE37" s="32">
        <f>AE29*Parametre!F29</f>
        <v>-204312.68</v>
      </c>
      <c r="AF37" s="32">
        <f>AF29*Parametre!F29</f>
        <v>-204312.68</v>
      </c>
    </row>
    <row r="38" spans="1:32" x14ac:dyDescent="0.2">
      <c r="A38" s="7" t="s">
        <v>141</v>
      </c>
      <c r="B38" s="33">
        <f>SUM(C38:AF38)</f>
        <v>-218795811.42300004</v>
      </c>
      <c r="C38" s="32">
        <f xml:space="preserve"> -1*'Investičné náklady'!D52</f>
        <v>-22492876.26825</v>
      </c>
      <c r="D38" s="32">
        <f xml:space="preserve"> -1*'Investičné náklady'!E52</f>
        <v>-17281958.980499998</v>
      </c>
      <c r="E38" s="32">
        <f xml:space="preserve"> -1*'Investičné náklady'!F52</f>
        <v>-26274168.546</v>
      </c>
      <c r="F38" s="32">
        <f xml:space="preserve"> -1*'Investičné náklady'!G52</f>
        <v>-23230036.115249999</v>
      </c>
      <c r="G38" s="32">
        <f xml:space="preserve"> -1*'Investičné náklady'!H52</f>
        <v>-18842245.9245</v>
      </c>
      <c r="H38" s="32">
        <f xml:space="preserve"> -1*'Investičné náklady'!I52</f>
        <v>-13601969.26725</v>
      </c>
      <c r="I38" s="32">
        <f xml:space="preserve"> -1*'Investičné náklady'!J52</f>
        <v>-14249329.58925</v>
      </c>
      <c r="J38" s="32">
        <f xml:space="preserve"> -1*'Investičné náklady'!K52</f>
        <v>-13605048.551999999</v>
      </c>
      <c r="K38" s="32">
        <f xml:space="preserve"> -1*'Investičné náklady'!L52</f>
        <v>-18880186.482749999</v>
      </c>
      <c r="L38" s="32">
        <f xml:space="preserve"> -1*'Investičné náklady'!M52</f>
        <v>-11176766.85675</v>
      </c>
      <c r="M38" s="32">
        <f xml:space="preserve"> -1*'Investičné náklady'!N52</f>
        <v>0</v>
      </c>
      <c r="N38" s="32">
        <f xml:space="preserve"> -1*'Investičné náklady'!O52</f>
        <v>0</v>
      </c>
      <c r="O38" s="32">
        <f xml:space="preserve"> -1*'Investičné náklady'!P52</f>
        <v>-7407116.409</v>
      </c>
      <c r="P38" s="32">
        <f xml:space="preserve"> -1*'Investičné náklady'!Q52</f>
        <v>-4559145.7064999994</v>
      </c>
      <c r="Q38" s="32">
        <f xml:space="preserve"> -1*'Investičné náklady'!R52</f>
        <v>0</v>
      </c>
      <c r="R38" s="32">
        <f xml:space="preserve"> -1*'Investičné náklady'!S52</f>
        <v>-7242422.8372499989</v>
      </c>
      <c r="S38" s="32">
        <f xml:space="preserve"> -1*'Investičné náklady'!T52</f>
        <v>-3408246.2002499998</v>
      </c>
      <c r="T38" s="32">
        <f xml:space="preserve"> -1*'Investičné náklady'!U52</f>
        <v>-1492555.1084999999</v>
      </c>
      <c r="U38" s="32">
        <f xml:space="preserve"> -1*'Investičné náklady'!V52</f>
        <v>0</v>
      </c>
      <c r="V38" s="32">
        <f xml:space="preserve"> -1*'Investičné náklady'!W52</f>
        <v>-4588579.6499999994</v>
      </c>
      <c r="W38" s="32">
        <f xml:space="preserve"> -1*'Investičné náklady'!X52</f>
        <v>-4583215.5007499997</v>
      </c>
      <c r="X38" s="32">
        <f xml:space="preserve"> -1*'Investičné náklady'!Y52</f>
        <v>-5879943.4282499999</v>
      </c>
      <c r="Y38" s="32">
        <f xml:space="preserve"> -1*'Investičné náklady'!Z52</f>
        <v>0</v>
      </c>
      <c r="Z38" s="32">
        <f xml:space="preserve"> -1*'Investičné náklady'!AA52</f>
        <v>0</v>
      </c>
      <c r="AA38" s="32">
        <f xml:space="preserve"> -1*'Investičné náklady'!AB52</f>
        <v>0</v>
      </c>
      <c r="AB38" s="32">
        <f xml:space="preserve"> -1*'Investičné náklady'!AC52</f>
        <v>0</v>
      </c>
      <c r="AC38" s="32">
        <f xml:space="preserve"> -1*'Investičné náklady'!AD52</f>
        <v>0</v>
      </c>
      <c r="AD38" s="32">
        <f xml:space="preserve"> -1*'Investičné náklady'!AE52</f>
        <v>0</v>
      </c>
      <c r="AE38" s="32">
        <f xml:space="preserve"> -1*'Investičné náklady'!AF52</f>
        <v>0</v>
      </c>
      <c r="AF38" s="32">
        <f xml:space="preserve"> -1*'Investičné náklady'!AG52</f>
        <v>0</v>
      </c>
    </row>
    <row r="39" spans="1:32" x14ac:dyDescent="0.2">
      <c r="A39" s="7" t="s">
        <v>15</v>
      </c>
      <c r="B39" s="33">
        <f>SUM(C39:AF39)</f>
        <v>-256941405.55300003</v>
      </c>
      <c r="C39" s="32">
        <f>SUM(C35:C38)</f>
        <v>-22492876.26825</v>
      </c>
      <c r="D39" s="32">
        <f>SUM(D35:D38)</f>
        <v>-17281958.980499998</v>
      </c>
      <c r="E39" s="32">
        <f>SUM(E35:E38)</f>
        <v>-26260322.546</v>
      </c>
      <c r="F39" s="32">
        <f>SUM(F35:F38)</f>
        <v>-23815264.225249998</v>
      </c>
      <c r="G39" s="32">
        <f t="shared" ref="G39:AF39" si="13">SUM(G35:G38)</f>
        <v>-19310116.9945</v>
      </c>
      <c r="H39" s="32">
        <f t="shared" si="13"/>
        <v>-14069840.33725</v>
      </c>
      <c r="I39" s="32">
        <f t="shared" si="13"/>
        <v>-14717200.65925</v>
      </c>
      <c r="J39" s="32">
        <f t="shared" si="13"/>
        <v>-14208970.141999999</v>
      </c>
      <c r="K39" s="32">
        <f t="shared" si="13"/>
        <v>-19904062.312749997</v>
      </c>
      <c r="L39" s="32">
        <f t="shared" si="13"/>
        <v>-12749376.44675</v>
      </c>
      <c r="M39" s="32">
        <f t="shared" si="13"/>
        <v>-1648509.5899999999</v>
      </c>
      <c r="N39" s="32">
        <f t="shared" si="13"/>
        <v>-1648509.5899999999</v>
      </c>
      <c r="O39" s="32">
        <f t="shared" si="13"/>
        <v>-9055625.9989999998</v>
      </c>
      <c r="P39" s="32">
        <f t="shared" si="13"/>
        <v>-6207655.2964999992</v>
      </c>
      <c r="Q39" s="32">
        <f t="shared" si="13"/>
        <v>-1648509.5899999999</v>
      </c>
      <c r="R39" s="32">
        <f t="shared" si="13"/>
        <v>-8890932.4272499979</v>
      </c>
      <c r="S39" s="32">
        <f t="shared" si="13"/>
        <v>-5056755.7902499996</v>
      </c>
      <c r="T39" s="32">
        <f t="shared" si="13"/>
        <v>-3141064.6984999999</v>
      </c>
      <c r="U39" s="32">
        <f t="shared" si="13"/>
        <v>-1648509.5899999999</v>
      </c>
      <c r="V39" s="32">
        <f t="shared" si="13"/>
        <v>-6237089.2399999993</v>
      </c>
      <c r="W39" s="32">
        <f t="shared" si="13"/>
        <v>-6231725.0907499995</v>
      </c>
      <c r="X39" s="32">
        <f t="shared" si="13"/>
        <v>-7528453.0182499997</v>
      </c>
      <c r="Y39" s="32">
        <f t="shared" si="13"/>
        <v>-1648509.5899999999</v>
      </c>
      <c r="Z39" s="32">
        <f t="shared" si="13"/>
        <v>-1648509.5899999999</v>
      </c>
      <c r="AA39" s="32">
        <f t="shared" si="13"/>
        <v>-1648509.5899999999</v>
      </c>
      <c r="AB39" s="32">
        <f t="shared" si="13"/>
        <v>-1648509.5899999999</v>
      </c>
      <c r="AC39" s="32">
        <f t="shared" si="13"/>
        <v>-1648509.5899999999</v>
      </c>
      <c r="AD39" s="32">
        <f t="shared" si="13"/>
        <v>-1648509.5899999999</v>
      </c>
      <c r="AE39" s="32">
        <f t="shared" si="13"/>
        <v>-1648509.5899999999</v>
      </c>
      <c r="AF39" s="32">
        <f t="shared" si="13"/>
        <v>-1648509.5899999999</v>
      </c>
    </row>
    <row r="41" spans="1:32" x14ac:dyDescent="0.2">
      <c r="A41" s="1" t="s">
        <v>61</v>
      </c>
    </row>
    <row r="42" spans="1:32" x14ac:dyDescent="0.2">
      <c r="A42" s="24"/>
    </row>
    <row r="43" spans="1:32" x14ac:dyDescent="0.2">
      <c r="A43" s="24"/>
    </row>
    <row r="44" spans="1:32" x14ac:dyDescent="0.2">
      <c r="A44" s="24"/>
    </row>
    <row r="45" spans="1:32" x14ac:dyDescent="0.2">
      <c r="A45" s="24"/>
    </row>
    <row r="46" spans="1:32" x14ac:dyDescent="0.2">
      <c r="A46" s="24"/>
    </row>
    <row r="47" spans="1:32" x14ac:dyDescent="0.2">
      <c r="A47" s="24"/>
    </row>
    <row r="48" spans="1:32" x14ac:dyDescent="0.2">
      <c r="A48" s="24"/>
    </row>
    <row r="49" spans="1:1" x14ac:dyDescent="0.2">
      <c r="A49" s="24"/>
    </row>
    <row r="50" spans="1:1" x14ac:dyDescent="0.2">
      <c r="A50" s="24"/>
    </row>
  </sheetData>
  <phoneticPr fontId="14" type="noConversion"/>
  <pageMargins left="0.25" right="0.25" top="0.75" bottom="0.75" header="0.3" footer="0.3"/>
  <pageSetup paperSize="9" scale="26" orientation="landscape" r:id="rId1"/>
  <headerFooter>
    <oddHeader xml:space="preserve">&amp;CŽSR, dopravný uzol Bratislava - štúdia realizovateľnosti </oddHeader>
    <oddFooter xml:space="preserve">&amp;CŠtúdia realizovateľnosti -Prevádzka a údržba ŽI
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F31"/>
  <sheetViews>
    <sheetView zoomScale="85" zoomScaleNormal="85" zoomScalePageLayoutView="55" workbookViewId="0">
      <pane xSplit="1" topLeftCell="B1" activePane="topRight" state="frozen"/>
      <selection pane="topRight" activeCell="C3" sqref="C3"/>
    </sheetView>
  </sheetViews>
  <sheetFormatPr defaultColWidth="2.7109375" defaultRowHeight="14.25" x14ac:dyDescent="0.2"/>
  <cols>
    <col min="1" max="1" width="40.7109375" style="1" customWidth="1"/>
    <col min="2" max="32" width="15.7109375" style="30" customWidth="1"/>
    <col min="33" max="42" width="15.7109375" style="1" customWidth="1"/>
    <col min="43" max="16384" width="2.7109375" style="1"/>
  </cols>
  <sheetData>
    <row r="2" spans="1:32" ht="15.75" x14ac:dyDescent="0.25">
      <c r="A2" s="2" t="s">
        <v>36</v>
      </c>
    </row>
    <row r="3" spans="1:32" x14ac:dyDescent="0.2">
      <c r="A3" s="1" t="s">
        <v>0</v>
      </c>
    </row>
    <row r="4" spans="1:32" x14ac:dyDescent="0.2">
      <c r="A4" s="3" t="s">
        <v>1</v>
      </c>
    </row>
    <row r="5" spans="1:32" x14ac:dyDescent="0.2">
      <c r="A5" s="40" t="s">
        <v>486</v>
      </c>
    </row>
    <row r="6" spans="1:32" x14ac:dyDescent="0.2">
      <c r="A6" s="40"/>
    </row>
    <row r="7" spans="1:32" x14ac:dyDescent="0.2">
      <c r="A7" s="3"/>
    </row>
    <row r="8" spans="1:32" x14ac:dyDescent="0.2">
      <c r="A8" s="3"/>
    </row>
    <row r="9" spans="1:32" x14ac:dyDescent="0.2">
      <c r="A9" s="1" t="s">
        <v>37</v>
      </c>
      <c r="L9" s="1"/>
      <c r="X9" s="1"/>
    </row>
    <row r="10" spans="1:32" x14ac:dyDescent="0.2">
      <c r="A10" s="7" t="s">
        <v>32</v>
      </c>
      <c r="B10" s="17" t="s">
        <v>21</v>
      </c>
      <c r="C10" s="17">
        <f>Parametre!B12</f>
        <v>2022</v>
      </c>
      <c r="D10" s="17">
        <f>(C10+1)</f>
        <v>2023</v>
      </c>
      <c r="E10" s="17">
        <f t="shared" ref="E10:AF10" si="0">(D10+1)</f>
        <v>2024</v>
      </c>
      <c r="F10" s="17">
        <f t="shared" si="0"/>
        <v>2025</v>
      </c>
      <c r="G10" s="17">
        <f t="shared" si="0"/>
        <v>2026</v>
      </c>
      <c r="H10" s="17">
        <f t="shared" si="0"/>
        <v>2027</v>
      </c>
      <c r="I10" s="17">
        <f t="shared" si="0"/>
        <v>2028</v>
      </c>
      <c r="J10" s="17">
        <f t="shared" si="0"/>
        <v>2029</v>
      </c>
      <c r="K10" s="17">
        <f t="shared" si="0"/>
        <v>2030</v>
      </c>
      <c r="L10" s="17">
        <f t="shared" si="0"/>
        <v>2031</v>
      </c>
      <c r="M10" s="17">
        <f t="shared" si="0"/>
        <v>2032</v>
      </c>
      <c r="N10" s="17">
        <f t="shared" si="0"/>
        <v>2033</v>
      </c>
      <c r="O10" s="17">
        <f t="shared" si="0"/>
        <v>2034</v>
      </c>
      <c r="P10" s="17">
        <f t="shared" si="0"/>
        <v>2035</v>
      </c>
      <c r="Q10" s="17">
        <f t="shared" si="0"/>
        <v>2036</v>
      </c>
      <c r="R10" s="17">
        <f t="shared" si="0"/>
        <v>2037</v>
      </c>
      <c r="S10" s="17">
        <f t="shared" si="0"/>
        <v>2038</v>
      </c>
      <c r="T10" s="17">
        <f t="shared" si="0"/>
        <v>2039</v>
      </c>
      <c r="U10" s="17">
        <f t="shared" si="0"/>
        <v>2040</v>
      </c>
      <c r="V10" s="17">
        <f>(U10+1)</f>
        <v>2041</v>
      </c>
      <c r="W10" s="17">
        <f t="shared" si="0"/>
        <v>2042</v>
      </c>
      <c r="X10" s="17">
        <f t="shared" si="0"/>
        <v>2043</v>
      </c>
      <c r="Y10" s="17">
        <f t="shared" si="0"/>
        <v>2044</v>
      </c>
      <c r="Z10" s="17">
        <f t="shared" si="0"/>
        <v>2045</v>
      </c>
      <c r="AA10" s="17">
        <f t="shared" si="0"/>
        <v>2046</v>
      </c>
      <c r="AB10" s="17">
        <f t="shared" si="0"/>
        <v>2047</v>
      </c>
      <c r="AC10" s="17">
        <f t="shared" si="0"/>
        <v>2048</v>
      </c>
      <c r="AD10" s="17">
        <f t="shared" si="0"/>
        <v>2049</v>
      </c>
      <c r="AE10" s="17">
        <f t="shared" si="0"/>
        <v>2050</v>
      </c>
      <c r="AF10" s="17">
        <f t="shared" si="0"/>
        <v>2051</v>
      </c>
    </row>
    <row r="11" spans="1:32" x14ac:dyDescent="0.2">
      <c r="A11" s="7" t="s">
        <v>58</v>
      </c>
      <c r="B11" s="33">
        <f>SUM(C11:AF11)</f>
        <v>75083295.035304055</v>
      </c>
      <c r="C11" s="32">
        <f>Doprava!D10*'Vstupné dáta'!B30+Doprava!D11*'Vstupné dáta'!B31+Doprava!D12*'Vstupné dáta'!B32</f>
        <v>2344398.2859999998</v>
      </c>
      <c r="D11" s="32">
        <f>Doprava!E10*'Vstupné dáta'!B30+Doprava!E11*'Vstupné dáta'!B31+Doprava!E12*'Vstupné dáta'!B32</f>
        <v>2357215.6141249998</v>
      </c>
      <c r="E11" s="32">
        <f>Doprava!F10*'Vstupné dáta'!B30+Doprava!F11*'Vstupné dáta'!B31+Doprava!F12*'Vstupné dáta'!B32</f>
        <v>2388339.9337514997</v>
      </c>
      <c r="F11" s="32">
        <f>Doprava!G10*'Vstupné dáta'!B30+Doprava!G11*'Vstupné dáta'!B31+Doprava!G12*'Vstupné dáta'!B32</f>
        <v>2419340.6766284998</v>
      </c>
      <c r="G11" s="32">
        <f>Doprava!H10*'Vstupné dáta'!B30+Doprava!H11*'Vstupné dáta'!B31+Doprava!H12*'Vstupné dáta'!B32</f>
        <v>2419340.6766284998</v>
      </c>
      <c r="H11" s="32">
        <f>Doprava!I10*'Vstupné dáta'!B30+Doprava!I11*'Vstupné dáta'!B31+Doprava!I12*'Vstupné dáta'!B32</f>
        <v>2419340.6766284998</v>
      </c>
      <c r="I11" s="32">
        <f>Doprava!J10*'Vstupné dáta'!B30+Doprava!J11*'Vstupné dáta'!B31+Doprava!J12*'Vstupné dáta'!B32</f>
        <v>2419340.6766284998</v>
      </c>
      <c r="J11" s="32">
        <f>Doprava!K10*'Vstupné dáta'!B30+Doprava!K11*'Vstupné dáta'!B31+Doprava!K12*'Vstupné dáta'!B32</f>
        <v>2419340.6766284998</v>
      </c>
      <c r="K11" s="32">
        <f>Doprava!L10*'Vstupné dáta'!B30+Doprava!L11*'Vstupné dáta'!B31+Doprava!L12*'Vstupné dáta'!B32</f>
        <v>2540763.2766284999</v>
      </c>
      <c r="L11" s="32">
        <f>Doprava!M10*'Vstupné dáta'!B30+Doprava!M11*'Vstupné dáta'!B31+Doprava!M12*'Vstupné dáta'!B32</f>
        <v>2540763.2766284999</v>
      </c>
      <c r="M11" s="32">
        <f>Doprava!N10*'Vstupné dáta'!B30+Doprava!N11*'Vstupné dáta'!B31+Doprava!N12*'Vstupné dáta'!B32</f>
        <v>2540763.2766284999</v>
      </c>
      <c r="N11" s="32">
        <f>Doprava!O10*'Vstupné dáta'!B30+Doprava!O11*'Vstupné dáta'!B31+Doprava!O12*'Vstupné dáta'!B32</f>
        <v>2540763.2766284999</v>
      </c>
      <c r="O11" s="32">
        <f>Doprava!P10*'Vstupné dáta'!B30+Doprava!P11*'Vstupné dáta'!B31+Doprava!P12*'Vstupné dáta'!B32</f>
        <v>2540763.2766284999</v>
      </c>
      <c r="P11" s="32">
        <f>Doprava!Q10*'Vstupné dáta'!B30+Doprava!Q11*'Vstupné dáta'!B31+Doprava!Q12*'Vstupné dáta'!B32</f>
        <v>2540763.2766284999</v>
      </c>
      <c r="Q11" s="32">
        <f>Doprava!R10*'Vstupné dáta'!B30+Doprava!R11*'Vstupné dáta'!B31+Doprava!R12*'Vstupné dáta'!B32</f>
        <v>2540763.2766284999</v>
      </c>
      <c r="R11" s="32">
        <f>Doprava!S10*'Vstupné dáta'!B30+Doprava!S11*'Vstupné dáta'!B31+Doprava!S12*'Vstupné dáta'!B32</f>
        <v>2540763.2766284999</v>
      </c>
      <c r="S11" s="32">
        <f>Doprava!T10*'Vstupné dáta'!B30+Doprava!T11*'Vstupné dáta'!B31+Doprava!T12*'Vstupné dáta'!B32</f>
        <v>2540763.2766284999</v>
      </c>
      <c r="T11" s="32">
        <f>Doprava!U10*'Vstupné dáta'!B30+Doprava!U11*'Vstupné dáta'!B31+Doprava!U12*'Vstupné dáta'!B32</f>
        <v>2540763.2766284999</v>
      </c>
      <c r="U11" s="32">
        <f>Doprava!V10*'Vstupné dáta'!B30+Doprava!V11*'Vstupné dáta'!B31+Doprava!V12*'Vstupné dáta'!B32</f>
        <v>2540750.4210000001</v>
      </c>
      <c r="V11" s="32">
        <f>Doprava!W10*'Vstupné dáta'!B30+Doprava!W11*'Vstupné dáta'!B31+Doprava!W12*'Vstupné dáta'!B32</f>
        <v>2540750.4210000001</v>
      </c>
      <c r="W11" s="32">
        <f>Doprava!X10*'Vstupné dáta'!B30+Doprava!X11*'Vstupné dáta'!B31+Doprava!X12*'Vstupné dáta'!B32</f>
        <v>2540750.4210000001</v>
      </c>
      <c r="X11" s="32">
        <f>Doprava!Y10*'Vstupné dáta'!B30+Doprava!Y11*'Vstupné dáta'!B31+Doprava!Y12*'Vstupné dáta'!B32</f>
        <v>2540750.4210000001</v>
      </c>
      <c r="Y11" s="32">
        <f>Doprava!Z10*'Vstupné dáta'!B30+Doprava!Z11*'Vstupné dáta'!B31+Doprava!Z12*'Vstupné dáta'!B32</f>
        <v>2540750.4210000001</v>
      </c>
      <c r="Z11" s="32">
        <f>Doprava!AA10*'Vstupné dáta'!B30+Doprava!AA11*'Vstupné dáta'!B31+Doprava!AA12*'Vstupné dáta'!B32</f>
        <v>2540750.4210000001</v>
      </c>
      <c r="AA11" s="32">
        <f>Doprava!AB10*'Vstupné dáta'!B30+Doprava!AB11*'Vstupné dáta'!B31+Doprava!AB12*'Vstupné dáta'!B32</f>
        <v>2540750.4210000001</v>
      </c>
      <c r="AB11" s="32">
        <f>Doprava!AC10*'Vstupné dáta'!B30+Doprava!AC11*'Vstupné dáta'!B31+Doprava!AC12*'Vstupné dáta'!B32</f>
        <v>2540750.4210000001</v>
      </c>
      <c r="AC11" s="32">
        <f>Doprava!AD10*'Vstupné dáta'!B30+Doprava!AD11*'Vstupné dáta'!B31+Doprava!AD12*'Vstupné dáta'!B32</f>
        <v>2540750.4210000001</v>
      </c>
      <c r="AD11" s="32">
        <f>Doprava!AE10*'Vstupné dáta'!B30+Doprava!AE11*'Vstupné dáta'!B31+Doprava!AE12*'Vstupné dáta'!B32</f>
        <v>2540750.4210000001</v>
      </c>
      <c r="AE11" s="32">
        <f>Doprava!AF10*'Vstupné dáta'!B30+Doprava!AF11*'Vstupné dáta'!B31+Doprava!AF12*'Vstupné dáta'!B32</f>
        <v>2540750.4210000001</v>
      </c>
      <c r="AF11" s="32">
        <f>Doprava!AG10*'Vstupné dáta'!B30+Doprava!AG11*'Vstupné dáta'!B31+Doprava!AG12*'Vstupné dáta'!B32</f>
        <v>2540750.4210000001</v>
      </c>
    </row>
    <row r="12" spans="1:32" x14ac:dyDescent="0.2">
      <c r="A12" s="7" t="s">
        <v>60</v>
      </c>
      <c r="B12" s="33">
        <f>SUM(C12:AF12)</f>
        <v>155652641.66625407</v>
      </c>
      <c r="C12" s="32">
        <f>Doprava!D13*'Vstupné dáta'!B33+Doprava!D14*'Vstupné dáta'!B34</f>
        <v>3852987.7867246671</v>
      </c>
      <c r="D12" s="32">
        <f>Doprava!E13*'Vstupné dáta'!B33+Doprava!E14*'Vstupné dáta'!B34</f>
        <v>3951046.065761867</v>
      </c>
      <c r="E12" s="32">
        <f>Doprava!F13*'Vstupné dáta'!B33+Doprava!F14*'Vstupné dáta'!B34</f>
        <v>4049478.6130396677</v>
      </c>
      <c r="F12" s="32">
        <f>Doprava!G13*'Vstupné dáta'!B33+Doprava!G14*'Vstupné dáta'!B34</f>
        <v>4147536.8920768672</v>
      </c>
      <c r="G12" s="32">
        <f>Doprava!H13*'Vstupné dáta'!B33+Doprava!H14*'Vstupné dáta'!B34</f>
        <v>4245969.4393546674</v>
      </c>
      <c r="H12" s="32">
        <f>Doprava!I13*'Vstupné dáta'!B33+Doprava!I14*'Vstupné dáta'!B34</f>
        <v>4344401.9866324672</v>
      </c>
      <c r="I12" s="32">
        <f>Doprava!J13*'Vstupné dáta'!B33+Doprava!J14*'Vstupné dáta'!B34</f>
        <v>4442834.5339102671</v>
      </c>
      <c r="J12" s="32">
        <f>Doprava!K13*'Vstupné dáta'!B33+Doprava!K14*'Vstupné dáta'!B34</f>
        <v>4541267.0811880669</v>
      </c>
      <c r="K12" s="32">
        <f>Doprava!L13*'Vstupné dáta'!B33+Doprava!L14*'Vstupné dáta'!B34</f>
        <v>4639699.6284658676</v>
      </c>
      <c r="L12" s="32">
        <f>Doprava!M13*'Vstupné dáta'!B33+Doprava!M14*'Vstupné dáta'!B34</f>
        <v>4738132.1757436674</v>
      </c>
      <c r="M12" s="32">
        <f>Doprava!N13*'Vstupné dáta'!B33+Doprava!N14*'Vstupné dáta'!B34</f>
        <v>4836564.7230214672</v>
      </c>
      <c r="N12" s="32">
        <f>Doprava!O13*'Vstupné dáta'!B33+Doprava!O14*'Vstupné dáta'!B34</f>
        <v>4934997.270299267</v>
      </c>
      <c r="O12" s="32">
        <f>Doprava!P13*'Vstupné dáta'!B33+Doprava!P14*'Vstupné dáta'!B34</f>
        <v>5033429.8175770678</v>
      </c>
      <c r="P12" s="32">
        <f>Doprava!Q13*'Vstupné dáta'!B33+Doprava!Q14*'Vstupné dáta'!B34</f>
        <v>5131862.3648548676</v>
      </c>
      <c r="Q12" s="32">
        <f>Doprava!R13*'Vstupné dáta'!B33+Doprava!R14*'Vstupné dáta'!B34</f>
        <v>5230294.9121326674</v>
      </c>
      <c r="R12" s="32">
        <f>Doprava!S13*'Vstupné dáta'!B33+Doprava!S14*'Vstupné dáta'!B34</f>
        <v>5328727.4594104681</v>
      </c>
      <c r="S12" s="32">
        <f>Doprava!T13*'Vstupné dáta'!B33+Doprava!T14*'Vstupné dáta'!B34</f>
        <v>5427160.0066882679</v>
      </c>
      <c r="T12" s="32">
        <f>Doprava!U13*'Vstupné dáta'!B33+Doprava!U14*'Vstupné dáta'!B34</f>
        <v>5525592.5539660677</v>
      </c>
      <c r="U12" s="32">
        <f>Doprava!V13*'Vstupné dáta'!B33+Doprava!V14*'Vstupné dáta'!B34</f>
        <v>5623964.1367246667</v>
      </c>
      <c r="V12" s="32">
        <f>Doprava!W13*'Vstupné dáta'!B33+Doprava!W14*'Vstupné dáta'!B34</f>
        <v>5679100.7242846666</v>
      </c>
      <c r="W12" s="32">
        <f>Doprava!X13*'Vstupné dáta'!B33+Doprava!X14*'Vstupné dáta'!B34</f>
        <v>5734788.6777202664</v>
      </c>
      <c r="X12" s="32">
        <f>Doprava!Y13*'Vstupné dáta'!B33+Doprava!Y14*'Vstupné dáta'!B34</f>
        <v>5791033.5106902225</v>
      </c>
      <c r="Y12" s="32">
        <f>Doprava!Z13*'Vstupné dáta'!B33+Doprava!Z14*'Vstupné dáta'!B34</f>
        <v>5847840.7919898778</v>
      </c>
      <c r="Z12" s="32">
        <f>Doprava!AA13*'Vstupné dáta'!B33+Doprava!AA14*'Vstupné dáta'!B34</f>
        <v>5905216.14610253</v>
      </c>
      <c r="AA12" s="32">
        <f>Doprava!AB13*'Vstupné dáta'!B33+Doprava!AB14*'Vstupné dáta'!B34</f>
        <v>5963165.2537563089</v>
      </c>
      <c r="AB12" s="32">
        <f>Doprava!AC13*'Vstupné dáta'!B33+Doprava!AC14*'Vstupné dáta'!B34</f>
        <v>6021693.8524866253</v>
      </c>
      <c r="AC12" s="32">
        <f>Doprava!AD13*'Vstupné dáta'!B33+Doprava!AD14*'Vstupné dáta'!B34</f>
        <v>6080807.7372042453</v>
      </c>
      <c r="AD12" s="32">
        <f>Doprava!AE13*'Vstupné dáta'!B33+Doprava!AE14*'Vstupné dáta'!B34</f>
        <v>6140512.7607690413</v>
      </c>
      <c r="AE12" s="32">
        <f>Doprava!AF13*'Vstupné dáta'!B33+Doprava!AF14*'Vstupné dáta'!B34</f>
        <v>6200814.8345694849</v>
      </c>
      <c r="AF12" s="32">
        <f>Doprava!AG13*'Vstupné dáta'!B33+Doprava!AG14*'Vstupné dáta'!B34</f>
        <v>6261719.9291079333</v>
      </c>
    </row>
    <row r="13" spans="1:32" x14ac:dyDescent="0.2">
      <c r="A13" s="7" t="s">
        <v>59</v>
      </c>
      <c r="B13" s="33">
        <f>SUM(C13:AF13)</f>
        <v>230735936.70155805</v>
      </c>
      <c r="C13" s="32">
        <f>SUM(C11:C12)</f>
        <v>6197386.0727246664</v>
      </c>
      <c r="D13" s="32">
        <f t="shared" ref="D13:AF13" si="1">SUM(D11:D12)</f>
        <v>6308261.6798868664</v>
      </c>
      <c r="E13" s="32">
        <f t="shared" si="1"/>
        <v>6437818.5467911679</v>
      </c>
      <c r="F13" s="32">
        <f t="shared" si="1"/>
        <v>6566877.5687053669</v>
      </c>
      <c r="G13" s="32">
        <f t="shared" si="1"/>
        <v>6665310.1159831677</v>
      </c>
      <c r="H13" s="32">
        <f t="shared" si="1"/>
        <v>6763742.6632609665</v>
      </c>
      <c r="I13" s="32">
        <f t="shared" si="1"/>
        <v>6862175.2105387673</v>
      </c>
      <c r="J13" s="32">
        <f t="shared" si="1"/>
        <v>6960607.7578165662</v>
      </c>
      <c r="K13" s="32">
        <f t="shared" si="1"/>
        <v>7180462.9050943675</v>
      </c>
      <c r="L13" s="32">
        <f t="shared" si="1"/>
        <v>7278895.4523721673</v>
      </c>
      <c r="M13" s="32">
        <f t="shared" si="1"/>
        <v>7377327.9996499671</v>
      </c>
      <c r="N13" s="32">
        <f t="shared" si="1"/>
        <v>7475760.5469277669</v>
      </c>
      <c r="O13" s="32">
        <f t="shared" si="1"/>
        <v>7574193.0942055676</v>
      </c>
      <c r="P13" s="32">
        <f t="shared" si="1"/>
        <v>7672625.6414833674</v>
      </c>
      <c r="Q13" s="32">
        <f t="shared" si="1"/>
        <v>7771058.1887611672</v>
      </c>
      <c r="R13" s="32">
        <f t="shared" si="1"/>
        <v>7869490.736038968</v>
      </c>
      <c r="S13" s="32">
        <f t="shared" si="1"/>
        <v>7967923.2833167678</v>
      </c>
      <c r="T13" s="32">
        <f t="shared" si="1"/>
        <v>8066355.8305945676</v>
      </c>
      <c r="U13" s="32">
        <f t="shared" si="1"/>
        <v>8164714.5577246668</v>
      </c>
      <c r="V13" s="32">
        <f t="shared" si="1"/>
        <v>8219851.1452846667</v>
      </c>
      <c r="W13" s="32">
        <f t="shared" si="1"/>
        <v>8275539.0987202665</v>
      </c>
      <c r="X13" s="32">
        <f t="shared" si="1"/>
        <v>8331783.9316902226</v>
      </c>
      <c r="Y13" s="32">
        <f t="shared" si="1"/>
        <v>8388591.2129898779</v>
      </c>
      <c r="Z13" s="32">
        <f t="shared" si="1"/>
        <v>8445966.5671025291</v>
      </c>
      <c r="AA13" s="32">
        <f t="shared" si="1"/>
        <v>8503915.674756309</v>
      </c>
      <c r="AB13" s="32">
        <f t="shared" si="1"/>
        <v>8562444.2734866254</v>
      </c>
      <c r="AC13" s="32">
        <f t="shared" si="1"/>
        <v>8621558.1582042463</v>
      </c>
      <c r="AD13" s="32">
        <f t="shared" si="1"/>
        <v>8681263.1817690413</v>
      </c>
      <c r="AE13" s="32">
        <f t="shared" si="1"/>
        <v>8741565.2555694841</v>
      </c>
      <c r="AF13" s="32">
        <f t="shared" si="1"/>
        <v>8802470.3501079343</v>
      </c>
    </row>
    <row r="15" spans="1:32" x14ac:dyDescent="0.2">
      <c r="A15" s="1" t="s">
        <v>561</v>
      </c>
      <c r="L15" s="1"/>
      <c r="X15" s="1"/>
    </row>
    <row r="16" spans="1:32" x14ac:dyDescent="0.2">
      <c r="A16" s="7" t="s">
        <v>32</v>
      </c>
      <c r="B16" s="17" t="s">
        <v>21</v>
      </c>
      <c r="C16" s="17">
        <f>Parametre!B12</f>
        <v>2022</v>
      </c>
      <c r="D16" s="17">
        <f>(C16+1)</f>
        <v>2023</v>
      </c>
      <c r="E16" s="17">
        <f t="shared" ref="E16:U16" si="2">(D16+1)</f>
        <v>2024</v>
      </c>
      <c r="F16" s="17">
        <f t="shared" si="2"/>
        <v>2025</v>
      </c>
      <c r="G16" s="17">
        <f t="shared" si="2"/>
        <v>2026</v>
      </c>
      <c r="H16" s="17">
        <f t="shared" si="2"/>
        <v>2027</v>
      </c>
      <c r="I16" s="17">
        <f t="shared" si="2"/>
        <v>2028</v>
      </c>
      <c r="J16" s="17">
        <f t="shared" si="2"/>
        <v>2029</v>
      </c>
      <c r="K16" s="17">
        <f t="shared" si="2"/>
        <v>2030</v>
      </c>
      <c r="L16" s="17">
        <f t="shared" si="2"/>
        <v>2031</v>
      </c>
      <c r="M16" s="17">
        <f t="shared" si="2"/>
        <v>2032</v>
      </c>
      <c r="N16" s="17">
        <f t="shared" si="2"/>
        <v>2033</v>
      </c>
      <c r="O16" s="17">
        <f t="shared" si="2"/>
        <v>2034</v>
      </c>
      <c r="P16" s="17">
        <f t="shared" si="2"/>
        <v>2035</v>
      </c>
      <c r="Q16" s="17">
        <f t="shared" si="2"/>
        <v>2036</v>
      </c>
      <c r="R16" s="17">
        <f t="shared" si="2"/>
        <v>2037</v>
      </c>
      <c r="S16" s="17">
        <f t="shared" si="2"/>
        <v>2038</v>
      </c>
      <c r="T16" s="17">
        <f t="shared" si="2"/>
        <v>2039</v>
      </c>
      <c r="U16" s="17">
        <f t="shared" si="2"/>
        <v>2040</v>
      </c>
      <c r="V16" s="17">
        <f>(U16+1)</f>
        <v>2041</v>
      </c>
      <c r="W16" s="17">
        <f t="shared" ref="W16:AF16" si="3">(V16+1)</f>
        <v>2042</v>
      </c>
      <c r="X16" s="17">
        <f t="shared" si="3"/>
        <v>2043</v>
      </c>
      <c r="Y16" s="17">
        <f t="shared" si="3"/>
        <v>2044</v>
      </c>
      <c r="Z16" s="17">
        <f t="shared" si="3"/>
        <v>2045</v>
      </c>
      <c r="AA16" s="17">
        <f t="shared" si="3"/>
        <v>2046</v>
      </c>
      <c r="AB16" s="17">
        <f t="shared" si="3"/>
        <v>2047</v>
      </c>
      <c r="AC16" s="17">
        <f t="shared" si="3"/>
        <v>2048</v>
      </c>
      <c r="AD16" s="17">
        <f t="shared" si="3"/>
        <v>2049</v>
      </c>
      <c r="AE16" s="17">
        <f t="shared" si="3"/>
        <v>2050</v>
      </c>
      <c r="AF16" s="17">
        <f t="shared" si="3"/>
        <v>2051</v>
      </c>
    </row>
    <row r="17" spans="1:32" x14ac:dyDescent="0.2">
      <c r="A17" s="7" t="s">
        <v>58</v>
      </c>
      <c r="B17" s="33">
        <f>SUM(C17:AF17)</f>
        <v>78334257.035304055</v>
      </c>
      <c r="C17" s="32">
        <f>Doprava!D17*'Vstupné dáta'!B30+Doprava!D18*'Vstupné dáta'!B31+Doprava!D19*'Vstupné dáta'!B32</f>
        <v>2344398.2859999998</v>
      </c>
      <c r="D17" s="32">
        <f>Doprava!E17*'Vstupné dáta'!B30+Doprava!E18*'Vstupné dáta'!B31+Doprava!E19*'Vstupné dáta'!B32</f>
        <v>2357215.6141249998</v>
      </c>
      <c r="E17" s="32">
        <f>Doprava!F17*'Vstupné dáta'!B30+Doprava!F18*'Vstupné dáta'!B31+Doprava!F19*'Vstupné dáta'!B32</f>
        <v>2388339.9337514997</v>
      </c>
      <c r="F17" s="32">
        <f>Doprava!G17*'Vstupné dáta'!B30+Doprava!G18*'Vstupné dáta'!B31+Doprava!G19*'Vstupné dáta'!B32</f>
        <v>2419340.6766284998</v>
      </c>
      <c r="G17" s="32">
        <f>Doprava!H17*'Vstupné dáta'!B30+Doprava!H18*'Vstupné dáta'!B31+Doprava!H19*'Vstupné dáta'!B32</f>
        <v>2419340.6766284998</v>
      </c>
      <c r="H17" s="32">
        <f>Doprava!I17*'Vstupné dáta'!B30+Doprava!I18*'Vstupné dáta'!B31+Doprava!I19*'Vstupné dáta'!B32</f>
        <v>2419340.6766284998</v>
      </c>
      <c r="I17" s="32">
        <f>Doprava!J17*'Vstupné dáta'!B30+Doprava!J18*'Vstupné dáta'!B31+Doprava!J19*'Vstupné dáta'!B32</f>
        <v>2419340.6766284998</v>
      </c>
      <c r="J17" s="32">
        <f>Doprava!K17*'Vstupné dáta'!B30+Doprava!K18*'Vstupné dáta'!B31+Doprava!K19*'Vstupné dáta'!B32</f>
        <v>2419340.6766284998</v>
      </c>
      <c r="K17" s="32">
        <f>Doprava!L17*'Vstupné dáta'!B30+Doprava!L18*'Vstupné dáta'!B31+Doprava!L19*'Vstupné dáta'!B32</f>
        <v>2688534.2766284999</v>
      </c>
      <c r="L17" s="32">
        <f>Doprava!M17*'Vstupné dáta'!B30+Doprava!M18*'Vstupné dáta'!B31+Doprava!M19*'Vstupné dáta'!B32</f>
        <v>2688534.2766284999</v>
      </c>
      <c r="M17" s="32">
        <f>Doprava!N17*'Vstupné dáta'!B30+Doprava!N18*'Vstupné dáta'!B31+Doprava!N19*'Vstupné dáta'!B32</f>
        <v>2688534.2766284999</v>
      </c>
      <c r="N17" s="32">
        <f>Doprava!O17*'Vstupné dáta'!B30+Doprava!O18*'Vstupné dáta'!B31+Doprava!O19*'Vstupné dáta'!B32</f>
        <v>2688534.2766284999</v>
      </c>
      <c r="O17" s="32">
        <f>Doprava!P17*'Vstupné dáta'!B30+Doprava!P18*'Vstupné dáta'!B31+Doprava!P19*'Vstupné dáta'!B32</f>
        <v>2688534.2766284999</v>
      </c>
      <c r="P17" s="32">
        <f>Doprava!Q17*'Vstupné dáta'!B30+Doprava!Q18*'Vstupné dáta'!B31+Doprava!Q19*'Vstupné dáta'!B32</f>
        <v>2688534.2766284999</v>
      </c>
      <c r="Q17" s="32">
        <f>Doprava!R17*'Vstupné dáta'!B30+Doprava!R18*'Vstupné dáta'!B31+Doprava!R19*'Vstupné dáta'!B32</f>
        <v>2688534.2766284999</v>
      </c>
      <c r="R17" s="32">
        <f>Doprava!S17*'Vstupné dáta'!B30+Doprava!S18*'Vstupné dáta'!B31+Doprava!S19*'Vstupné dáta'!B32</f>
        <v>2688534.2766284999</v>
      </c>
      <c r="S17" s="32">
        <f>Doprava!T17*'Vstupné dáta'!B30+Doprava!T18*'Vstupné dáta'!B31+Doprava!T19*'Vstupné dáta'!B32</f>
        <v>2688534.2766284999</v>
      </c>
      <c r="T17" s="32">
        <f>Doprava!U17*'Vstupné dáta'!B30+Doprava!U18*'Vstupné dáta'!B31+Doprava!U19*'Vstupné dáta'!B32</f>
        <v>2688534.2766284999</v>
      </c>
      <c r="U17" s="32">
        <f>Doprava!V17*'Vstupné dáta'!B30+Doprava!V18*'Vstupné dáta'!B31+Doprava!V19*'Vstupné dáta'!B32</f>
        <v>2688521.4210000001</v>
      </c>
      <c r="V17" s="32">
        <f>Doprava!W17*'Vstupné dáta'!B30+Doprava!W18*'Vstupné dáta'!B31+Doprava!W19*'Vstupné dáta'!B32</f>
        <v>2688521.4210000001</v>
      </c>
      <c r="W17" s="32">
        <f>Doprava!X17*'Vstupné dáta'!B30+Doprava!X18*'Vstupné dáta'!B31+Doprava!X19*'Vstupné dáta'!B32</f>
        <v>2688521.4210000001</v>
      </c>
      <c r="X17" s="32">
        <f>Doprava!Y17*'Vstupné dáta'!B30+Doprava!Y18*'Vstupné dáta'!B31+Doprava!Y19*'Vstupné dáta'!B32</f>
        <v>2688521.4210000001</v>
      </c>
      <c r="Y17" s="32">
        <f>Doprava!Z17*'Vstupné dáta'!B30+Doprava!Z18*'Vstupné dáta'!B31+Doprava!Z19*'Vstupné dáta'!B32</f>
        <v>2688521.4210000001</v>
      </c>
      <c r="Z17" s="32">
        <f>Doprava!AA17*'Vstupné dáta'!B30+Doprava!AA18*'Vstupné dáta'!B31+Doprava!AA19*'Vstupné dáta'!B32</f>
        <v>2688521.4210000001</v>
      </c>
      <c r="AA17" s="32">
        <f>Doprava!AB17*'Vstupné dáta'!B30+Doprava!AB18*'Vstupné dáta'!B31+Doprava!AB19*'Vstupné dáta'!B32</f>
        <v>2688521.4210000001</v>
      </c>
      <c r="AB17" s="32">
        <f>Doprava!AC17*'Vstupné dáta'!B30+Doprava!AC18*'Vstupné dáta'!B31+Doprava!AC19*'Vstupné dáta'!B32</f>
        <v>2688521.4210000001</v>
      </c>
      <c r="AC17" s="32">
        <f>Doprava!AD17*'Vstupné dáta'!B30+Doprava!AD18*'Vstupné dáta'!B31+Doprava!AD19*'Vstupné dáta'!B32</f>
        <v>2688521.4210000001</v>
      </c>
      <c r="AD17" s="32">
        <f>Doprava!AE17*'Vstupné dáta'!B30+Doprava!AE18*'Vstupné dáta'!B31+Doprava!AE19*'Vstupné dáta'!B32</f>
        <v>2688521.4210000001</v>
      </c>
      <c r="AE17" s="32">
        <f>Doprava!AF17*'Vstupné dáta'!B30+Doprava!AF18*'Vstupné dáta'!B31+Doprava!AF19*'Vstupné dáta'!B32</f>
        <v>2688521.4210000001</v>
      </c>
      <c r="AF17" s="32">
        <f>Doprava!AG17*'Vstupné dáta'!B30+Doprava!AG18*'Vstupné dáta'!B31+Doprava!AG19*'Vstupné dáta'!B32</f>
        <v>2688521.4210000001</v>
      </c>
    </row>
    <row r="18" spans="1:32" x14ac:dyDescent="0.2">
      <c r="A18" s="7" t="s">
        <v>60</v>
      </c>
      <c r="B18" s="33">
        <f>SUM(C18:AF18)</f>
        <v>146032239.55402654</v>
      </c>
      <c r="C18" s="32">
        <f>Doprava!D21*'Vstupné dáta'!B33+Doprava!D22*'Vstupné dáta'!B34</f>
        <v>3852987.7867246671</v>
      </c>
      <c r="D18" s="32">
        <f>Doprava!E21*'Vstupné dáta'!B33+Doprava!E22*'Vstupné dáta'!B34</f>
        <v>3951046.065761867</v>
      </c>
      <c r="E18" s="32">
        <f>Doprava!F21*'Vstupné dáta'!B33+Doprava!F22*'Vstupné dáta'!B34</f>
        <v>4049478.6130396677</v>
      </c>
      <c r="F18" s="32">
        <f>Doprava!G21*'Vstupné dáta'!B33+Doprava!G22*'Vstupné dáta'!B34</f>
        <v>4147536.8920768672</v>
      </c>
      <c r="G18" s="32">
        <f>Doprava!H21*'Vstupné dáta'!B33+Doprava!H22*'Vstupné dáta'!B34</f>
        <v>3955095.8550910689</v>
      </c>
      <c r="H18" s="32">
        <f>Doprava!I21*'Vstupné dáta'!B33+Doprava!I22*'Vstupné dáta'!B34</f>
        <v>4046605.3478293829</v>
      </c>
      <c r="I18" s="32">
        <f>Doprava!J21*'Vstupné dáta'!B33+Doprava!J22*'Vstupné dáta'!B34</f>
        <v>4138114.8405676959</v>
      </c>
      <c r="J18" s="32">
        <f>Doprava!K21*'Vstupné dáta'!B33+Doprava!K22*'Vstupné dáta'!B34</f>
        <v>4229624.3333060099</v>
      </c>
      <c r="K18" s="32">
        <f>Doprava!L21*'Vstupné dáta'!B33+Doprava!L22*'Vstupné dáta'!B34</f>
        <v>4321133.8260443229</v>
      </c>
      <c r="L18" s="32">
        <f>Doprava!M21*'Vstupné dáta'!B33+Doprava!M22*'Vstupné dáta'!B34</f>
        <v>4412643.3187826369</v>
      </c>
      <c r="M18" s="32">
        <f>Doprava!N21*'Vstupné dáta'!B33+Doprava!N22*'Vstupné dáta'!B34</f>
        <v>4504152.8115209499</v>
      </c>
      <c r="N18" s="32">
        <f>Doprava!O21*'Vstupné dáta'!B33+Doprava!O22*'Vstupné dáta'!B34</f>
        <v>4595662.3042592639</v>
      </c>
      <c r="O18" s="32">
        <f>Doprava!P21*'Vstupné dáta'!B33+Doprava!P22*'Vstupné dáta'!B34</f>
        <v>4687171.796997577</v>
      </c>
      <c r="P18" s="32">
        <f>Doprava!Q21*'Vstupné dáta'!B33+Doprava!Q22*'Vstupné dáta'!B34</f>
        <v>4778681.2897358909</v>
      </c>
      <c r="Q18" s="32">
        <f>Doprava!R21*'Vstupné dáta'!B33+Doprava!R22*'Vstupné dáta'!B34</f>
        <v>4870190.7824742049</v>
      </c>
      <c r="R18" s="32">
        <f>Doprava!S21*'Vstupné dáta'!B33+Doprava!S22*'Vstupné dáta'!B34</f>
        <v>4961700.2752125179</v>
      </c>
      <c r="S18" s="32">
        <f>Doprava!T21*'Vstupné dáta'!B33+Doprava!T22*'Vstupné dáta'!B34</f>
        <v>5053209.7679508319</v>
      </c>
      <c r="T18" s="32">
        <f>Doprava!U21*'Vstupné dáta'!B33+Doprava!U22*'Vstupné dáta'!B34</f>
        <v>5144719.260689145</v>
      </c>
      <c r="U18" s="32">
        <f>Doprava!V21*'Vstupné dáta'!B33+Doprava!V22*'Vstupné dáta'!B34</f>
        <v>5236172.0767246662</v>
      </c>
      <c r="V18" s="32">
        <f>Doprava!W21*'Vstupné dáta'!B33+Doprava!W22*'Vstupné dáta'!B34</f>
        <v>5287430.7436846662</v>
      </c>
      <c r="W18" s="32">
        <f>Doprava!X21*'Vstupné dáta'!B33+Doprava!X22*'Vstupné dáta'!B34</f>
        <v>5339201.9973142659</v>
      </c>
      <c r="X18" s="32">
        <f>Doprava!Y21*'Vstupné dáta'!B33+Doprava!Y22*'Vstupné dáta'!B34</f>
        <v>5391490.9634801624</v>
      </c>
      <c r="Y18" s="32">
        <f>Doprava!Z21*'Vstupné dáta'!B33+Doprava!Z22*'Vstupné dáta'!B34</f>
        <v>5444302.8193077175</v>
      </c>
      <c r="Z18" s="32">
        <f>Doprava!AA21*'Vstupné dáta'!B33+Doprava!AA22*'Vstupné dáta'!B34</f>
        <v>5497642.7936935481</v>
      </c>
      <c r="AA18" s="32">
        <f>Doprava!AB21*'Vstupné dáta'!B33+Doprava!AB22*'Vstupné dáta'!B34</f>
        <v>5551516.1678232364</v>
      </c>
      <c r="AB18" s="32">
        <f>Doprava!AC21*'Vstupné dáta'!B33+Doprava!AC22*'Vstupné dáta'!B34</f>
        <v>5605928.2756942222</v>
      </c>
      <c r="AC18" s="32">
        <f>Doprava!AD21*'Vstupné dáta'!B33+Doprava!AD22*'Vstupné dáta'!B34</f>
        <v>5660884.504643918</v>
      </c>
      <c r="AD18" s="32">
        <f>Doprava!AE21*'Vstupné dáta'!B33+Doprava!AE22*'Vstupné dáta'!B34</f>
        <v>5716390.2958831107</v>
      </c>
      <c r="AE18" s="32">
        <f>Doprava!AF21*'Vstupné dáta'!B33+Doprava!AF22*'Vstupné dáta'!B34</f>
        <v>5772451.145034695</v>
      </c>
      <c r="AF18" s="32">
        <f>Doprava!AG21*'Vstupné dáta'!B33+Doprava!AG22*'Vstupné dáta'!B34</f>
        <v>5829072.602677796</v>
      </c>
    </row>
    <row r="19" spans="1:32" x14ac:dyDescent="0.2">
      <c r="A19" s="7" t="s">
        <v>158</v>
      </c>
      <c r="B19" s="33">
        <f>SUM(C19:AF19)</f>
        <v>0</v>
      </c>
      <c r="C19" s="32"/>
      <c r="D19" s="32"/>
      <c r="E19" s="32"/>
      <c r="F19" s="32"/>
      <c r="G19" s="32"/>
      <c r="H19" s="32">
        <v>0</v>
      </c>
      <c r="I19" s="32"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x14ac:dyDescent="0.2">
      <c r="A20" s="7" t="s">
        <v>157</v>
      </c>
      <c r="B20" s="33">
        <f>SUM(C20:AF20)</f>
        <v>224366496.58933055</v>
      </c>
      <c r="C20" s="32">
        <f>SUM(C17:C19)</f>
        <v>6197386.0727246664</v>
      </c>
      <c r="D20" s="32">
        <f t="shared" ref="D20:AF20" si="4">SUM(D17:D19)</f>
        <v>6308261.6798868664</v>
      </c>
      <c r="E20" s="32">
        <f t="shared" si="4"/>
        <v>6437818.5467911679</v>
      </c>
      <c r="F20" s="32">
        <f t="shared" si="4"/>
        <v>6566877.5687053669</v>
      </c>
      <c r="G20" s="32">
        <f t="shared" si="4"/>
        <v>6374436.5317195691</v>
      </c>
      <c r="H20" s="32">
        <f t="shared" si="4"/>
        <v>6465946.0244578831</v>
      </c>
      <c r="I20" s="32">
        <f t="shared" si="4"/>
        <v>6557455.5171961952</v>
      </c>
      <c r="J20" s="32">
        <f t="shared" si="4"/>
        <v>6648965.0099345092</v>
      </c>
      <c r="K20" s="32">
        <f t="shared" si="4"/>
        <v>7009668.1026728228</v>
      </c>
      <c r="L20" s="32">
        <f t="shared" si="4"/>
        <v>7101177.5954111367</v>
      </c>
      <c r="M20" s="32">
        <f t="shared" si="4"/>
        <v>7192687.0881494498</v>
      </c>
      <c r="N20" s="32">
        <f t="shared" si="4"/>
        <v>7284196.5808877638</v>
      </c>
      <c r="O20" s="32">
        <f t="shared" si="4"/>
        <v>7375706.0736260768</v>
      </c>
      <c r="P20" s="32">
        <f t="shared" si="4"/>
        <v>7467215.5663643908</v>
      </c>
      <c r="Q20" s="32">
        <f t="shared" si="4"/>
        <v>7558725.0591027047</v>
      </c>
      <c r="R20" s="32">
        <f t="shared" si="4"/>
        <v>7650234.5518410178</v>
      </c>
      <c r="S20" s="32">
        <f t="shared" si="4"/>
        <v>7741744.0445793318</v>
      </c>
      <c r="T20" s="32">
        <f t="shared" si="4"/>
        <v>7833253.5373176448</v>
      </c>
      <c r="U20" s="32">
        <f t="shared" si="4"/>
        <v>7924693.4977246663</v>
      </c>
      <c r="V20" s="32">
        <f t="shared" si="4"/>
        <v>7975952.1646846663</v>
      </c>
      <c r="W20" s="32">
        <f t="shared" si="4"/>
        <v>8027723.418314266</v>
      </c>
      <c r="X20" s="32">
        <f t="shared" si="4"/>
        <v>8080012.3844801625</v>
      </c>
      <c r="Y20" s="32">
        <f t="shared" si="4"/>
        <v>8132824.2403077176</v>
      </c>
      <c r="Z20" s="32">
        <f t="shared" si="4"/>
        <v>8186164.2146935482</v>
      </c>
      <c r="AA20" s="32">
        <f t="shared" si="4"/>
        <v>8240037.5888232365</v>
      </c>
      <c r="AB20" s="32">
        <f t="shared" si="4"/>
        <v>8294449.6966942223</v>
      </c>
      <c r="AC20" s="32">
        <f t="shared" si="4"/>
        <v>8349405.9256439181</v>
      </c>
      <c r="AD20" s="32">
        <f t="shared" si="4"/>
        <v>8404911.7168831117</v>
      </c>
      <c r="AE20" s="32">
        <f t="shared" si="4"/>
        <v>8460972.5660346951</v>
      </c>
      <c r="AF20" s="32">
        <f t="shared" si="4"/>
        <v>8517594.0236777961</v>
      </c>
    </row>
    <row r="21" spans="1:32" x14ac:dyDescent="0.2">
      <c r="A21" s="11"/>
      <c r="B21" s="35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</row>
    <row r="22" spans="1:32" x14ac:dyDescent="0.2">
      <c r="A22" s="1" t="s">
        <v>125</v>
      </c>
      <c r="L22" s="1"/>
      <c r="X22" s="1"/>
    </row>
    <row r="23" spans="1:32" x14ac:dyDescent="0.2">
      <c r="A23" s="7" t="s">
        <v>32</v>
      </c>
      <c r="B23" s="17" t="s">
        <v>21</v>
      </c>
      <c r="C23" s="17">
        <f>Parametre!B12</f>
        <v>2022</v>
      </c>
      <c r="D23" s="17">
        <f>(C23+1)</f>
        <v>2023</v>
      </c>
      <c r="E23" s="17">
        <f t="shared" ref="E23:U23" si="5">(D23+1)</f>
        <v>2024</v>
      </c>
      <c r="F23" s="17">
        <f t="shared" si="5"/>
        <v>2025</v>
      </c>
      <c r="G23" s="17">
        <f t="shared" si="5"/>
        <v>2026</v>
      </c>
      <c r="H23" s="17">
        <f t="shared" si="5"/>
        <v>2027</v>
      </c>
      <c r="I23" s="17">
        <f t="shared" si="5"/>
        <v>2028</v>
      </c>
      <c r="J23" s="17">
        <f t="shared" si="5"/>
        <v>2029</v>
      </c>
      <c r="K23" s="17">
        <f t="shared" si="5"/>
        <v>2030</v>
      </c>
      <c r="L23" s="17">
        <f t="shared" si="5"/>
        <v>2031</v>
      </c>
      <c r="M23" s="17">
        <f t="shared" si="5"/>
        <v>2032</v>
      </c>
      <c r="N23" s="17">
        <f t="shared" si="5"/>
        <v>2033</v>
      </c>
      <c r="O23" s="17">
        <f t="shared" si="5"/>
        <v>2034</v>
      </c>
      <c r="P23" s="17">
        <f t="shared" si="5"/>
        <v>2035</v>
      </c>
      <c r="Q23" s="17">
        <f t="shared" si="5"/>
        <v>2036</v>
      </c>
      <c r="R23" s="17">
        <f t="shared" si="5"/>
        <v>2037</v>
      </c>
      <c r="S23" s="17">
        <f t="shared" si="5"/>
        <v>2038</v>
      </c>
      <c r="T23" s="17">
        <f t="shared" si="5"/>
        <v>2039</v>
      </c>
      <c r="U23" s="17">
        <f t="shared" si="5"/>
        <v>2040</v>
      </c>
      <c r="V23" s="17">
        <f>(U23+1)</f>
        <v>2041</v>
      </c>
      <c r="W23" s="17">
        <f t="shared" ref="W23:AF23" si="6">(V23+1)</f>
        <v>2042</v>
      </c>
      <c r="X23" s="17">
        <f t="shared" si="6"/>
        <v>2043</v>
      </c>
      <c r="Y23" s="17">
        <f t="shared" si="6"/>
        <v>2044</v>
      </c>
      <c r="Z23" s="17">
        <f t="shared" si="6"/>
        <v>2045</v>
      </c>
      <c r="AA23" s="17">
        <f t="shared" si="6"/>
        <v>2046</v>
      </c>
      <c r="AB23" s="17">
        <f t="shared" si="6"/>
        <v>2047</v>
      </c>
      <c r="AC23" s="17">
        <f t="shared" si="6"/>
        <v>2048</v>
      </c>
      <c r="AD23" s="17">
        <f t="shared" si="6"/>
        <v>2049</v>
      </c>
      <c r="AE23" s="17">
        <f t="shared" si="6"/>
        <v>2050</v>
      </c>
      <c r="AF23" s="17">
        <f t="shared" si="6"/>
        <v>2051</v>
      </c>
    </row>
    <row r="24" spans="1:32" x14ac:dyDescent="0.2">
      <c r="A24" s="7" t="s">
        <v>58</v>
      </c>
      <c r="B24" s="33">
        <f>SUM(C24:AF24)</f>
        <v>3250962</v>
      </c>
      <c r="C24" s="33">
        <f t="shared" ref="C24:AF24" si="7">SUM(C17-C11)</f>
        <v>0</v>
      </c>
      <c r="D24" s="33">
        <f t="shared" si="7"/>
        <v>0</v>
      </c>
      <c r="E24" s="33">
        <f t="shared" si="7"/>
        <v>0</v>
      </c>
      <c r="F24" s="33">
        <f t="shared" si="7"/>
        <v>0</v>
      </c>
      <c r="G24" s="33">
        <f t="shared" si="7"/>
        <v>0</v>
      </c>
      <c r="H24" s="33">
        <f t="shared" si="7"/>
        <v>0</v>
      </c>
      <c r="I24" s="33">
        <f t="shared" si="7"/>
        <v>0</v>
      </c>
      <c r="J24" s="33">
        <f t="shared" si="7"/>
        <v>0</v>
      </c>
      <c r="K24" s="33">
        <f t="shared" si="7"/>
        <v>147771</v>
      </c>
      <c r="L24" s="33">
        <f t="shared" si="7"/>
        <v>147771</v>
      </c>
      <c r="M24" s="33">
        <f t="shared" si="7"/>
        <v>147771</v>
      </c>
      <c r="N24" s="33">
        <f t="shared" si="7"/>
        <v>147771</v>
      </c>
      <c r="O24" s="33">
        <f t="shared" si="7"/>
        <v>147771</v>
      </c>
      <c r="P24" s="33">
        <f t="shared" si="7"/>
        <v>147771</v>
      </c>
      <c r="Q24" s="33">
        <f t="shared" si="7"/>
        <v>147771</v>
      </c>
      <c r="R24" s="33">
        <f t="shared" si="7"/>
        <v>147771</v>
      </c>
      <c r="S24" s="33">
        <f t="shared" si="7"/>
        <v>147771</v>
      </c>
      <c r="T24" s="33">
        <f t="shared" si="7"/>
        <v>147771</v>
      </c>
      <c r="U24" s="33">
        <f t="shared" si="7"/>
        <v>147771</v>
      </c>
      <c r="V24" s="33">
        <f t="shared" si="7"/>
        <v>147771</v>
      </c>
      <c r="W24" s="33">
        <f t="shared" si="7"/>
        <v>147771</v>
      </c>
      <c r="X24" s="33">
        <f t="shared" si="7"/>
        <v>147771</v>
      </c>
      <c r="Y24" s="33">
        <f t="shared" si="7"/>
        <v>147771</v>
      </c>
      <c r="Z24" s="33">
        <f t="shared" si="7"/>
        <v>147771</v>
      </c>
      <c r="AA24" s="33">
        <f t="shared" si="7"/>
        <v>147771</v>
      </c>
      <c r="AB24" s="33">
        <f t="shared" si="7"/>
        <v>147771</v>
      </c>
      <c r="AC24" s="33">
        <f t="shared" si="7"/>
        <v>147771</v>
      </c>
      <c r="AD24" s="33">
        <f t="shared" si="7"/>
        <v>147771</v>
      </c>
      <c r="AE24" s="33">
        <f t="shared" si="7"/>
        <v>147771</v>
      </c>
      <c r="AF24" s="33">
        <f t="shared" si="7"/>
        <v>147771</v>
      </c>
    </row>
    <row r="25" spans="1:32" x14ac:dyDescent="0.2">
      <c r="A25" s="7" t="s">
        <v>60</v>
      </c>
      <c r="B25" s="33">
        <f>SUM(C25:AF25)</f>
        <v>-9620402.1122275107</v>
      </c>
      <c r="C25" s="33">
        <f t="shared" ref="C25:AF25" si="8">SUM(C18-C12)</f>
        <v>0</v>
      </c>
      <c r="D25" s="33">
        <f t="shared" si="8"/>
        <v>0</v>
      </c>
      <c r="E25" s="33">
        <f t="shared" si="8"/>
        <v>0</v>
      </c>
      <c r="F25" s="33">
        <f t="shared" si="8"/>
        <v>0</v>
      </c>
      <c r="G25" s="33">
        <f t="shared" si="8"/>
        <v>-290873.58426359855</v>
      </c>
      <c r="H25" s="33">
        <f t="shared" si="8"/>
        <v>-297796.63880308438</v>
      </c>
      <c r="I25" s="33">
        <f t="shared" si="8"/>
        <v>-304719.69334257115</v>
      </c>
      <c r="J25" s="33">
        <f t="shared" si="8"/>
        <v>-311642.74788205698</v>
      </c>
      <c r="K25" s="33">
        <f t="shared" si="8"/>
        <v>-318565.80242154468</v>
      </c>
      <c r="L25" s="33">
        <f t="shared" si="8"/>
        <v>-325488.85696103051</v>
      </c>
      <c r="M25" s="33">
        <f t="shared" si="8"/>
        <v>-332411.91150051728</v>
      </c>
      <c r="N25" s="33">
        <f t="shared" si="8"/>
        <v>-339334.96604000311</v>
      </c>
      <c r="O25" s="33">
        <f t="shared" si="8"/>
        <v>-346258.02057949081</v>
      </c>
      <c r="P25" s="33">
        <f t="shared" si="8"/>
        <v>-353181.07511897665</v>
      </c>
      <c r="Q25" s="33">
        <f t="shared" si="8"/>
        <v>-360104.12965846248</v>
      </c>
      <c r="R25" s="33">
        <f t="shared" si="8"/>
        <v>-367027.18419795018</v>
      </c>
      <c r="S25" s="33">
        <f t="shared" si="8"/>
        <v>-373950.23873743601</v>
      </c>
      <c r="T25" s="33">
        <f t="shared" si="8"/>
        <v>-380873.29327692278</v>
      </c>
      <c r="U25" s="33">
        <f t="shared" si="8"/>
        <v>-387792.06000000052</v>
      </c>
      <c r="V25" s="33">
        <f t="shared" si="8"/>
        <v>-391669.98060000036</v>
      </c>
      <c r="W25" s="33">
        <f t="shared" si="8"/>
        <v>-395586.68040600047</v>
      </c>
      <c r="X25" s="33">
        <f t="shared" si="8"/>
        <v>-399542.54721006006</v>
      </c>
      <c r="Y25" s="33">
        <f t="shared" si="8"/>
        <v>-403537.97268216033</v>
      </c>
      <c r="Z25" s="33">
        <f t="shared" si="8"/>
        <v>-407573.35240898188</v>
      </c>
      <c r="AA25" s="33">
        <f t="shared" si="8"/>
        <v>-411649.08593307249</v>
      </c>
      <c r="AB25" s="33">
        <f t="shared" si="8"/>
        <v>-415765.57679240312</v>
      </c>
      <c r="AC25" s="33">
        <f t="shared" si="8"/>
        <v>-419923.23256032728</v>
      </c>
      <c r="AD25" s="33">
        <f t="shared" si="8"/>
        <v>-424122.46488593053</v>
      </c>
      <c r="AE25" s="33">
        <f t="shared" si="8"/>
        <v>-428363.68953478988</v>
      </c>
      <c r="AF25" s="33">
        <f t="shared" si="8"/>
        <v>-432647.32643013727</v>
      </c>
    </row>
    <row r="26" spans="1:32" x14ac:dyDescent="0.2">
      <c r="A26" s="7" t="s">
        <v>158</v>
      </c>
      <c r="B26" s="33">
        <f>SUM(C26:AF26)</f>
        <v>0</v>
      </c>
      <c r="C26" s="33">
        <f>C19</f>
        <v>0</v>
      </c>
      <c r="D26" s="33">
        <f t="shared" ref="D26:AF26" si="9">D19</f>
        <v>0</v>
      </c>
      <c r="E26" s="33">
        <f t="shared" si="9"/>
        <v>0</v>
      </c>
      <c r="F26" s="33">
        <f t="shared" si="9"/>
        <v>0</v>
      </c>
      <c r="G26" s="33">
        <f t="shared" si="9"/>
        <v>0</v>
      </c>
      <c r="H26" s="33">
        <f t="shared" si="9"/>
        <v>0</v>
      </c>
      <c r="I26" s="33">
        <f t="shared" si="9"/>
        <v>0</v>
      </c>
      <c r="J26" s="33">
        <f t="shared" si="9"/>
        <v>0</v>
      </c>
      <c r="K26" s="33">
        <f t="shared" si="9"/>
        <v>0</v>
      </c>
      <c r="L26" s="33">
        <f t="shared" si="9"/>
        <v>0</v>
      </c>
      <c r="M26" s="33">
        <f t="shared" si="9"/>
        <v>0</v>
      </c>
      <c r="N26" s="33">
        <f t="shared" si="9"/>
        <v>0</v>
      </c>
      <c r="O26" s="33">
        <f t="shared" si="9"/>
        <v>0</v>
      </c>
      <c r="P26" s="33">
        <f t="shared" si="9"/>
        <v>0</v>
      </c>
      <c r="Q26" s="33">
        <f t="shared" si="9"/>
        <v>0</v>
      </c>
      <c r="R26" s="33">
        <f t="shared" si="9"/>
        <v>0</v>
      </c>
      <c r="S26" s="33">
        <f t="shared" si="9"/>
        <v>0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si="9"/>
        <v>0</v>
      </c>
      <c r="AA26" s="33">
        <f t="shared" si="9"/>
        <v>0</v>
      </c>
      <c r="AB26" s="33">
        <f t="shared" si="9"/>
        <v>0</v>
      </c>
      <c r="AC26" s="33">
        <f t="shared" si="9"/>
        <v>0</v>
      </c>
      <c r="AD26" s="33">
        <f t="shared" si="9"/>
        <v>0</v>
      </c>
      <c r="AE26" s="33">
        <f t="shared" si="9"/>
        <v>0</v>
      </c>
      <c r="AF26" s="33">
        <f t="shared" si="9"/>
        <v>0</v>
      </c>
    </row>
    <row r="27" spans="1:32" x14ac:dyDescent="0.2">
      <c r="A27" s="7" t="s">
        <v>157</v>
      </c>
      <c r="B27" s="33">
        <f>SUM(B24:B26)</f>
        <v>-6369440.1122275107</v>
      </c>
      <c r="C27" s="33">
        <f>SUM(C24:C26)</f>
        <v>0</v>
      </c>
      <c r="D27" s="33">
        <f t="shared" ref="D27:AF27" si="10">SUM(D24:D26)</f>
        <v>0</v>
      </c>
      <c r="E27" s="33">
        <f t="shared" si="10"/>
        <v>0</v>
      </c>
      <c r="F27" s="33">
        <f t="shared" si="10"/>
        <v>0</v>
      </c>
      <c r="G27" s="33">
        <f t="shared" si="10"/>
        <v>-290873.58426359855</v>
      </c>
      <c r="H27" s="33">
        <f t="shared" si="10"/>
        <v>-297796.63880308438</v>
      </c>
      <c r="I27" s="33">
        <f t="shared" si="10"/>
        <v>-304719.69334257115</v>
      </c>
      <c r="J27" s="33">
        <f t="shared" si="10"/>
        <v>-311642.74788205698</v>
      </c>
      <c r="K27" s="33">
        <f t="shared" si="10"/>
        <v>-170794.80242154468</v>
      </c>
      <c r="L27" s="33">
        <f t="shared" si="10"/>
        <v>-177717.85696103051</v>
      </c>
      <c r="M27" s="33">
        <f t="shared" si="10"/>
        <v>-184640.91150051728</v>
      </c>
      <c r="N27" s="33">
        <f t="shared" si="10"/>
        <v>-191563.96604000311</v>
      </c>
      <c r="O27" s="33">
        <f t="shared" si="10"/>
        <v>-198487.02057949081</v>
      </c>
      <c r="P27" s="33">
        <f t="shared" si="10"/>
        <v>-205410.07511897665</v>
      </c>
      <c r="Q27" s="33">
        <f t="shared" si="10"/>
        <v>-212333.12965846248</v>
      </c>
      <c r="R27" s="33">
        <f t="shared" si="10"/>
        <v>-219256.18419795018</v>
      </c>
      <c r="S27" s="33">
        <f t="shared" si="10"/>
        <v>-226179.23873743601</v>
      </c>
      <c r="T27" s="33">
        <f t="shared" si="10"/>
        <v>-233102.29327692278</v>
      </c>
      <c r="U27" s="33">
        <f t="shared" si="10"/>
        <v>-240021.06000000052</v>
      </c>
      <c r="V27" s="33">
        <f t="shared" si="10"/>
        <v>-243898.98060000036</v>
      </c>
      <c r="W27" s="33">
        <f t="shared" si="10"/>
        <v>-247815.68040600047</v>
      </c>
      <c r="X27" s="33">
        <f t="shared" si="10"/>
        <v>-251771.54721006006</v>
      </c>
      <c r="Y27" s="33">
        <f t="shared" si="10"/>
        <v>-255766.97268216033</v>
      </c>
      <c r="Z27" s="33">
        <f t="shared" si="10"/>
        <v>-259802.35240898188</v>
      </c>
      <c r="AA27" s="33">
        <f t="shared" si="10"/>
        <v>-263878.08593307249</v>
      </c>
      <c r="AB27" s="33">
        <f t="shared" si="10"/>
        <v>-267994.57679240312</v>
      </c>
      <c r="AC27" s="33">
        <f t="shared" si="10"/>
        <v>-272152.23256032728</v>
      </c>
      <c r="AD27" s="33">
        <f t="shared" si="10"/>
        <v>-276351.46488593053</v>
      </c>
      <c r="AE27" s="33">
        <f t="shared" si="10"/>
        <v>-280592.68953478988</v>
      </c>
      <c r="AF27" s="33">
        <f t="shared" si="10"/>
        <v>-284876.32643013727</v>
      </c>
    </row>
    <row r="29" spans="1:32" x14ac:dyDescent="0.2">
      <c r="A29" s="1" t="s">
        <v>61</v>
      </c>
    </row>
    <row r="30" spans="1:32" x14ac:dyDescent="0.2">
      <c r="A30" s="1" t="s">
        <v>62</v>
      </c>
    </row>
    <row r="31" spans="1:32" x14ac:dyDescent="0.2">
      <c r="A31" s="1" t="s">
        <v>63</v>
      </c>
    </row>
  </sheetData>
  <phoneticPr fontId="14" type="noConversion"/>
  <pageMargins left="0.7" right="0.7" top="0.75" bottom="0.75" header="0.3" footer="0.3"/>
  <pageSetup paperSize="9" scale="24" fitToHeight="0" orientation="landscape" r:id="rId1"/>
  <headerFooter>
    <oddHeader xml:space="preserve">&amp;CŽSR, dopravný uzol Bratislava - štúdia realizovateľnosti </oddHeader>
    <oddFooter xml:space="preserve">&amp;CŠtúdia realizovateľnosti - Príjmy ŽSR
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2:AG28"/>
  <sheetViews>
    <sheetView zoomScale="85" zoomScaleNormal="85" workbookViewId="0">
      <selection activeCell="D3" sqref="D3"/>
    </sheetView>
  </sheetViews>
  <sheetFormatPr defaultRowHeight="14.25" x14ac:dyDescent="0.2"/>
  <cols>
    <col min="1" max="1" width="40.7109375" style="1" customWidth="1"/>
    <col min="2" max="13" width="18.7109375" style="1" customWidth="1"/>
    <col min="14" max="33" width="15.7109375" style="1" customWidth="1"/>
    <col min="34" max="16384" width="9.140625" style="1"/>
  </cols>
  <sheetData>
    <row r="2" spans="1:5" ht="15.75" x14ac:dyDescent="0.25">
      <c r="A2" s="2" t="s">
        <v>112</v>
      </c>
    </row>
    <row r="3" spans="1:5" x14ac:dyDescent="0.2">
      <c r="A3" s="1" t="s">
        <v>0</v>
      </c>
    </row>
    <row r="4" spans="1:5" x14ac:dyDescent="0.2">
      <c r="A4" s="40" t="s">
        <v>486</v>
      </c>
    </row>
    <row r="6" spans="1:5" x14ac:dyDescent="0.2">
      <c r="A6" s="54" t="s">
        <v>113</v>
      </c>
      <c r="B6" s="84" t="s">
        <v>88</v>
      </c>
      <c r="C6" s="84" t="s">
        <v>89</v>
      </c>
    </row>
    <row r="7" spans="1:5" x14ac:dyDescent="0.2">
      <c r="A7" s="84" t="s">
        <v>23</v>
      </c>
      <c r="B7" s="56">
        <f>'Investičné náklady'!B31</f>
        <v>710701270.00000012</v>
      </c>
      <c r="C7" s="38">
        <f>NPV(Parametre!B9,'Investičné náklady'!D31:AG31)+'Investičné náklady'!C31</f>
        <v>564868959.80416119</v>
      </c>
    </row>
    <row r="8" spans="1:5" x14ac:dyDescent="0.2">
      <c r="A8" s="84" t="s">
        <v>93</v>
      </c>
      <c r="B8" s="56">
        <f>'Investičné náklady'!B34</f>
        <v>653897386.80000007</v>
      </c>
      <c r="C8" s="38">
        <f>NPV(Parametre!B9,'Investičné náklady'!D34:AG34)+'Investičné náklady'!C34</f>
        <v>519868462.93032461</v>
      </c>
      <c r="D8" s="132"/>
    </row>
    <row r="9" spans="1:5" x14ac:dyDescent="0.2">
      <c r="A9" s="84" t="s">
        <v>27</v>
      </c>
      <c r="B9" s="56">
        <f>'Zostatková hodnota'!C24</f>
        <v>160879042.49666664</v>
      </c>
      <c r="C9" s="38">
        <f>'Finančná analýza'!C14</f>
        <v>49602012.087411545</v>
      </c>
    </row>
    <row r="10" spans="1:5" x14ac:dyDescent="0.2">
      <c r="A10" s="84" t="s">
        <v>39</v>
      </c>
      <c r="B10" s="56">
        <f>'Príjmy ŽSR'!B27</f>
        <v>-6369440.1122275107</v>
      </c>
      <c r="C10" s="38">
        <f>NPV(Parametre!B9,'Príjmy ŽSR'!C27:AF27)</f>
        <v>-3322668.3543233005</v>
      </c>
    </row>
    <row r="11" spans="1:5" x14ac:dyDescent="0.2">
      <c r="A11" s="84" t="s">
        <v>90</v>
      </c>
      <c r="B11" s="56">
        <f>'Prevádzka a údržba ŽI'!B31</f>
        <v>-284702326.60000002</v>
      </c>
      <c r="C11" s="56">
        <f>NPV(Parametre!B9,'Prevádzka a údržba ŽI'!C31:AF31)</f>
        <v>-208030330.05272412</v>
      </c>
      <c r="D11" s="120"/>
      <c r="E11" s="120"/>
    </row>
    <row r="12" spans="1:5" x14ac:dyDescent="0.2">
      <c r="A12" s="84" t="s">
        <v>91</v>
      </c>
      <c r="B12" s="56">
        <f>B10-B11+B9</f>
        <v>439211928.98443913</v>
      </c>
      <c r="C12" s="56">
        <f>C10-C11+C9</f>
        <v>254309673.78581238</v>
      </c>
    </row>
    <row r="13" spans="1:5" x14ac:dyDescent="0.2">
      <c r="A13" s="84" t="s">
        <v>114</v>
      </c>
      <c r="B13" s="56">
        <f>B8-B12</f>
        <v>214685457.81556094</v>
      </c>
      <c r="C13" s="56">
        <f>C8-C12</f>
        <v>265558789.14451224</v>
      </c>
    </row>
    <row r="14" spans="1:5" x14ac:dyDescent="0.2">
      <c r="A14" s="84" t="s">
        <v>92</v>
      </c>
      <c r="B14" s="56"/>
      <c r="C14" s="61">
        <f>C13/C8</f>
        <v>0.5108191938546266</v>
      </c>
      <c r="D14" s="114"/>
    </row>
    <row r="16" spans="1:5" ht="15" x14ac:dyDescent="0.25">
      <c r="A16" s="58" t="s">
        <v>115</v>
      </c>
      <c r="C16" s="48"/>
    </row>
    <row r="17" spans="1:33" x14ac:dyDescent="0.2">
      <c r="A17" s="84" t="s">
        <v>93</v>
      </c>
      <c r="B17" s="55">
        <f>B8</f>
        <v>653897386.80000007</v>
      </c>
    </row>
    <row r="18" spans="1:33" x14ac:dyDescent="0.2">
      <c r="A18" s="84" t="s">
        <v>94</v>
      </c>
      <c r="B18" s="55">
        <f>B17*C14</f>
        <v>334023335.988823</v>
      </c>
      <c r="C18" s="85"/>
    </row>
    <row r="19" spans="1:33" x14ac:dyDescent="0.2">
      <c r="A19" s="84" t="s">
        <v>95</v>
      </c>
      <c r="B19" s="57">
        <v>0.85</v>
      </c>
    </row>
    <row r="20" spans="1:33" x14ac:dyDescent="0.2">
      <c r="A20" s="84" t="s">
        <v>96</v>
      </c>
      <c r="B20" s="55">
        <f>B18*B19</f>
        <v>283919835.59049952</v>
      </c>
    </row>
    <row r="22" spans="1:33" ht="15" x14ac:dyDescent="0.25">
      <c r="A22" s="54" t="s">
        <v>116</v>
      </c>
      <c r="B22" s="86" t="s">
        <v>21</v>
      </c>
      <c r="C22" s="59" t="s">
        <v>320</v>
      </c>
      <c r="D22" s="59">
        <f>[2]Parametre!B10</f>
        <v>2022</v>
      </c>
      <c r="E22" s="59">
        <f>D22+1</f>
        <v>2023</v>
      </c>
      <c r="F22" s="59">
        <f>E22+1</f>
        <v>2024</v>
      </c>
      <c r="G22" s="59">
        <f t="shared" ref="G22:AG22" si="0">F22+1</f>
        <v>2025</v>
      </c>
      <c r="H22" s="59">
        <f t="shared" si="0"/>
        <v>2026</v>
      </c>
      <c r="I22" s="59">
        <f t="shared" si="0"/>
        <v>2027</v>
      </c>
      <c r="J22" s="59">
        <f t="shared" si="0"/>
        <v>2028</v>
      </c>
      <c r="K22" s="59">
        <f t="shared" si="0"/>
        <v>2029</v>
      </c>
      <c r="L22" s="59">
        <f t="shared" si="0"/>
        <v>2030</v>
      </c>
      <c r="M22" s="59">
        <f t="shared" si="0"/>
        <v>2031</v>
      </c>
      <c r="N22" s="59">
        <f t="shared" si="0"/>
        <v>2032</v>
      </c>
      <c r="O22" s="59">
        <f t="shared" si="0"/>
        <v>2033</v>
      </c>
      <c r="P22" s="59">
        <f t="shared" si="0"/>
        <v>2034</v>
      </c>
      <c r="Q22" s="59">
        <f t="shared" si="0"/>
        <v>2035</v>
      </c>
      <c r="R22" s="59">
        <f t="shared" si="0"/>
        <v>2036</v>
      </c>
      <c r="S22" s="59">
        <f t="shared" si="0"/>
        <v>2037</v>
      </c>
      <c r="T22" s="59">
        <f t="shared" si="0"/>
        <v>2038</v>
      </c>
      <c r="U22" s="59">
        <f t="shared" si="0"/>
        <v>2039</v>
      </c>
      <c r="V22" s="59">
        <f t="shared" si="0"/>
        <v>2040</v>
      </c>
      <c r="W22" s="59">
        <f t="shared" si="0"/>
        <v>2041</v>
      </c>
      <c r="X22" s="59">
        <f t="shared" si="0"/>
        <v>2042</v>
      </c>
      <c r="Y22" s="59">
        <f t="shared" si="0"/>
        <v>2043</v>
      </c>
      <c r="Z22" s="59">
        <f t="shared" si="0"/>
        <v>2044</v>
      </c>
      <c r="AA22" s="59">
        <f t="shared" si="0"/>
        <v>2045</v>
      </c>
      <c r="AB22" s="59">
        <f t="shared" si="0"/>
        <v>2046</v>
      </c>
      <c r="AC22" s="59">
        <f t="shared" si="0"/>
        <v>2047</v>
      </c>
      <c r="AD22" s="59">
        <f t="shared" si="0"/>
        <v>2048</v>
      </c>
      <c r="AE22" s="59">
        <f t="shared" si="0"/>
        <v>2049</v>
      </c>
      <c r="AF22" s="59">
        <f t="shared" si="0"/>
        <v>2050</v>
      </c>
      <c r="AG22" s="59">
        <f t="shared" si="0"/>
        <v>2051</v>
      </c>
    </row>
    <row r="23" spans="1:33" x14ac:dyDescent="0.2">
      <c r="A23" s="84" t="s">
        <v>150</v>
      </c>
      <c r="B23" s="56">
        <f>SUM(C23:AG23)</f>
        <v>653897386.79999995</v>
      </c>
      <c r="C23" s="56">
        <f>'Investičné náklady'!C34</f>
        <v>2890265.57</v>
      </c>
      <c r="D23" s="56">
        <f>'Investičné náklady'!D34</f>
        <v>30840515.169999998</v>
      </c>
      <c r="E23" s="56">
        <f>'Investičné náklady'!E34</f>
        <v>72984777.154999986</v>
      </c>
      <c r="F23" s="56">
        <f>'Investičné náklady'!F34</f>
        <v>76610904.444999993</v>
      </c>
      <c r="G23" s="56">
        <f>'Investičné náklady'!G34</f>
        <v>62239437.840000004</v>
      </c>
      <c r="H23" s="56">
        <f>'Investičné náklady'!H34</f>
        <v>70509961.729999989</v>
      </c>
      <c r="I23" s="56">
        <f>'Investičné náklady'!I34</f>
        <v>74259541.620000005</v>
      </c>
      <c r="J23" s="56">
        <f>'Investičné náklady'!J34</f>
        <v>81629428.700000003</v>
      </c>
      <c r="K23" s="56">
        <f>'Investičné náklady'!K34</f>
        <v>56152178.539999992</v>
      </c>
      <c r="L23" s="56">
        <f>'Investičné náklady'!L34</f>
        <v>55895642.655000001</v>
      </c>
      <c r="M23" s="56">
        <f>'Investičné náklady'!M34</f>
        <v>26658188.375</v>
      </c>
      <c r="N23" s="56">
        <f>'Investičné náklady'!N34</f>
        <v>0</v>
      </c>
      <c r="O23" s="56">
        <f>'Investičné náklady'!O34</f>
        <v>0</v>
      </c>
      <c r="P23" s="56">
        <f>'Investičné náklady'!P34</f>
        <v>313023.76500000001</v>
      </c>
      <c r="Q23" s="56">
        <f>'Investičné náklady'!Q34</f>
        <v>3842575.46</v>
      </c>
      <c r="R23" s="56">
        <f>'Investičné náklady'!R34</f>
        <v>4915702.96</v>
      </c>
      <c r="S23" s="56">
        <f>'Investičné náklady'!S34</f>
        <v>9720235.7299999986</v>
      </c>
      <c r="T23" s="56">
        <f>'Investičné náklady'!T34</f>
        <v>3822790.7549999999</v>
      </c>
      <c r="U23" s="56">
        <f>'Investičné náklady'!U34</f>
        <v>3900172.53</v>
      </c>
      <c r="V23" s="56">
        <f>'Investičné náklady'!V34</f>
        <v>420869</v>
      </c>
      <c r="W23" s="56">
        <f>'Investičné náklady'!W34</f>
        <v>5094237.9950000001</v>
      </c>
      <c r="X23" s="56">
        <f>'Investičné náklady'!X34</f>
        <v>5207711.3</v>
      </c>
      <c r="Y23" s="56">
        <f>'Investičné náklady'!Y34</f>
        <v>5989225.5049999999</v>
      </c>
      <c r="Z23" s="56">
        <f>'Investičné náklady'!Z34</f>
        <v>0</v>
      </c>
      <c r="AA23" s="56">
        <f>'Investičné náklady'!AA34</f>
        <v>0</v>
      </c>
      <c r="AB23" s="56">
        <f>'Investičné náklady'!AB34</f>
        <v>0</v>
      </c>
      <c r="AC23" s="56">
        <f>'Investičné náklady'!AC34</f>
        <v>0</v>
      </c>
      <c r="AD23" s="56">
        <f>'Investičné náklady'!AD34</f>
        <v>0</v>
      </c>
      <c r="AE23" s="56">
        <f>'Investičné náklady'!AE34</f>
        <v>0</v>
      </c>
      <c r="AF23" s="56">
        <f>'Investičné náklady'!AF34</f>
        <v>0</v>
      </c>
      <c r="AG23" s="56">
        <f>'Investičné náklady'!AG34</f>
        <v>0</v>
      </c>
    </row>
    <row r="24" spans="1:33" x14ac:dyDescent="0.2">
      <c r="A24" s="84" t="s">
        <v>96</v>
      </c>
      <c r="B24" s="56">
        <f>SUM(C24:AG24)</f>
        <v>283919835.59049952</v>
      </c>
      <c r="C24" s="56">
        <f>$C$14*$B$19*C23</f>
        <v>1254942.6592192054</v>
      </c>
      <c r="D24" s="56">
        <f t="shared" ref="D24:AG24" si="1">$C$14*$B$19*D23</f>
        <v>13390838.032620665</v>
      </c>
      <c r="E24" s="56">
        <f t="shared" si="1"/>
        <v>31689721.275480162</v>
      </c>
      <c r="F24" s="56">
        <f t="shared" si="1"/>
        <v>33264172.381708417</v>
      </c>
      <c r="G24" s="56">
        <f t="shared" si="1"/>
        <v>27024134.543884851</v>
      </c>
      <c r="H24" s="56">
        <f t="shared" si="1"/>
        <v>30615165.538193293</v>
      </c>
      <c r="I24" s="56">
        <f t="shared" si="1"/>
        <v>32243219.30839112</v>
      </c>
      <c r="J24" s="56">
        <f t="shared" si="1"/>
        <v>35443197.118845567</v>
      </c>
      <c r="K24" s="56">
        <f t="shared" si="1"/>
        <v>24381068.988736279</v>
      </c>
      <c r="L24" s="56">
        <f t="shared" si="1"/>
        <v>24269682.052861374</v>
      </c>
      <c r="M24" s="56">
        <f t="shared" si="1"/>
        <v>11574887.151040936</v>
      </c>
      <c r="N24" s="56">
        <f t="shared" si="1"/>
        <v>0</v>
      </c>
      <c r="O24" s="56">
        <f t="shared" si="1"/>
        <v>0</v>
      </c>
      <c r="P24" s="56">
        <f t="shared" si="1"/>
        <v>135913.76520044409</v>
      </c>
      <c r="Q24" s="56">
        <f t="shared" si="1"/>
        <v>1668432.1039823552</v>
      </c>
      <c r="R24" s="56">
        <f t="shared" si="1"/>
        <v>2134380.1097676014</v>
      </c>
      <c r="S24" s="56">
        <f t="shared" si="1"/>
        <v>4220490.5327242063</v>
      </c>
      <c r="T24" s="56">
        <f t="shared" si="1"/>
        <v>1659841.6579824165</v>
      </c>
      <c r="U24" s="56">
        <f t="shared" si="1"/>
        <v>1693440.5395182755</v>
      </c>
      <c r="V24" s="56">
        <f t="shared" si="1"/>
        <v>182739.76880364242</v>
      </c>
      <c r="W24" s="56">
        <f t="shared" si="1"/>
        <v>2211899.3640230829</v>
      </c>
      <c r="X24" s="56">
        <f t="shared" si="1"/>
        <v>2261169.0548795848</v>
      </c>
      <c r="Y24" s="56">
        <f t="shared" si="1"/>
        <v>2600499.6426360183</v>
      </c>
      <c r="Z24" s="56">
        <f t="shared" si="1"/>
        <v>0</v>
      </c>
      <c r="AA24" s="56">
        <f t="shared" si="1"/>
        <v>0</v>
      </c>
      <c r="AB24" s="56">
        <f t="shared" si="1"/>
        <v>0</v>
      </c>
      <c r="AC24" s="56">
        <f t="shared" si="1"/>
        <v>0</v>
      </c>
      <c r="AD24" s="56">
        <f t="shared" si="1"/>
        <v>0</v>
      </c>
      <c r="AE24" s="56">
        <f t="shared" si="1"/>
        <v>0</v>
      </c>
      <c r="AF24" s="56">
        <f t="shared" si="1"/>
        <v>0</v>
      </c>
      <c r="AG24" s="56">
        <f t="shared" si="1"/>
        <v>0</v>
      </c>
    </row>
    <row r="25" spans="1:33" x14ac:dyDescent="0.2">
      <c r="A25" s="84" t="s">
        <v>97</v>
      </c>
      <c r="B25" s="56">
        <f t="shared" ref="B25:B26" si="2">SUM(C25:AG25)</f>
        <v>369977551.20950055</v>
      </c>
      <c r="C25" s="56">
        <f>C23-C24</f>
        <v>1635322.9107807945</v>
      </c>
      <c r="D25" s="56">
        <f t="shared" ref="D25:AG25" si="3">D23-D24</f>
        <v>17449677.137379333</v>
      </c>
      <c r="E25" s="56">
        <f t="shared" si="3"/>
        <v>41295055.87951982</v>
      </c>
      <c r="F25" s="56">
        <f t="shared" si="3"/>
        <v>43346732.063291579</v>
      </c>
      <c r="G25" s="56">
        <f t="shared" si="3"/>
        <v>35215303.296115153</v>
      </c>
      <c r="H25" s="56">
        <f t="shared" si="3"/>
        <v>39894796.191806696</v>
      </c>
      <c r="I25" s="56">
        <f t="shared" si="3"/>
        <v>42016322.311608881</v>
      </c>
      <c r="J25" s="56">
        <f t="shared" si="3"/>
        <v>46186231.581154436</v>
      </c>
      <c r="K25" s="56">
        <f t="shared" si="3"/>
        <v>31771109.551263712</v>
      </c>
      <c r="L25" s="56">
        <f t="shared" si="3"/>
        <v>31625960.602138627</v>
      </c>
      <c r="M25" s="56">
        <f t="shared" si="3"/>
        <v>15083301.223959064</v>
      </c>
      <c r="N25" s="56">
        <f t="shared" si="3"/>
        <v>0</v>
      </c>
      <c r="O25" s="56">
        <f t="shared" si="3"/>
        <v>0</v>
      </c>
      <c r="P25" s="56">
        <f t="shared" si="3"/>
        <v>177109.99979955592</v>
      </c>
      <c r="Q25" s="56">
        <f t="shared" si="3"/>
        <v>2174143.3560176445</v>
      </c>
      <c r="R25" s="56">
        <f t="shared" si="3"/>
        <v>2781322.8502323986</v>
      </c>
      <c r="S25" s="56">
        <f t="shared" si="3"/>
        <v>5499745.1972757922</v>
      </c>
      <c r="T25" s="56">
        <f t="shared" si="3"/>
        <v>2162949.0970175834</v>
      </c>
      <c r="U25" s="56">
        <f t="shared" si="3"/>
        <v>2206731.990481724</v>
      </c>
      <c r="V25" s="56">
        <f t="shared" si="3"/>
        <v>238129.23119635758</v>
      </c>
      <c r="W25" s="56">
        <f t="shared" si="3"/>
        <v>2882338.6309769172</v>
      </c>
      <c r="X25" s="56">
        <f t="shared" si="3"/>
        <v>2946542.245120415</v>
      </c>
      <c r="Y25" s="56">
        <f t="shared" si="3"/>
        <v>3388725.8623639815</v>
      </c>
      <c r="Z25" s="56">
        <f t="shared" si="3"/>
        <v>0</v>
      </c>
      <c r="AA25" s="56">
        <f t="shared" si="3"/>
        <v>0</v>
      </c>
      <c r="AB25" s="56">
        <f t="shared" si="3"/>
        <v>0</v>
      </c>
      <c r="AC25" s="56">
        <f t="shared" si="3"/>
        <v>0</v>
      </c>
      <c r="AD25" s="56">
        <f t="shared" si="3"/>
        <v>0</v>
      </c>
      <c r="AE25" s="56">
        <f t="shared" si="3"/>
        <v>0</v>
      </c>
      <c r="AF25" s="56">
        <f t="shared" si="3"/>
        <v>0</v>
      </c>
      <c r="AG25" s="56">
        <f t="shared" si="3"/>
        <v>0</v>
      </c>
    </row>
    <row r="26" spans="1:33" x14ac:dyDescent="0.2">
      <c r="A26" s="84" t="s">
        <v>469</v>
      </c>
      <c r="B26" s="56">
        <f t="shared" si="2"/>
        <v>0</v>
      </c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L26" s="56">
        <v>0</v>
      </c>
      <c r="M26" s="56">
        <v>0</v>
      </c>
      <c r="N26" s="56">
        <v>0</v>
      </c>
      <c r="O26" s="56">
        <v>0</v>
      </c>
      <c r="P26" s="56">
        <v>0</v>
      </c>
      <c r="Q26" s="56">
        <v>0</v>
      </c>
      <c r="R26" s="56">
        <v>0</v>
      </c>
      <c r="S26" s="56">
        <v>0</v>
      </c>
      <c r="T26" s="56">
        <v>0</v>
      </c>
      <c r="U26" s="56">
        <v>0</v>
      </c>
      <c r="V26" s="56">
        <v>0</v>
      </c>
      <c r="W26" s="56">
        <v>0</v>
      </c>
      <c r="X26" s="56">
        <v>0</v>
      </c>
      <c r="Y26" s="56">
        <v>0</v>
      </c>
      <c r="Z26" s="56">
        <v>0</v>
      </c>
      <c r="AA26" s="56">
        <v>0</v>
      </c>
      <c r="AB26" s="56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</row>
    <row r="28" spans="1:33" x14ac:dyDescent="0.2">
      <c r="A28" s="105"/>
      <c r="B28" s="113"/>
    </row>
  </sheetData>
  <phoneticPr fontId="14" type="noConversion"/>
  <pageMargins left="0.25" right="0.25" top="0.75" bottom="0.75" header="0.3" footer="0.3"/>
  <pageSetup paperSize="9" scale="53" fitToHeight="0" orientation="landscape" r:id="rId1"/>
  <headerFooter>
    <oddHeader xml:space="preserve">&amp;CŽSR, dopravný uzol Bratislava - štúdia realizovateľnosti </oddHeader>
    <oddFooter xml:space="preserve">&amp;CŠtúdia realizovateľnosti - Financovanie
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A1:AH42"/>
  <sheetViews>
    <sheetView zoomScale="85" zoomScaleNormal="85" zoomScalePageLayoutView="85" workbookViewId="0">
      <pane xSplit="1" topLeftCell="B1" activePane="topRight" state="frozen"/>
      <selection pane="topRight" activeCell="C3" sqref="C3"/>
    </sheetView>
  </sheetViews>
  <sheetFormatPr defaultColWidth="1.5703125" defaultRowHeight="14.25" x14ac:dyDescent="0.2"/>
  <cols>
    <col min="1" max="1" width="40.7109375" style="1" customWidth="1"/>
    <col min="2" max="2" width="18.7109375" style="30" customWidth="1"/>
    <col min="3" max="3" width="21.140625" style="125" customWidth="1"/>
    <col min="4" max="34" width="18.7109375" style="30" customWidth="1"/>
    <col min="35" max="44" width="18.7109375" style="1" customWidth="1"/>
    <col min="45" max="16384" width="1.5703125" style="1"/>
  </cols>
  <sheetData>
    <row r="1" spans="1:34" x14ac:dyDescent="0.2">
      <c r="B1" s="329"/>
      <c r="C1" s="330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</row>
    <row r="2" spans="1:34" ht="15.75" x14ac:dyDescent="0.25">
      <c r="A2" s="2" t="s">
        <v>38</v>
      </c>
    </row>
    <row r="3" spans="1:34" x14ac:dyDescent="0.2">
      <c r="A3" s="1" t="s">
        <v>0</v>
      </c>
    </row>
    <row r="4" spans="1:34" x14ac:dyDescent="0.2">
      <c r="A4" s="3"/>
    </row>
    <row r="5" spans="1:34" x14ac:dyDescent="0.2">
      <c r="A5" s="40" t="s">
        <v>486</v>
      </c>
    </row>
    <row r="6" spans="1:34" x14ac:dyDescent="0.2">
      <c r="A6" s="40"/>
    </row>
    <row r="7" spans="1:34" x14ac:dyDescent="0.2">
      <c r="A7" s="3"/>
      <c r="C7" s="134"/>
      <c r="E7" s="51"/>
      <c r="F7" s="87"/>
      <c r="G7" s="87"/>
      <c r="H7" s="87"/>
      <c r="I7" s="87"/>
      <c r="J7" s="87"/>
      <c r="K7" s="87"/>
      <c r="L7" s="87"/>
    </row>
    <row r="8" spans="1:34" x14ac:dyDescent="0.2">
      <c r="A8" s="3"/>
      <c r="E8" s="87"/>
      <c r="F8" s="122"/>
      <c r="G8" s="122"/>
      <c r="H8" s="122"/>
      <c r="I8" s="122"/>
      <c r="J8" s="122"/>
      <c r="K8" s="122"/>
      <c r="L8" s="122"/>
    </row>
    <row r="9" spans="1:34" x14ac:dyDescent="0.2">
      <c r="A9" s="1" t="s">
        <v>470</v>
      </c>
      <c r="B9" s="271"/>
      <c r="D9" s="271"/>
      <c r="E9" s="271"/>
      <c r="F9" s="271"/>
      <c r="G9" s="271"/>
      <c r="H9" s="271"/>
      <c r="I9" s="271"/>
      <c r="J9" s="271"/>
      <c r="K9" s="271"/>
      <c r="L9" s="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1"/>
      <c r="Y9" s="271"/>
      <c r="Z9" s="271"/>
      <c r="AA9" s="271"/>
      <c r="AB9" s="271"/>
      <c r="AC9" s="271"/>
      <c r="AD9" s="271"/>
      <c r="AE9" s="271"/>
      <c r="AF9" s="271"/>
      <c r="AG9" s="271"/>
      <c r="AH9" s="271"/>
    </row>
    <row r="10" spans="1:34" x14ac:dyDescent="0.2">
      <c r="A10" s="7" t="s">
        <v>32</v>
      </c>
      <c r="B10" s="272" t="s">
        <v>21</v>
      </c>
      <c r="C10" s="273" t="s">
        <v>89</v>
      </c>
      <c r="D10" s="272" t="s">
        <v>287</v>
      </c>
      <c r="E10" s="272">
        <f>[2]Parametre!B10</f>
        <v>2022</v>
      </c>
      <c r="F10" s="272">
        <f>(E10+1)</f>
        <v>2023</v>
      </c>
      <c r="G10" s="272">
        <f t="shared" ref="G10:W10" si="0">(F10+1)</f>
        <v>2024</v>
      </c>
      <c r="H10" s="272">
        <f t="shared" si="0"/>
        <v>2025</v>
      </c>
      <c r="I10" s="272">
        <f t="shared" si="0"/>
        <v>2026</v>
      </c>
      <c r="J10" s="272">
        <f t="shared" si="0"/>
        <v>2027</v>
      </c>
      <c r="K10" s="272">
        <f t="shared" si="0"/>
        <v>2028</v>
      </c>
      <c r="L10" s="272">
        <f t="shared" si="0"/>
        <v>2029</v>
      </c>
      <c r="M10" s="272">
        <f t="shared" si="0"/>
        <v>2030</v>
      </c>
      <c r="N10" s="272">
        <f t="shared" si="0"/>
        <v>2031</v>
      </c>
      <c r="O10" s="272">
        <f t="shared" si="0"/>
        <v>2032</v>
      </c>
      <c r="P10" s="272">
        <f t="shared" si="0"/>
        <v>2033</v>
      </c>
      <c r="Q10" s="272">
        <f t="shared" si="0"/>
        <v>2034</v>
      </c>
      <c r="R10" s="272">
        <f t="shared" si="0"/>
        <v>2035</v>
      </c>
      <c r="S10" s="272">
        <f t="shared" si="0"/>
        <v>2036</v>
      </c>
      <c r="T10" s="272">
        <f t="shared" si="0"/>
        <v>2037</v>
      </c>
      <c r="U10" s="272">
        <f t="shared" si="0"/>
        <v>2038</v>
      </c>
      <c r="V10" s="272">
        <f t="shared" si="0"/>
        <v>2039</v>
      </c>
      <c r="W10" s="272">
        <f t="shared" si="0"/>
        <v>2040</v>
      </c>
      <c r="X10" s="272">
        <f>(W10+1)</f>
        <v>2041</v>
      </c>
      <c r="Y10" s="272">
        <f t="shared" ref="Y10:AH10" si="1">(X10+1)</f>
        <v>2042</v>
      </c>
      <c r="Z10" s="272">
        <f t="shared" si="1"/>
        <v>2043</v>
      </c>
      <c r="AA10" s="272">
        <f t="shared" si="1"/>
        <v>2044</v>
      </c>
      <c r="AB10" s="272">
        <f t="shared" si="1"/>
        <v>2045</v>
      </c>
      <c r="AC10" s="272">
        <f t="shared" si="1"/>
        <v>2046</v>
      </c>
      <c r="AD10" s="272">
        <f t="shared" si="1"/>
        <v>2047</v>
      </c>
      <c r="AE10" s="272">
        <f t="shared" si="1"/>
        <v>2048</v>
      </c>
      <c r="AF10" s="272">
        <f t="shared" si="1"/>
        <v>2049</v>
      </c>
      <c r="AG10" s="272">
        <f t="shared" si="1"/>
        <v>2050</v>
      </c>
      <c r="AH10" s="272">
        <f t="shared" si="1"/>
        <v>2051</v>
      </c>
    </row>
    <row r="11" spans="1:34" x14ac:dyDescent="0.2">
      <c r="A11" s="7" t="s">
        <v>471</v>
      </c>
      <c r="B11" s="32">
        <f>SUM(D11:AH11)</f>
        <v>653897386.79999995</v>
      </c>
      <c r="C11" s="135">
        <f>NPV([2]Parametre!$B$7,E11:AH11)+D11</f>
        <v>519868462.93032461</v>
      </c>
      <c r="D11" s="32">
        <f>'Investičné náklady'!C34</f>
        <v>2890265.57</v>
      </c>
      <c r="E11" s="32">
        <f>'Investičné náklady'!D34</f>
        <v>30840515.169999998</v>
      </c>
      <c r="F11" s="32">
        <f>'Investičné náklady'!E34</f>
        <v>72984777.154999986</v>
      </c>
      <c r="G11" s="32">
        <f>'Investičné náklady'!F34</f>
        <v>76610904.444999993</v>
      </c>
      <c r="H11" s="32">
        <f>'Investičné náklady'!G34</f>
        <v>62239437.840000004</v>
      </c>
      <c r="I11" s="32">
        <f>'Investičné náklady'!H34</f>
        <v>70509961.729999989</v>
      </c>
      <c r="J11" s="32">
        <f>'Investičné náklady'!I34</f>
        <v>74259541.620000005</v>
      </c>
      <c r="K11" s="32">
        <f>'Investičné náklady'!J34</f>
        <v>81629428.700000003</v>
      </c>
      <c r="L11" s="32">
        <f>'Investičné náklady'!K34</f>
        <v>56152178.539999992</v>
      </c>
      <c r="M11" s="32">
        <f>'Investičné náklady'!L34</f>
        <v>55895642.655000001</v>
      </c>
      <c r="N11" s="32">
        <f>'Investičné náklady'!M34</f>
        <v>26658188.375</v>
      </c>
      <c r="O11" s="32">
        <f>'Investičné náklady'!N34</f>
        <v>0</v>
      </c>
      <c r="P11" s="32">
        <f>'Investičné náklady'!O34</f>
        <v>0</v>
      </c>
      <c r="Q11" s="32">
        <f>'Investičné náklady'!P34</f>
        <v>313023.76500000001</v>
      </c>
      <c r="R11" s="32">
        <f>'Investičné náklady'!Q34</f>
        <v>3842575.46</v>
      </c>
      <c r="S11" s="32">
        <f>'Investičné náklady'!R34</f>
        <v>4915702.96</v>
      </c>
      <c r="T11" s="32">
        <f>'Investičné náklady'!S34</f>
        <v>9720235.7299999986</v>
      </c>
      <c r="U11" s="32">
        <f>'Investičné náklady'!T34</f>
        <v>3822790.7549999999</v>
      </c>
      <c r="V11" s="32">
        <f>'Investičné náklady'!U34</f>
        <v>3900172.53</v>
      </c>
      <c r="W11" s="32">
        <f>'Investičné náklady'!V34</f>
        <v>420869</v>
      </c>
      <c r="X11" s="32">
        <f>'Investičné náklady'!W34</f>
        <v>5094237.9950000001</v>
      </c>
      <c r="Y11" s="32">
        <f>'Investičné náklady'!X34</f>
        <v>5207711.3</v>
      </c>
      <c r="Z11" s="32">
        <f>'Investičné náklady'!Y34</f>
        <v>5989225.5049999999</v>
      </c>
      <c r="AA11" s="32">
        <f>'Investičné náklady'!Z34</f>
        <v>0</v>
      </c>
      <c r="AB11" s="32">
        <f>'Investičné náklady'!AA34</f>
        <v>0</v>
      </c>
      <c r="AC11" s="32">
        <f>'Investičné náklady'!AB34</f>
        <v>0</v>
      </c>
      <c r="AD11" s="32">
        <f>'Investičné náklady'!AC34</f>
        <v>0</v>
      </c>
      <c r="AE11" s="32">
        <f>'Investičné náklady'!AD34</f>
        <v>0</v>
      </c>
      <c r="AF11" s="32">
        <f>'Investičné náklady'!AE34</f>
        <v>0</v>
      </c>
      <c r="AG11" s="32">
        <f>'Investičné náklady'!AF34</f>
        <v>0</v>
      </c>
      <c r="AH11" s="32">
        <f>'Investičné náklady'!AG34</f>
        <v>0</v>
      </c>
    </row>
    <row r="12" spans="1:34" x14ac:dyDescent="0.2">
      <c r="A12" s="7" t="s">
        <v>472</v>
      </c>
      <c r="B12" s="32">
        <f>SUM(D12:AH12)</f>
        <v>-284702326.60000002</v>
      </c>
      <c r="C12" s="135">
        <f>NPV([2]Parametre!$B$7,E12:AH12)+D12</f>
        <v>-208030330.05272412</v>
      </c>
      <c r="D12" s="32"/>
      <c r="E12" s="32">
        <f>'Prevádzka a údržba ŽI'!C31</f>
        <v>-24973987.649999999</v>
      </c>
      <c r="F12" s="32">
        <f>'Prevádzka a údržba ŽI'!D31</f>
        <v>-19188272.100000001</v>
      </c>
      <c r="G12" s="32">
        <f>'Prevádzka a údržba ŽI'!E31</f>
        <v>-29157331.200000003</v>
      </c>
      <c r="H12" s="32">
        <f>'Prevádzka a údržba ŽI'!F31</f>
        <v>-26435372.049999997</v>
      </c>
      <c r="I12" s="32">
        <f>'Prevádzka a údržba ŽI'!G31</f>
        <v>-21436017.899999999</v>
      </c>
      <c r="J12" s="32">
        <f>'Prevádzka a údržba ŽI'!H31</f>
        <v>-15617704.450000003</v>
      </c>
      <c r="K12" s="32">
        <f>'Prevádzka a údržba ŽI'!I31</f>
        <v>-16336472.850000001</v>
      </c>
      <c r="L12" s="32">
        <f>'Prevádzka a údržba ŽI'!J31</f>
        <v>-15769004.399999999</v>
      </c>
      <c r="M12" s="32">
        <f>'Prevádzka a údržba ŽI'!K31</f>
        <v>-22082496.549999997</v>
      </c>
      <c r="N12" s="32">
        <f>'Prevádzka a údržba ŽI'!L31</f>
        <v>-14131783.350000001</v>
      </c>
      <c r="O12" s="32">
        <f>'Prevádzka a údržba ŽI'!M31</f>
        <v>-1804646</v>
      </c>
      <c r="P12" s="32">
        <f>'Prevádzka a údržba ŽI'!N31</f>
        <v>-1804646</v>
      </c>
      <c r="Q12" s="32">
        <f>'Prevádzka a údržba ŽI'!O31</f>
        <v>-10028815.800000001</v>
      </c>
      <c r="R12" s="32">
        <f>'Prevádzka a údržba ŽI'!P31</f>
        <v>-6866695.3000000007</v>
      </c>
      <c r="S12" s="32">
        <f>'Prevádzka a údržba ŽI'!Q31</f>
        <v>-1804646</v>
      </c>
      <c r="T12" s="32">
        <f>'Prevádzka a údržba ŽI'!R31</f>
        <v>-9845955.4499999993</v>
      </c>
      <c r="U12" s="32">
        <f>'Prevádzka a údržba ŽI'!S31</f>
        <v>-5588844.0500000007</v>
      </c>
      <c r="V12" s="32">
        <f>'Prevádzka a údržba ŽI'!T31</f>
        <v>-3461839.6999999993</v>
      </c>
      <c r="W12" s="32">
        <f>'Prevádzka a údržba ŽI'!U31</f>
        <v>-1804646</v>
      </c>
      <c r="X12" s="32">
        <f>'Prevádzka a údržba ŽI'!V31</f>
        <v>-6899376</v>
      </c>
      <c r="Y12" s="32">
        <f>'Prevádzka a údržba ŽI'!W31</f>
        <v>-6893420.1499999985</v>
      </c>
      <c r="Z12" s="32">
        <f>'Prevádzka a údržba ŽI'!X31</f>
        <v>-8333185.6499999985</v>
      </c>
      <c r="AA12" s="32">
        <f>'Prevádzka a údržba ŽI'!Y31</f>
        <v>-1804646</v>
      </c>
      <c r="AB12" s="32">
        <f>'Prevádzka a údržba ŽI'!Z31</f>
        <v>-1804646</v>
      </c>
      <c r="AC12" s="32">
        <f>'Prevádzka a údržba ŽI'!AA31</f>
        <v>-1804646</v>
      </c>
      <c r="AD12" s="32">
        <f>'Prevádzka a údržba ŽI'!AB31</f>
        <v>-1804646</v>
      </c>
      <c r="AE12" s="32">
        <f>'Prevádzka a údržba ŽI'!AC31</f>
        <v>-1804646</v>
      </c>
      <c r="AF12" s="32">
        <f>'Prevádzka a údržba ŽI'!AD31</f>
        <v>-1804646</v>
      </c>
      <c r="AG12" s="32">
        <f>'Prevádzka a údržba ŽI'!AE31</f>
        <v>-1804646</v>
      </c>
      <c r="AH12" s="32">
        <f>'Prevádzka a údržba ŽI'!AF31</f>
        <v>-1804646</v>
      </c>
    </row>
    <row r="13" spans="1:34" x14ac:dyDescent="0.2">
      <c r="A13" s="7" t="s">
        <v>39</v>
      </c>
      <c r="B13" s="32">
        <f>SUM(D13:AH13)</f>
        <v>-6369440.1122275097</v>
      </c>
      <c r="C13" s="135">
        <f>NPV([2]Parametre!$B$7,E13:AH13)+D13</f>
        <v>-3322668.3543233005</v>
      </c>
      <c r="D13" s="32"/>
      <c r="E13" s="32">
        <f>'Príjmy ŽSR'!C27</f>
        <v>0</v>
      </c>
      <c r="F13" s="32">
        <f>'Príjmy ŽSR'!D27</f>
        <v>0</v>
      </c>
      <c r="G13" s="32">
        <f>'Príjmy ŽSR'!E27</f>
        <v>0</v>
      </c>
      <c r="H13" s="32">
        <f>'Príjmy ŽSR'!F27</f>
        <v>0</v>
      </c>
      <c r="I13" s="32">
        <f>'Príjmy ŽSR'!G27</f>
        <v>-290873.58426359855</v>
      </c>
      <c r="J13" s="32">
        <f>'Príjmy ŽSR'!H27</f>
        <v>-297796.63880308438</v>
      </c>
      <c r="K13" s="32">
        <f>'Príjmy ŽSR'!I27</f>
        <v>-304719.69334257115</v>
      </c>
      <c r="L13" s="32">
        <f>'Príjmy ŽSR'!J27</f>
        <v>-311642.74788205698</v>
      </c>
      <c r="M13" s="32">
        <f>'Príjmy ŽSR'!K27</f>
        <v>-170794.80242154468</v>
      </c>
      <c r="N13" s="32">
        <f>'Príjmy ŽSR'!L27</f>
        <v>-177717.85696103051</v>
      </c>
      <c r="O13" s="32">
        <f>'Príjmy ŽSR'!M27</f>
        <v>-184640.91150051728</v>
      </c>
      <c r="P13" s="32">
        <f>'Príjmy ŽSR'!N27</f>
        <v>-191563.96604000311</v>
      </c>
      <c r="Q13" s="32">
        <f>'Príjmy ŽSR'!O27</f>
        <v>-198487.02057949081</v>
      </c>
      <c r="R13" s="32">
        <f>'Príjmy ŽSR'!P27</f>
        <v>-205410.07511897665</v>
      </c>
      <c r="S13" s="32">
        <f>'Príjmy ŽSR'!Q27</f>
        <v>-212333.12965846248</v>
      </c>
      <c r="T13" s="32">
        <f>'Príjmy ŽSR'!R27</f>
        <v>-219256.18419795018</v>
      </c>
      <c r="U13" s="32">
        <f>'Príjmy ŽSR'!S27</f>
        <v>-226179.23873743601</v>
      </c>
      <c r="V13" s="32">
        <f>'Príjmy ŽSR'!T27</f>
        <v>-233102.29327692278</v>
      </c>
      <c r="W13" s="32">
        <f>'Príjmy ŽSR'!U27</f>
        <v>-240021.06000000052</v>
      </c>
      <c r="X13" s="32">
        <f>'Príjmy ŽSR'!V27</f>
        <v>-243898.98060000036</v>
      </c>
      <c r="Y13" s="32">
        <f>'Príjmy ŽSR'!W27</f>
        <v>-247815.68040600047</v>
      </c>
      <c r="Z13" s="32">
        <f>'Príjmy ŽSR'!X27</f>
        <v>-251771.54721006006</v>
      </c>
      <c r="AA13" s="32">
        <f>'Príjmy ŽSR'!Y27</f>
        <v>-255766.97268216033</v>
      </c>
      <c r="AB13" s="32">
        <f>'Príjmy ŽSR'!Z27</f>
        <v>-259802.35240898188</v>
      </c>
      <c r="AC13" s="32">
        <f>'Príjmy ŽSR'!AA27</f>
        <v>-263878.08593307249</v>
      </c>
      <c r="AD13" s="32">
        <f>'Príjmy ŽSR'!AB27</f>
        <v>-267994.57679240312</v>
      </c>
      <c r="AE13" s="32">
        <f>'Príjmy ŽSR'!AC27</f>
        <v>-272152.23256032728</v>
      </c>
      <c r="AF13" s="32">
        <f>'Príjmy ŽSR'!AD27</f>
        <v>-276351.46488593053</v>
      </c>
      <c r="AG13" s="32">
        <f>'Príjmy ŽSR'!AE27</f>
        <v>-280592.68953478988</v>
      </c>
      <c r="AH13" s="32">
        <f>'Príjmy ŽSR'!AF27</f>
        <v>-284876.32643013727</v>
      </c>
    </row>
    <row r="14" spans="1:34" x14ac:dyDescent="0.2">
      <c r="A14" s="7" t="s">
        <v>27</v>
      </c>
      <c r="B14" s="32">
        <f>SUM(D14:AH14)</f>
        <v>160879042.49666664</v>
      </c>
      <c r="C14" s="135">
        <f>NPV([2]Parametre!$B$7,E14:AH14)+D14</f>
        <v>49602012.087411545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>
        <v>0</v>
      </c>
      <c r="R14" s="32">
        <v>0</v>
      </c>
      <c r="S14" s="32">
        <v>0</v>
      </c>
      <c r="T14" s="32">
        <v>0</v>
      </c>
      <c r="U14" s="32">
        <v>0</v>
      </c>
      <c r="V14" s="32">
        <v>0</v>
      </c>
      <c r="W14" s="32">
        <v>0</v>
      </c>
      <c r="X14" s="32">
        <v>0</v>
      </c>
      <c r="Y14" s="32">
        <v>0</v>
      </c>
      <c r="Z14" s="32">
        <v>0</v>
      </c>
      <c r="AA14" s="32">
        <v>0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f>'Zostatková hodnota'!C24</f>
        <v>160879042.49666664</v>
      </c>
    </row>
    <row r="15" spans="1:34" x14ac:dyDescent="0.2">
      <c r="A15" s="7" t="s">
        <v>40</v>
      </c>
      <c r="B15" s="32">
        <f>SUM(D15:AH15)</f>
        <v>-214685457.81556097</v>
      </c>
      <c r="C15" s="135">
        <f>NPV([2]Parametre!$B$7,E15:AH15)+D15</f>
        <v>-265558789.14451215</v>
      </c>
      <c r="D15" s="32">
        <f>SUM(D13-D12-D11)</f>
        <v>-2890265.57</v>
      </c>
      <c r="E15" s="32">
        <f>SUM(E13-E12-E11)</f>
        <v>-5866527.5199999996</v>
      </c>
      <c r="F15" s="32">
        <f t="shared" ref="F15:AG15" si="2">SUM(F13-F12-F11)</f>
        <v>-53796505.054999985</v>
      </c>
      <c r="G15" s="32">
        <f t="shared" si="2"/>
        <v>-47453573.24499999</v>
      </c>
      <c r="H15" s="32">
        <f t="shared" si="2"/>
        <v>-35804065.790000007</v>
      </c>
      <c r="I15" s="32">
        <f t="shared" si="2"/>
        <v>-49364817.414263591</v>
      </c>
      <c r="J15" s="32">
        <f t="shared" si="2"/>
        <v>-58939633.808803082</v>
      </c>
      <c r="K15" s="32">
        <f t="shared" si="2"/>
        <v>-65597675.543342575</v>
      </c>
      <c r="L15" s="32">
        <f t="shared" si="2"/>
        <v>-40694816.887882054</v>
      </c>
      <c r="M15" s="32">
        <f t="shared" si="2"/>
        <v>-33983940.907421544</v>
      </c>
      <c r="N15" s="32">
        <f t="shared" si="2"/>
        <v>-12704122.881961029</v>
      </c>
      <c r="O15" s="32">
        <f t="shared" si="2"/>
        <v>1620005.0884994827</v>
      </c>
      <c r="P15" s="32">
        <f t="shared" si="2"/>
        <v>1613082.0339599969</v>
      </c>
      <c r="Q15" s="32">
        <f t="shared" si="2"/>
        <v>9517305.0144205093</v>
      </c>
      <c r="R15" s="32">
        <f t="shared" si="2"/>
        <v>2818709.7648810241</v>
      </c>
      <c r="S15" s="32">
        <f t="shared" si="2"/>
        <v>-3323390.0896584624</v>
      </c>
      <c r="T15" s="32">
        <f t="shared" si="2"/>
        <v>-93536.464197950438</v>
      </c>
      <c r="U15" s="32">
        <f t="shared" si="2"/>
        <v>1539874.0562625648</v>
      </c>
      <c r="V15" s="32">
        <f t="shared" si="2"/>
        <v>-671435.12327692332</v>
      </c>
      <c r="W15" s="32">
        <f t="shared" si="2"/>
        <v>1143755.9399999995</v>
      </c>
      <c r="X15" s="32">
        <f t="shared" si="2"/>
        <v>1561239.0243999995</v>
      </c>
      <c r="Y15" s="32">
        <f t="shared" si="2"/>
        <v>1437893.1695939982</v>
      </c>
      <c r="Z15" s="32">
        <f t="shared" si="2"/>
        <v>2092188.5977899386</v>
      </c>
      <c r="AA15" s="32">
        <f t="shared" si="2"/>
        <v>1548879.0273178397</v>
      </c>
      <c r="AB15" s="32">
        <f t="shared" si="2"/>
        <v>1544843.6475910181</v>
      </c>
      <c r="AC15" s="32">
        <f t="shared" si="2"/>
        <v>1540767.9140669275</v>
      </c>
      <c r="AD15" s="32">
        <f t="shared" si="2"/>
        <v>1536651.4232075969</v>
      </c>
      <c r="AE15" s="32">
        <f t="shared" si="2"/>
        <v>1532493.7674396727</v>
      </c>
      <c r="AF15" s="32">
        <f t="shared" si="2"/>
        <v>1528294.5351140695</v>
      </c>
      <c r="AG15" s="32">
        <f t="shared" si="2"/>
        <v>1524053.3104652101</v>
      </c>
      <c r="AH15" s="32">
        <f t="shared" ref="AH15" si="3">SUM(AH13-AH12+AH14)</f>
        <v>162398812.1702365</v>
      </c>
    </row>
    <row r="16" spans="1:34" x14ac:dyDescent="0.2">
      <c r="A16" s="11"/>
      <c r="B16" s="150"/>
      <c r="C16" s="126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1:34" x14ac:dyDescent="0.2">
      <c r="A17" s="11" t="s">
        <v>118</v>
      </c>
      <c r="B17" s="150"/>
      <c r="C17" s="124"/>
      <c r="D17" s="1"/>
      <c r="E17" s="77">
        <f>C15</f>
        <v>-265558789.14451215</v>
      </c>
      <c r="F17" s="77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1:34" x14ac:dyDescent="0.2">
      <c r="A18" s="11" t="s">
        <v>117</v>
      </c>
      <c r="B18" s="150"/>
      <c r="C18" s="124"/>
      <c r="D18" s="1"/>
      <c r="E18" s="44">
        <f>IRR(D15:AH15)</f>
        <v>-3.1975145219181211E-2</v>
      </c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1:34" x14ac:dyDescent="0.2">
      <c r="B19" s="271"/>
      <c r="D19" s="271"/>
      <c r="E19" s="271"/>
      <c r="F19" s="5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</row>
    <row r="20" spans="1:34" customFormat="1" ht="15" x14ac:dyDescent="0.25">
      <c r="A20" s="263" t="s">
        <v>473</v>
      </c>
      <c r="B20" s="276"/>
      <c r="C20" s="276"/>
      <c r="D20" s="276"/>
      <c r="E20" s="276"/>
      <c r="F20" s="276"/>
      <c r="G20" s="276"/>
      <c r="H20" s="276"/>
      <c r="I20" s="276"/>
      <c r="J20" s="276"/>
      <c r="K20" s="263"/>
      <c r="L20" s="276"/>
      <c r="M20" s="276"/>
      <c r="N20" s="276"/>
      <c r="O20" s="276"/>
      <c r="P20" s="276"/>
      <c r="Q20" s="276"/>
      <c r="R20" s="276"/>
      <c r="S20" s="276"/>
      <c r="T20" s="276"/>
      <c r="U20" s="276"/>
      <c r="V20" s="276"/>
      <c r="W20" s="263"/>
      <c r="X20" s="276"/>
      <c r="Y20" s="276"/>
      <c r="Z20" s="276"/>
      <c r="AA20" s="276"/>
      <c r="AB20" s="276"/>
      <c r="AC20" s="276"/>
      <c r="AD20" s="276"/>
      <c r="AE20" s="276"/>
      <c r="AF20" s="276"/>
      <c r="AG20" s="276"/>
    </row>
    <row r="21" spans="1:34" customFormat="1" ht="15" x14ac:dyDescent="0.25">
      <c r="A21" s="277" t="s">
        <v>474</v>
      </c>
      <c r="B21" s="278" t="s">
        <v>21</v>
      </c>
      <c r="C21" s="278" t="s">
        <v>287</v>
      </c>
      <c r="D21" s="278">
        <f>[2]Parametre!B10</f>
        <v>2022</v>
      </c>
      <c r="E21" s="278">
        <f>D21+1</f>
        <v>2023</v>
      </c>
      <c r="F21" s="278">
        <f t="shared" ref="F21:AG21" si="4">E21+1</f>
        <v>2024</v>
      </c>
      <c r="G21" s="278">
        <f t="shared" si="4"/>
        <v>2025</v>
      </c>
      <c r="H21" s="278">
        <f t="shared" si="4"/>
        <v>2026</v>
      </c>
      <c r="I21" s="278">
        <f t="shared" si="4"/>
        <v>2027</v>
      </c>
      <c r="J21" s="278">
        <f t="shared" si="4"/>
        <v>2028</v>
      </c>
      <c r="K21" s="278">
        <f t="shared" si="4"/>
        <v>2029</v>
      </c>
      <c r="L21" s="278">
        <f t="shared" si="4"/>
        <v>2030</v>
      </c>
      <c r="M21" s="278">
        <f t="shared" si="4"/>
        <v>2031</v>
      </c>
      <c r="N21" s="278">
        <f t="shared" si="4"/>
        <v>2032</v>
      </c>
      <c r="O21" s="278">
        <f t="shared" si="4"/>
        <v>2033</v>
      </c>
      <c r="P21" s="278">
        <f t="shared" si="4"/>
        <v>2034</v>
      </c>
      <c r="Q21" s="278">
        <f t="shared" si="4"/>
        <v>2035</v>
      </c>
      <c r="R21" s="278">
        <f t="shared" si="4"/>
        <v>2036</v>
      </c>
      <c r="S21" s="278">
        <f t="shared" si="4"/>
        <v>2037</v>
      </c>
      <c r="T21" s="278">
        <f t="shared" si="4"/>
        <v>2038</v>
      </c>
      <c r="U21" s="278">
        <f t="shared" si="4"/>
        <v>2039</v>
      </c>
      <c r="V21" s="278">
        <f t="shared" si="4"/>
        <v>2040</v>
      </c>
      <c r="W21" s="278">
        <f t="shared" si="4"/>
        <v>2041</v>
      </c>
      <c r="X21" s="278">
        <f t="shared" si="4"/>
        <v>2042</v>
      </c>
      <c r="Y21" s="278">
        <f t="shared" si="4"/>
        <v>2043</v>
      </c>
      <c r="Z21" s="278">
        <f t="shared" si="4"/>
        <v>2044</v>
      </c>
      <c r="AA21" s="278">
        <f t="shared" si="4"/>
        <v>2045</v>
      </c>
      <c r="AB21" s="278">
        <f t="shared" si="4"/>
        <v>2046</v>
      </c>
      <c r="AC21" s="278">
        <f t="shared" si="4"/>
        <v>2047</v>
      </c>
      <c r="AD21" s="278">
        <f t="shared" si="4"/>
        <v>2048</v>
      </c>
      <c r="AE21" s="278">
        <f t="shared" si="4"/>
        <v>2049</v>
      </c>
      <c r="AF21" s="278">
        <f t="shared" si="4"/>
        <v>2050</v>
      </c>
      <c r="AG21" s="278">
        <f t="shared" si="4"/>
        <v>2051</v>
      </c>
    </row>
    <row r="22" spans="1:34" customFormat="1" ht="15" x14ac:dyDescent="0.25">
      <c r="A22" s="277" t="s">
        <v>475</v>
      </c>
      <c r="B22" s="278">
        <f>SUM(C22:AG22)</f>
        <v>369977551.20950055</v>
      </c>
      <c r="C22" s="278">
        <f>Financovanie!C25</f>
        <v>1635322.9107807945</v>
      </c>
      <c r="D22" s="278">
        <f>Financovanie!D25</f>
        <v>17449677.137379333</v>
      </c>
      <c r="E22" s="278">
        <f>Financovanie!E25</f>
        <v>41295055.87951982</v>
      </c>
      <c r="F22" s="278">
        <f>Financovanie!F25</f>
        <v>43346732.063291579</v>
      </c>
      <c r="G22" s="278">
        <f>Financovanie!G25</f>
        <v>35215303.296115153</v>
      </c>
      <c r="H22" s="278">
        <f>Financovanie!H25</f>
        <v>39894796.191806696</v>
      </c>
      <c r="I22" s="278">
        <f>Financovanie!I25</f>
        <v>42016322.311608881</v>
      </c>
      <c r="J22" s="278">
        <f>Financovanie!J25</f>
        <v>46186231.581154436</v>
      </c>
      <c r="K22" s="278">
        <f>Financovanie!K25</f>
        <v>31771109.551263712</v>
      </c>
      <c r="L22" s="278">
        <f>Financovanie!L25</f>
        <v>31625960.602138627</v>
      </c>
      <c r="M22" s="278">
        <f>Financovanie!M25</f>
        <v>15083301.223959064</v>
      </c>
      <c r="N22" s="278">
        <f>Financovanie!N25</f>
        <v>0</v>
      </c>
      <c r="O22" s="278">
        <f>Financovanie!O25</f>
        <v>0</v>
      </c>
      <c r="P22" s="278">
        <f>Financovanie!P25</f>
        <v>177109.99979955592</v>
      </c>
      <c r="Q22" s="278">
        <f>Financovanie!Q25</f>
        <v>2174143.3560176445</v>
      </c>
      <c r="R22" s="278">
        <f>Financovanie!R25</f>
        <v>2781322.8502323986</v>
      </c>
      <c r="S22" s="278">
        <f>Financovanie!S25</f>
        <v>5499745.1972757922</v>
      </c>
      <c r="T22" s="278">
        <f>Financovanie!T25</f>
        <v>2162949.0970175834</v>
      </c>
      <c r="U22" s="278">
        <f>Financovanie!U25</f>
        <v>2206731.990481724</v>
      </c>
      <c r="V22" s="278">
        <f>Financovanie!V25</f>
        <v>238129.23119635758</v>
      </c>
      <c r="W22" s="278">
        <f>Financovanie!W25</f>
        <v>2882338.6309769172</v>
      </c>
      <c r="X22" s="278">
        <f>Financovanie!X25</f>
        <v>2946542.245120415</v>
      </c>
      <c r="Y22" s="278">
        <f>Financovanie!Y25</f>
        <v>3388725.8623639815</v>
      </c>
      <c r="Z22" s="278">
        <f>Financovanie!Z25</f>
        <v>0</v>
      </c>
      <c r="AA22" s="278">
        <f>Financovanie!AA25</f>
        <v>0</v>
      </c>
      <c r="AB22" s="278">
        <f>Financovanie!AB25</f>
        <v>0</v>
      </c>
      <c r="AC22" s="278">
        <f>Financovanie!AC25</f>
        <v>0</v>
      </c>
      <c r="AD22" s="278">
        <f>Financovanie!AD25</f>
        <v>0</v>
      </c>
      <c r="AE22" s="278">
        <f>Financovanie!AE25</f>
        <v>0</v>
      </c>
      <c r="AF22" s="278">
        <f>Financovanie!AF25</f>
        <v>0</v>
      </c>
      <c r="AG22" s="278">
        <f>Financovanie!AG25</f>
        <v>0</v>
      </c>
    </row>
    <row r="23" spans="1:34" customFormat="1" ht="15" x14ac:dyDescent="0.25">
      <c r="A23" s="277" t="s">
        <v>472</v>
      </c>
      <c r="B23" s="278">
        <f t="shared" ref="B23:B27" si="5">SUM(C23:AG23)</f>
        <v>-284702326.60000002</v>
      </c>
      <c r="C23" s="278">
        <f>D12</f>
        <v>0</v>
      </c>
      <c r="D23" s="278">
        <f>E12</f>
        <v>-24973987.649999999</v>
      </c>
      <c r="E23" s="278">
        <f t="shared" ref="E23:AG23" si="6">F12</f>
        <v>-19188272.100000001</v>
      </c>
      <c r="F23" s="278">
        <f t="shared" si="6"/>
        <v>-29157331.200000003</v>
      </c>
      <c r="G23" s="278">
        <f t="shared" si="6"/>
        <v>-26435372.049999997</v>
      </c>
      <c r="H23" s="278">
        <f t="shared" si="6"/>
        <v>-21436017.899999999</v>
      </c>
      <c r="I23" s="278">
        <f t="shared" si="6"/>
        <v>-15617704.450000003</v>
      </c>
      <c r="J23" s="278">
        <f t="shared" si="6"/>
        <v>-16336472.850000001</v>
      </c>
      <c r="K23" s="278">
        <f t="shared" si="6"/>
        <v>-15769004.399999999</v>
      </c>
      <c r="L23" s="278">
        <f t="shared" si="6"/>
        <v>-22082496.549999997</v>
      </c>
      <c r="M23" s="278">
        <f t="shared" si="6"/>
        <v>-14131783.350000001</v>
      </c>
      <c r="N23" s="278">
        <f t="shared" si="6"/>
        <v>-1804646</v>
      </c>
      <c r="O23" s="278">
        <f t="shared" si="6"/>
        <v>-1804646</v>
      </c>
      <c r="P23" s="278">
        <f t="shared" si="6"/>
        <v>-10028815.800000001</v>
      </c>
      <c r="Q23" s="278">
        <f t="shared" si="6"/>
        <v>-6866695.3000000007</v>
      </c>
      <c r="R23" s="278">
        <f t="shared" si="6"/>
        <v>-1804646</v>
      </c>
      <c r="S23" s="278">
        <f t="shared" si="6"/>
        <v>-9845955.4499999993</v>
      </c>
      <c r="T23" s="278">
        <f t="shared" si="6"/>
        <v>-5588844.0500000007</v>
      </c>
      <c r="U23" s="278">
        <f t="shared" si="6"/>
        <v>-3461839.6999999993</v>
      </c>
      <c r="V23" s="278">
        <f t="shared" si="6"/>
        <v>-1804646</v>
      </c>
      <c r="W23" s="278">
        <f t="shared" si="6"/>
        <v>-6899376</v>
      </c>
      <c r="X23" s="278">
        <f t="shared" si="6"/>
        <v>-6893420.1499999985</v>
      </c>
      <c r="Y23" s="278">
        <f t="shared" si="6"/>
        <v>-8333185.6499999985</v>
      </c>
      <c r="Z23" s="278">
        <f t="shared" si="6"/>
        <v>-1804646</v>
      </c>
      <c r="AA23" s="278">
        <f t="shared" si="6"/>
        <v>-1804646</v>
      </c>
      <c r="AB23" s="278">
        <f t="shared" si="6"/>
        <v>-1804646</v>
      </c>
      <c r="AC23" s="278">
        <f t="shared" si="6"/>
        <v>-1804646</v>
      </c>
      <c r="AD23" s="278">
        <f t="shared" si="6"/>
        <v>-1804646</v>
      </c>
      <c r="AE23" s="278">
        <f t="shared" si="6"/>
        <v>-1804646</v>
      </c>
      <c r="AF23" s="278">
        <f t="shared" si="6"/>
        <v>-1804646</v>
      </c>
      <c r="AG23" s="278">
        <f t="shared" si="6"/>
        <v>-1804646</v>
      </c>
    </row>
    <row r="24" spans="1:34" customFormat="1" ht="15" x14ac:dyDescent="0.25">
      <c r="A24" s="277" t="s">
        <v>476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  <c r="AD24" s="278"/>
      <c r="AE24" s="278"/>
      <c r="AF24" s="278"/>
      <c r="AG24" s="278"/>
    </row>
    <row r="25" spans="1:34" customFormat="1" ht="15" x14ac:dyDescent="0.25">
      <c r="A25" s="277" t="s">
        <v>39</v>
      </c>
      <c r="B25" s="278">
        <f t="shared" si="5"/>
        <v>-6369440.1122275097</v>
      </c>
      <c r="C25" s="278">
        <f>D13</f>
        <v>0</v>
      </c>
      <c r="D25" s="278">
        <f t="shared" ref="D25:AG25" si="7">E13</f>
        <v>0</v>
      </c>
      <c r="E25" s="278">
        <f t="shared" si="7"/>
        <v>0</v>
      </c>
      <c r="F25" s="278">
        <f t="shared" si="7"/>
        <v>0</v>
      </c>
      <c r="G25" s="278">
        <f t="shared" si="7"/>
        <v>0</v>
      </c>
      <c r="H25" s="278">
        <f t="shared" si="7"/>
        <v>-290873.58426359855</v>
      </c>
      <c r="I25" s="278">
        <f t="shared" si="7"/>
        <v>-297796.63880308438</v>
      </c>
      <c r="J25" s="278">
        <f t="shared" si="7"/>
        <v>-304719.69334257115</v>
      </c>
      <c r="K25" s="278">
        <f t="shared" si="7"/>
        <v>-311642.74788205698</v>
      </c>
      <c r="L25" s="278">
        <f t="shared" si="7"/>
        <v>-170794.80242154468</v>
      </c>
      <c r="M25" s="278">
        <f t="shared" si="7"/>
        <v>-177717.85696103051</v>
      </c>
      <c r="N25" s="278">
        <f t="shared" si="7"/>
        <v>-184640.91150051728</v>
      </c>
      <c r="O25" s="278">
        <f t="shared" si="7"/>
        <v>-191563.96604000311</v>
      </c>
      <c r="P25" s="278">
        <f t="shared" si="7"/>
        <v>-198487.02057949081</v>
      </c>
      <c r="Q25" s="278">
        <f t="shared" si="7"/>
        <v>-205410.07511897665</v>
      </c>
      <c r="R25" s="278">
        <f t="shared" si="7"/>
        <v>-212333.12965846248</v>
      </c>
      <c r="S25" s="278">
        <f t="shared" si="7"/>
        <v>-219256.18419795018</v>
      </c>
      <c r="T25" s="278">
        <f t="shared" si="7"/>
        <v>-226179.23873743601</v>
      </c>
      <c r="U25" s="278">
        <f t="shared" si="7"/>
        <v>-233102.29327692278</v>
      </c>
      <c r="V25" s="278">
        <f t="shared" si="7"/>
        <v>-240021.06000000052</v>
      </c>
      <c r="W25" s="278">
        <f t="shared" si="7"/>
        <v>-243898.98060000036</v>
      </c>
      <c r="X25" s="278">
        <f t="shared" si="7"/>
        <v>-247815.68040600047</v>
      </c>
      <c r="Y25" s="278">
        <f t="shared" si="7"/>
        <v>-251771.54721006006</v>
      </c>
      <c r="Z25" s="278">
        <f t="shared" si="7"/>
        <v>-255766.97268216033</v>
      </c>
      <c r="AA25" s="278">
        <f t="shared" si="7"/>
        <v>-259802.35240898188</v>
      </c>
      <c r="AB25" s="278">
        <f t="shared" si="7"/>
        <v>-263878.08593307249</v>
      </c>
      <c r="AC25" s="278">
        <f t="shared" si="7"/>
        <v>-267994.57679240312</v>
      </c>
      <c r="AD25" s="278">
        <f t="shared" si="7"/>
        <v>-272152.23256032728</v>
      </c>
      <c r="AE25" s="278">
        <f t="shared" si="7"/>
        <v>-276351.46488593053</v>
      </c>
      <c r="AF25" s="278">
        <f t="shared" si="7"/>
        <v>-280592.68953478988</v>
      </c>
      <c r="AG25" s="278">
        <f t="shared" si="7"/>
        <v>-284876.32643013727</v>
      </c>
    </row>
    <row r="26" spans="1:34" customFormat="1" ht="15" x14ac:dyDescent="0.25">
      <c r="A26" s="277" t="s">
        <v>27</v>
      </c>
      <c r="B26" s="278">
        <f t="shared" si="5"/>
        <v>160879042.49666664</v>
      </c>
      <c r="C26" s="278"/>
      <c r="D26" s="278"/>
      <c r="E26" s="278"/>
      <c r="F26" s="278"/>
      <c r="G26" s="278"/>
      <c r="H26" s="278"/>
      <c r="I26" s="278"/>
      <c r="J26" s="278"/>
      <c r="K26" s="278"/>
      <c r="L26" s="278"/>
      <c r="M26" s="278"/>
      <c r="N26" s="278"/>
      <c r="O26" s="278"/>
      <c r="P26" s="278"/>
      <c r="Q26" s="278"/>
      <c r="R26" s="278"/>
      <c r="S26" s="278"/>
      <c r="T26" s="278"/>
      <c r="U26" s="278"/>
      <c r="V26" s="278"/>
      <c r="W26" s="278"/>
      <c r="X26" s="278"/>
      <c r="Y26" s="278"/>
      <c r="Z26" s="278"/>
      <c r="AA26" s="278"/>
      <c r="AB26" s="278"/>
      <c r="AC26" s="278"/>
      <c r="AD26" s="278"/>
      <c r="AE26" s="278"/>
      <c r="AF26" s="278"/>
      <c r="AG26" s="278">
        <f>AH14</f>
        <v>160879042.49666664</v>
      </c>
    </row>
    <row r="27" spans="1:34" customFormat="1" ht="15" x14ac:dyDescent="0.25">
      <c r="A27" s="277" t="s">
        <v>477</v>
      </c>
      <c r="B27" s="278">
        <f t="shared" si="5"/>
        <v>69234377.774938613</v>
      </c>
      <c r="C27" s="278">
        <f>C25-C24-C23-C22</f>
        <v>-1635322.9107807945</v>
      </c>
      <c r="D27" s="278">
        <f t="shared" ref="D27:AF27" si="8">D25-D24-D23-D22</f>
        <v>7524310.5126206651</v>
      </c>
      <c r="E27" s="278">
        <f t="shared" si="8"/>
        <v>-22106783.779519819</v>
      </c>
      <c r="F27" s="278">
        <f t="shared" si="8"/>
        <v>-14189400.863291577</v>
      </c>
      <c r="G27" s="278">
        <f t="shared" si="8"/>
        <v>-8779931.2461151555</v>
      </c>
      <c r="H27" s="278">
        <f t="shared" si="8"/>
        <v>-18749651.876070298</v>
      </c>
      <c r="I27" s="278">
        <f t="shared" si="8"/>
        <v>-26696414.500411961</v>
      </c>
      <c r="J27" s="278">
        <f t="shared" si="8"/>
        <v>-30154478.424497005</v>
      </c>
      <c r="K27" s="278">
        <f t="shared" si="8"/>
        <v>-16313747.899145771</v>
      </c>
      <c r="L27" s="278">
        <f t="shared" si="8"/>
        <v>-9714258.854560174</v>
      </c>
      <c r="M27" s="278">
        <f t="shared" si="8"/>
        <v>-1129235.7309200931</v>
      </c>
      <c r="N27" s="278">
        <f t="shared" si="8"/>
        <v>1620005.0884994827</v>
      </c>
      <c r="O27" s="278">
        <f t="shared" si="8"/>
        <v>1613082.0339599969</v>
      </c>
      <c r="P27" s="278">
        <f t="shared" si="8"/>
        <v>9653218.7796209548</v>
      </c>
      <c r="Q27" s="278">
        <f t="shared" si="8"/>
        <v>4487141.8688633796</v>
      </c>
      <c r="R27" s="278">
        <f t="shared" si="8"/>
        <v>-1189009.9798908611</v>
      </c>
      <c r="S27" s="278">
        <f t="shared" si="8"/>
        <v>4126954.0685262559</v>
      </c>
      <c r="T27" s="278">
        <f t="shared" si="8"/>
        <v>3199715.7142449813</v>
      </c>
      <c r="U27" s="278">
        <f t="shared" si="8"/>
        <v>1022005.4162413524</v>
      </c>
      <c r="V27" s="278">
        <f t="shared" si="8"/>
        <v>1326495.7088036418</v>
      </c>
      <c r="W27" s="278">
        <f t="shared" si="8"/>
        <v>3773138.3884230824</v>
      </c>
      <c r="X27" s="278">
        <f t="shared" si="8"/>
        <v>3699062.224473583</v>
      </c>
      <c r="Y27" s="278">
        <f t="shared" si="8"/>
        <v>4692688.2404259574</v>
      </c>
      <c r="Z27" s="278">
        <f t="shared" si="8"/>
        <v>1548879.0273178397</v>
      </c>
      <c r="AA27" s="278">
        <f t="shared" si="8"/>
        <v>1544843.6475910181</v>
      </c>
      <c r="AB27" s="278">
        <f t="shared" si="8"/>
        <v>1540767.9140669275</v>
      </c>
      <c r="AC27" s="278">
        <f t="shared" si="8"/>
        <v>1536651.4232075969</v>
      </c>
      <c r="AD27" s="278">
        <f t="shared" si="8"/>
        <v>1532493.7674396727</v>
      </c>
      <c r="AE27" s="278">
        <f t="shared" si="8"/>
        <v>1528294.5351140695</v>
      </c>
      <c r="AF27" s="278">
        <f t="shared" si="8"/>
        <v>1524053.3104652101</v>
      </c>
      <c r="AG27" s="278">
        <f>AG26+AG25-AG24-AG23-AG22</f>
        <v>162398812.1702365</v>
      </c>
    </row>
    <row r="28" spans="1:34" customFormat="1" ht="15" x14ac:dyDescent="0.25">
      <c r="B28" s="276"/>
      <c r="C28" s="276"/>
      <c r="D28" s="276"/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  <c r="Y28" s="276"/>
      <c r="Z28" s="276"/>
      <c r="AA28" s="276"/>
      <c r="AB28" s="276"/>
      <c r="AC28" s="276"/>
      <c r="AD28" s="276"/>
      <c r="AE28" s="276"/>
      <c r="AF28" s="276"/>
      <c r="AG28" s="276"/>
    </row>
    <row r="29" spans="1:34" customFormat="1" ht="15" x14ac:dyDescent="0.25">
      <c r="A29" s="258" t="s">
        <v>478</v>
      </c>
      <c r="B29" s="276"/>
      <c r="C29" s="276"/>
      <c r="D29" s="279">
        <f>C27+NPV([2]Parametre!B7,D27:AG27)</f>
        <v>-39833818.371676803</v>
      </c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  <c r="Y29" s="276"/>
      <c r="Z29" s="276"/>
      <c r="AA29" s="276"/>
      <c r="AB29" s="276"/>
      <c r="AC29" s="276"/>
      <c r="AD29" s="276"/>
      <c r="AE29" s="276"/>
      <c r="AF29" s="276"/>
      <c r="AG29" s="276"/>
    </row>
    <row r="30" spans="1:34" customFormat="1" ht="15" x14ac:dyDescent="0.25">
      <c r="A30" s="258" t="s">
        <v>479</v>
      </c>
      <c r="B30" s="276"/>
      <c r="C30" s="276"/>
      <c r="D30" s="280">
        <f>IRR(C27:AG27)</f>
        <v>1.8717586458842916E-2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  <c r="AB30" s="276"/>
      <c r="AC30" s="276"/>
      <c r="AD30" s="276"/>
      <c r="AE30" s="276"/>
      <c r="AF30" s="276"/>
      <c r="AG30" s="276"/>
    </row>
    <row r="31" spans="1:34" customFormat="1" ht="15" x14ac:dyDescent="0.25">
      <c r="A31" s="281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2"/>
      <c r="P31" s="282"/>
      <c r="Q31" s="282"/>
      <c r="R31" s="282"/>
      <c r="S31" s="282"/>
      <c r="T31" s="282"/>
      <c r="U31" s="282"/>
      <c r="V31" s="282"/>
      <c r="W31" s="282"/>
      <c r="X31" s="282"/>
      <c r="Y31" s="282"/>
      <c r="Z31" s="282"/>
      <c r="AA31" s="282"/>
      <c r="AB31" s="282"/>
      <c r="AC31" s="282"/>
      <c r="AD31" s="282"/>
      <c r="AE31" s="282"/>
      <c r="AF31" s="282"/>
      <c r="AG31" s="282"/>
    </row>
    <row r="32" spans="1:34" s="281" customFormat="1" ht="15" x14ac:dyDescent="0.25">
      <c r="A32" s="209" t="s">
        <v>480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09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09"/>
      <c r="X32" s="283"/>
      <c r="Y32" s="283"/>
      <c r="Z32" s="283"/>
      <c r="AA32" s="283"/>
      <c r="AB32" s="283"/>
      <c r="AC32" s="283"/>
      <c r="AD32" s="283"/>
      <c r="AE32" s="283"/>
      <c r="AF32" s="283"/>
      <c r="AG32" s="283"/>
    </row>
    <row r="33" spans="1:33" customFormat="1" ht="15" x14ac:dyDescent="0.25">
      <c r="A33" s="109" t="s">
        <v>474</v>
      </c>
      <c r="B33" s="278" t="s">
        <v>21</v>
      </c>
      <c r="C33" s="278" t="s">
        <v>287</v>
      </c>
      <c r="D33" s="278">
        <f>[2]Parametre!B10</f>
        <v>2022</v>
      </c>
      <c r="E33" s="278">
        <f>D33+1</f>
        <v>2023</v>
      </c>
      <c r="F33" s="278">
        <f t="shared" ref="F33:AG33" si="9">E33+1</f>
        <v>2024</v>
      </c>
      <c r="G33" s="278">
        <f t="shared" si="9"/>
        <v>2025</v>
      </c>
      <c r="H33" s="278">
        <f t="shared" si="9"/>
        <v>2026</v>
      </c>
      <c r="I33" s="278">
        <f t="shared" si="9"/>
        <v>2027</v>
      </c>
      <c r="J33" s="278">
        <f t="shared" si="9"/>
        <v>2028</v>
      </c>
      <c r="K33" s="278">
        <f t="shared" si="9"/>
        <v>2029</v>
      </c>
      <c r="L33" s="278">
        <f t="shared" si="9"/>
        <v>2030</v>
      </c>
      <c r="M33" s="278">
        <f t="shared" si="9"/>
        <v>2031</v>
      </c>
      <c r="N33" s="278">
        <f t="shared" si="9"/>
        <v>2032</v>
      </c>
      <c r="O33" s="278">
        <f t="shared" si="9"/>
        <v>2033</v>
      </c>
      <c r="P33" s="278">
        <f t="shared" si="9"/>
        <v>2034</v>
      </c>
      <c r="Q33" s="278">
        <f t="shared" si="9"/>
        <v>2035</v>
      </c>
      <c r="R33" s="278">
        <f t="shared" si="9"/>
        <v>2036</v>
      </c>
      <c r="S33" s="278">
        <f t="shared" si="9"/>
        <v>2037</v>
      </c>
      <c r="T33" s="278">
        <f t="shared" si="9"/>
        <v>2038</v>
      </c>
      <c r="U33" s="278">
        <f t="shared" si="9"/>
        <v>2039</v>
      </c>
      <c r="V33" s="278">
        <f t="shared" si="9"/>
        <v>2040</v>
      </c>
      <c r="W33" s="278">
        <f t="shared" si="9"/>
        <v>2041</v>
      </c>
      <c r="X33" s="278">
        <f t="shared" si="9"/>
        <v>2042</v>
      </c>
      <c r="Y33" s="278">
        <f t="shared" si="9"/>
        <v>2043</v>
      </c>
      <c r="Z33" s="278">
        <f t="shared" si="9"/>
        <v>2044</v>
      </c>
      <c r="AA33" s="278">
        <f t="shared" si="9"/>
        <v>2045</v>
      </c>
      <c r="AB33" s="278">
        <f t="shared" si="9"/>
        <v>2046</v>
      </c>
      <c r="AC33" s="278">
        <f t="shared" si="9"/>
        <v>2047</v>
      </c>
      <c r="AD33" s="278">
        <f t="shared" si="9"/>
        <v>2048</v>
      </c>
      <c r="AE33" s="278">
        <f t="shared" si="9"/>
        <v>2049</v>
      </c>
      <c r="AF33" s="278">
        <f t="shared" si="9"/>
        <v>2050</v>
      </c>
      <c r="AG33" s="278">
        <f t="shared" si="9"/>
        <v>2051</v>
      </c>
    </row>
    <row r="34" spans="1:33" customFormat="1" ht="15" x14ac:dyDescent="0.25">
      <c r="A34" s="109" t="s">
        <v>481</v>
      </c>
      <c r="B34" s="278">
        <f>SUM(C34:AG34)</f>
        <v>653897386.79999995</v>
      </c>
      <c r="C34" s="278">
        <f>Financovanie!C23</f>
        <v>2890265.57</v>
      </c>
      <c r="D34" s="278">
        <f>Financovanie!D23</f>
        <v>30840515.169999998</v>
      </c>
      <c r="E34" s="278">
        <f>Financovanie!E23</f>
        <v>72984777.154999986</v>
      </c>
      <c r="F34" s="278">
        <f>Financovanie!F23</f>
        <v>76610904.444999993</v>
      </c>
      <c r="G34" s="278">
        <f>Financovanie!G23</f>
        <v>62239437.840000004</v>
      </c>
      <c r="H34" s="278">
        <f>Financovanie!H23</f>
        <v>70509961.729999989</v>
      </c>
      <c r="I34" s="278">
        <f>Financovanie!I23</f>
        <v>74259541.620000005</v>
      </c>
      <c r="J34" s="278">
        <f>Financovanie!J23</f>
        <v>81629428.700000003</v>
      </c>
      <c r="K34" s="278">
        <f>Financovanie!K23</f>
        <v>56152178.539999992</v>
      </c>
      <c r="L34" s="278">
        <f>Financovanie!L23</f>
        <v>55895642.655000001</v>
      </c>
      <c r="M34" s="278">
        <f>Financovanie!M23</f>
        <v>26658188.375</v>
      </c>
      <c r="N34" s="278">
        <f>Financovanie!N23</f>
        <v>0</v>
      </c>
      <c r="O34" s="278">
        <f>Financovanie!O23</f>
        <v>0</v>
      </c>
      <c r="P34" s="278">
        <f>Financovanie!P23</f>
        <v>313023.76500000001</v>
      </c>
      <c r="Q34" s="278">
        <f>Financovanie!Q23</f>
        <v>3842575.46</v>
      </c>
      <c r="R34" s="278">
        <f>Financovanie!R23</f>
        <v>4915702.96</v>
      </c>
      <c r="S34" s="278">
        <f>Financovanie!S23</f>
        <v>9720235.7299999986</v>
      </c>
      <c r="T34" s="278">
        <f>Financovanie!T23</f>
        <v>3822790.7549999999</v>
      </c>
      <c r="U34" s="278">
        <f>Financovanie!U23</f>
        <v>3900172.53</v>
      </c>
      <c r="V34" s="278">
        <f>Financovanie!V23</f>
        <v>420869</v>
      </c>
      <c r="W34" s="278">
        <f>Financovanie!W23</f>
        <v>5094237.9950000001</v>
      </c>
      <c r="X34" s="278">
        <f>Financovanie!X23</f>
        <v>5207711.3</v>
      </c>
      <c r="Y34" s="278">
        <f>Financovanie!Y23</f>
        <v>5989225.5049999999</v>
      </c>
      <c r="Z34" s="278">
        <f>Financovanie!Z23</f>
        <v>0</v>
      </c>
      <c r="AA34" s="278">
        <f>Financovanie!AA23</f>
        <v>0</v>
      </c>
      <c r="AB34" s="278">
        <f>Financovanie!AB23</f>
        <v>0</v>
      </c>
      <c r="AC34" s="278">
        <f>Financovanie!AC23</f>
        <v>0</v>
      </c>
      <c r="AD34" s="278">
        <f>Financovanie!AD23</f>
        <v>0</v>
      </c>
      <c r="AE34" s="278">
        <f>Financovanie!AE23</f>
        <v>0</v>
      </c>
      <c r="AF34" s="278">
        <f>Financovanie!AF23</f>
        <v>0</v>
      </c>
      <c r="AG34" s="278">
        <f>Financovanie!AG23</f>
        <v>0</v>
      </c>
    </row>
    <row r="35" spans="1:33" customFormat="1" ht="15" x14ac:dyDescent="0.25">
      <c r="A35" s="109" t="s">
        <v>39</v>
      </c>
      <c r="B35" s="278">
        <f t="shared" ref="B35:B41" si="10">SUM(C35:AG35)</f>
        <v>-6369440.1122275097</v>
      </c>
      <c r="C35" s="278">
        <f>D13</f>
        <v>0</v>
      </c>
      <c r="D35" s="278">
        <f t="shared" ref="D35:AG35" si="11">E13</f>
        <v>0</v>
      </c>
      <c r="E35" s="278">
        <f t="shared" si="11"/>
        <v>0</v>
      </c>
      <c r="F35" s="278">
        <f t="shared" si="11"/>
        <v>0</v>
      </c>
      <c r="G35" s="278">
        <f t="shared" si="11"/>
        <v>0</v>
      </c>
      <c r="H35" s="278">
        <f t="shared" si="11"/>
        <v>-290873.58426359855</v>
      </c>
      <c r="I35" s="278">
        <f t="shared" si="11"/>
        <v>-297796.63880308438</v>
      </c>
      <c r="J35" s="278">
        <f t="shared" si="11"/>
        <v>-304719.69334257115</v>
      </c>
      <c r="K35" s="278">
        <f t="shared" si="11"/>
        <v>-311642.74788205698</v>
      </c>
      <c r="L35" s="278">
        <f t="shared" si="11"/>
        <v>-170794.80242154468</v>
      </c>
      <c r="M35" s="278">
        <f t="shared" si="11"/>
        <v>-177717.85696103051</v>
      </c>
      <c r="N35" s="278">
        <f t="shared" si="11"/>
        <v>-184640.91150051728</v>
      </c>
      <c r="O35" s="278">
        <f t="shared" si="11"/>
        <v>-191563.96604000311</v>
      </c>
      <c r="P35" s="278">
        <f t="shared" si="11"/>
        <v>-198487.02057949081</v>
      </c>
      <c r="Q35" s="278">
        <f t="shared" si="11"/>
        <v>-205410.07511897665</v>
      </c>
      <c r="R35" s="278">
        <f t="shared" si="11"/>
        <v>-212333.12965846248</v>
      </c>
      <c r="S35" s="278">
        <f t="shared" si="11"/>
        <v>-219256.18419795018</v>
      </c>
      <c r="T35" s="278">
        <f t="shared" si="11"/>
        <v>-226179.23873743601</v>
      </c>
      <c r="U35" s="278">
        <f t="shared" si="11"/>
        <v>-233102.29327692278</v>
      </c>
      <c r="V35" s="278">
        <f t="shared" si="11"/>
        <v>-240021.06000000052</v>
      </c>
      <c r="W35" s="278">
        <f t="shared" si="11"/>
        <v>-243898.98060000036</v>
      </c>
      <c r="X35" s="278">
        <f t="shared" si="11"/>
        <v>-247815.68040600047</v>
      </c>
      <c r="Y35" s="278">
        <f t="shared" si="11"/>
        <v>-251771.54721006006</v>
      </c>
      <c r="Z35" s="278">
        <f t="shared" si="11"/>
        <v>-255766.97268216033</v>
      </c>
      <c r="AA35" s="278">
        <f t="shared" si="11"/>
        <v>-259802.35240898188</v>
      </c>
      <c r="AB35" s="278">
        <f t="shared" si="11"/>
        <v>-263878.08593307249</v>
      </c>
      <c r="AC35" s="278">
        <f t="shared" si="11"/>
        <v>-267994.57679240312</v>
      </c>
      <c r="AD35" s="278">
        <f t="shared" si="11"/>
        <v>-272152.23256032728</v>
      </c>
      <c r="AE35" s="278">
        <f t="shared" si="11"/>
        <v>-276351.46488593053</v>
      </c>
      <c r="AF35" s="278">
        <f t="shared" si="11"/>
        <v>-280592.68953478988</v>
      </c>
      <c r="AG35" s="278">
        <f t="shared" si="11"/>
        <v>-284876.32643013727</v>
      </c>
    </row>
    <row r="36" spans="1:33" customFormat="1" ht="15" x14ac:dyDescent="0.25">
      <c r="A36" s="109" t="s">
        <v>482</v>
      </c>
      <c r="B36" s="278">
        <f t="shared" si="10"/>
        <v>647527946.68777251</v>
      </c>
      <c r="C36" s="278">
        <f t="shared" ref="C36:AG36" si="12">SUM(C34:C35)</f>
        <v>2890265.57</v>
      </c>
      <c r="D36" s="278">
        <f t="shared" si="12"/>
        <v>30840515.169999998</v>
      </c>
      <c r="E36" s="278">
        <f t="shared" si="12"/>
        <v>72984777.154999986</v>
      </c>
      <c r="F36" s="278">
        <f t="shared" si="12"/>
        <v>76610904.444999993</v>
      </c>
      <c r="G36" s="278">
        <f t="shared" si="12"/>
        <v>62239437.840000004</v>
      </c>
      <c r="H36" s="278">
        <f t="shared" si="12"/>
        <v>70219088.145736396</v>
      </c>
      <c r="I36" s="278">
        <f t="shared" si="12"/>
        <v>73961744.981196925</v>
      </c>
      <c r="J36" s="278">
        <f t="shared" si="12"/>
        <v>81324709.006657436</v>
      </c>
      <c r="K36" s="278">
        <f t="shared" si="12"/>
        <v>55840535.792117938</v>
      </c>
      <c r="L36" s="278">
        <f t="shared" si="12"/>
        <v>55724847.852578454</v>
      </c>
      <c r="M36" s="278">
        <f t="shared" si="12"/>
        <v>26480470.518038969</v>
      </c>
      <c r="N36" s="278">
        <f t="shared" si="12"/>
        <v>-184640.91150051728</v>
      </c>
      <c r="O36" s="278">
        <f t="shared" si="12"/>
        <v>-191563.96604000311</v>
      </c>
      <c r="P36" s="278">
        <f t="shared" si="12"/>
        <v>114536.7444205092</v>
      </c>
      <c r="Q36" s="278">
        <f t="shared" si="12"/>
        <v>3637165.3848810233</v>
      </c>
      <c r="R36" s="278">
        <f t="shared" si="12"/>
        <v>4703369.8303415375</v>
      </c>
      <c r="S36" s="278">
        <f t="shared" si="12"/>
        <v>9500979.5458020493</v>
      </c>
      <c r="T36" s="278">
        <f t="shared" si="12"/>
        <v>3596611.5162625639</v>
      </c>
      <c r="U36" s="278">
        <f t="shared" si="12"/>
        <v>3667070.236723077</v>
      </c>
      <c r="V36" s="278">
        <f t="shared" si="12"/>
        <v>180847.93999999948</v>
      </c>
      <c r="W36" s="278">
        <f t="shared" si="12"/>
        <v>4850339.0143999998</v>
      </c>
      <c r="X36" s="278">
        <f t="shared" si="12"/>
        <v>4959895.6195939993</v>
      </c>
      <c r="Y36" s="278">
        <f t="shared" si="12"/>
        <v>5737453.9577899398</v>
      </c>
      <c r="Z36" s="278">
        <f t="shared" si="12"/>
        <v>-255766.97268216033</v>
      </c>
      <c r="AA36" s="278">
        <f t="shared" si="12"/>
        <v>-259802.35240898188</v>
      </c>
      <c r="AB36" s="278">
        <f t="shared" si="12"/>
        <v>-263878.08593307249</v>
      </c>
      <c r="AC36" s="278">
        <f t="shared" si="12"/>
        <v>-267994.57679240312</v>
      </c>
      <c r="AD36" s="278">
        <f t="shared" si="12"/>
        <v>-272152.23256032728</v>
      </c>
      <c r="AE36" s="278">
        <f t="shared" si="12"/>
        <v>-276351.46488593053</v>
      </c>
      <c r="AF36" s="278">
        <f t="shared" si="12"/>
        <v>-280592.68953478988</v>
      </c>
      <c r="AG36" s="278">
        <f t="shared" si="12"/>
        <v>-284876.32643013727</v>
      </c>
    </row>
    <row r="37" spans="1:33" customFormat="1" ht="15" x14ac:dyDescent="0.25">
      <c r="A37" s="109" t="s">
        <v>471</v>
      </c>
      <c r="B37" s="278">
        <f t="shared" si="10"/>
        <v>653897386.79999995</v>
      </c>
      <c r="C37" s="278">
        <f t="shared" ref="C37:AG37" si="13">D11</f>
        <v>2890265.57</v>
      </c>
      <c r="D37" s="278">
        <f t="shared" si="13"/>
        <v>30840515.169999998</v>
      </c>
      <c r="E37" s="278">
        <f t="shared" si="13"/>
        <v>72984777.154999986</v>
      </c>
      <c r="F37" s="278">
        <f t="shared" si="13"/>
        <v>76610904.444999993</v>
      </c>
      <c r="G37" s="278">
        <f t="shared" si="13"/>
        <v>62239437.840000004</v>
      </c>
      <c r="H37" s="278">
        <f t="shared" si="13"/>
        <v>70509961.729999989</v>
      </c>
      <c r="I37" s="278">
        <f t="shared" si="13"/>
        <v>74259541.620000005</v>
      </c>
      <c r="J37" s="278">
        <f t="shared" si="13"/>
        <v>81629428.700000003</v>
      </c>
      <c r="K37" s="278">
        <f t="shared" si="13"/>
        <v>56152178.539999992</v>
      </c>
      <c r="L37" s="278">
        <f t="shared" si="13"/>
        <v>55895642.655000001</v>
      </c>
      <c r="M37" s="278">
        <f t="shared" si="13"/>
        <v>26658188.375</v>
      </c>
      <c r="N37" s="278">
        <f t="shared" si="13"/>
        <v>0</v>
      </c>
      <c r="O37" s="278">
        <f t="shared" si="13"/>
        <v>0</v>
      </c>
      <c r="P37" s="278">
        <f t="shared" si="13"/>
        <v>313023.76500000001</v>
      </c>
      <c r="Q37" s="278">
        <f t="shared" si="13"/>
        <v>3842575.46</v>
      </c>
      <c r="R37" s="278">
        <f t="shared" si="13"/>
        <v>4915702.96</v>
      </c>
      <c r="S37" s="278">
        <f t="shared" si="13"/>
        <v>9720235.7299999986</v>
      </c>
      <c r="T37" s="278">
        <f t="shared" si="13"/>
        <v>3822790.7549999999</v>
      </c>
      <c r="U37" s="278">
        <f t="shared" si="13"/>
        <v>3900172.53</v>
      </c>
      <c r="V37" s="278">
        <f t="shared" si="13"/>
        <v>420869</v>
      </c>
      <c r="W37" s="278">
        <f t="shared" si="13"/>
        <v>5094237.9950000001</v>
      </c>
      <c r="X37" s="278">
        <f t="shared" si="13"/>
        <v>5207711.3</v>
      </c>
      <c r="Y37" s="278">
        <f t="shared" si="13"/>
        <v>5989225.5049999999</v>
      </c>
      <c r="Z37" s="278">
        <f t="shared" si="13"/>
        <v>0</v>
      </c>
      <c r="AA37" s="278">
        <f t="shared" si="13"/>
        <v>0</v>
      </c>
      <c r="AB37" s="278">
        <f t="shared" si="13"/>
        <v>0</v>
      </c>
      <c r="AC37" s="278">
        <f t="shared" si="13"/>
        <v>0</v>
      </c>
      <c r="AD37" s="278">
        <f t="shared" si="13"/>
        <v>0</v>
      </c>
      <c r="AE37" s="278">
        <f t="shared" si="13"/>
        <v>0</v>
      </c>
      <c r="AF37" s="278">
        <f t="shared" si="13"/>
        <v>0</v>
      </c>
      <c r="AG37" s="278">
        <f t="shared" si="13"/>
        <v>0</v>
      </c>
    </row>
    <row r="38" spans="1:33" customFormat="1" ht="15" x14ac:dyDescent="0.25">
      <c r="A38" s="109" t="s">
        <v>472</v>
      </c>
      <c r="B38" s="278">
        <f t="shared" si="10"/>
        <v>-284702326.60000002</v>
      </c>
      <c r="C38" s="278">
        <f t="shared" ref="C38:AG38" si="14">D12</f>
        <v>0</v>
      </c>
      <c r="D38" s="278">
        <f t="shared" si="14"/>
        <v>-24973987.649999999</v>
      </c>
      <c r="E38" s="278">
        <f t="shared" si="14"/>
        <v>-19188272.100000001</v>
      </c>
      <c r="F38" s="278">
        <f t="shared" si="14"/>
        <v>-29157331.200000003</v>
      </c>
      <c r="G38" s="278">
        <f t="shared" si="14"/>
        <v>-26435372.049999997</v>
      </c>
      <c r="H38" s="278">
        <f t="shared" si="14"/>
        <v>-21436017.899999999</v>
      </c>
      <c r="I38" s="278">
        <f t="shared" si="14"/>
        <v>-15617704.450000003</v>
      </c>
      <c r="J38" s="278">
        <f t="shared" si="14"/>
        <v>-16336472.850000001</v>
      </c>
      <c r="K38" s="278">
        <f t="shared" si="14"/>
        <v>-15769004.399999999</v>
      </c>
      <c r="L38" s="278">
        <f t="shared" si="14"/>
        <v>-22082496.549999997</v>
      </c>
      <c r="M38" s="278">
        <f t="shared" si="14"/>
        <v>-14131783.350000001</v>
      </c>
      <c r="N38" s="278">
        <f t="shared" si="14"/>
        <v>-1804646</v>
      </c>
      <c r="O38" s="278">
        <f t="shared" si="14"/>
        <v>-1804646</v>
      </c>
      <c r="P38" s="278">
        <f t="shared" si="14"/>
        <v>-10028815.800000001</v>
      </c>
      <c r="Q38" s="278">
        <f t="shared" si="14"/>
        <v>-6866695.3000000007</v>
      </c>
      <c r="R38" s="278">
        <f t="shared" si="14"/>
        <v>-1804646</v>
      </c>
      <c r="S38" s="278">
        <f t="shared" si="14"/>
        <v>-9845955.4499999993</v>
      </c>
      <c r="T38" s="278">
        <f t="shared" si="14"/>
        <v>-5588844.0500000007</v>
      </c>
      <c r="U38" s="278">
        <f t="shared" si="14"/>
        <v>-3461839.6999999993</v>
      </c>
      <c r="V38" s="278">
        <f t="shared" si="14"/>
        <v>-1804646</v>
      </c>
      <c r="W38" s="278">
        <f t="shared" si="14"/>
        <v>-6899376</v>
      </c>
      <c r="X38" s="278">
        <f t="shared" si="14"/>
        <v>-6893420.1499999985</v>
      </c>
      <c r="Y38" s="278">
        <f t="shared" si="14"/>
        <v>-8333185.6499999985</v>
      </c>
      <c r="Z38" s="278">
        <f t="shared" si="14"/>
        <v>-1804646</v>
      </c>
      <c r="AA38" s="278">
        <f t="shared" si="14"/>
        <v>-1804646</v>
      </c>
      <c r="AB38" s="278">
        <f t="shared" si="14"/>
        <v>-1804646</v>
      </c>
      <c r="AC38" s="278">
        <f t="shared" si="14"/>
        <v>-1804646</v>
      </c>
      <c r="AD38" s="278">
        <f t="shared" si="14"/>
        <v>-1804646</v>
      </c>
      <c r="AE38" s="278">
        <f t="shared" si="14"/>
        <v>-1804646</v>
      </c>
      <c r="AF38" s="278">
        <f t="shared" si="14"/>
        <v>-1804646</v>
      </c>
      <c r="AG38" s="278">
        <f t="shared" si="14"/>
        <v>-1804646</v>
      </c>
    </row>
    <row r="39" spans="1:33" customFormat="1" ht="15" x14ac:dyDescent="0.25">
      <c r="A39" s="109" t="s">
        <v>476</v>
      </c>
      <c r="B39" s="278">
        <f t="shared" si="10"/>
        <v>0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</row>
    <row r="40" spans="1:33" customFormat="1" ht="15" x14ac:dyDescent="0.25">
      <c r="A40" s="109" t="s">
        <v>483</v>
      </c>
      <c r="B40" s="278">
        <f t="shared" si="10"/>
        <v>369195060.19999987</v>
      </c>
      <c r="C40" s="278">
        <f>SUM(C37:C39)</f>
        <v>2890265.57</v>
      </c>
      <c r="D40" s="278">
        <f t="shared" ref="D40:AG40" si="15">SUM(D37:D39)</f>
        <v>5866527.5199999996</v>
      </c>
      <c r="E40" s="278">
        <f t="shared" si="15"/>
        <v>53796505.054999985</v>
      </c>
      <c r="F40" s="278">
        <f t="shared" si="15"/>
        <v>47453573.24499999</v>
      </c>
      <c r="G40" s="278">
        <f t="shared" si="15"/>
        <v>35804065.790000007</v>
      </c>
      <c r="H40" s="278">
        <f t="shared" si="15"/>
        <v>49073943.829999991</v>
      </c>
      <c r="I40" s="278">
        <f t="shared" si="15"/>
        <v>58641837.170000002</v>
      </c>
      <c r="J40" s="278">
        <f t="shared" si="15"/>
        <v>65292955.850000001</v>
      </c>
      <c r="K40" s="278">
        <f t="shared" si="15"/>
        <v>40383174.139999993</v>
      </c>
      <c r="L40" s="278">
        <f t="shared" si="15"/>
        <v>33813146.105000004</v>
      </c>
      <c r="M40" s="278">
        <f t="shared" si="15"/>
        <v>12526405.024999999</v>
      </c>
      <c r="N40" s="278">
        <f t="shared" si="15"/>
        <v>-1804646</v>
      </c>
      <c r="O40" s="278">
        <f t="shared" si="15"/>
        <v>-1804646</v>
      </c>
      <c r="P40" s="278">
        <f t="shared" si="15"/>
        <v>-9715792.0350000001</v>
      </c>
      <c r="Q40" s="278">
        <f t="shared" si="15"/>
        <v>-3024119.8400000008</v>
      </c>
      <c r="R40" s="278">
        <f t="shared" si="15"/>
        <v>3111056.96</v>
      </c>
      <c r="S40" s="278">
        <f t="shared" si="15"/>
        <v>-125719.72000000067</v>
      </c>
      <c r="T40" s="278">
        <f t="shared" si="15"/>
        <v>-1766053.2950000009</v>
      </c>
      <c r="U40" s="278">
        <f t="shared" si="15"/>
        <v>438332.83000000054</v>
      </c>
      <c r="V40" s="278">
        <f t="shared" si="15"/>
        <v>-1383777</v>
      </c>
      <c r="W40" s="278">
        <f t="shared" si="15"/>
        <v>-1805138.0049999999</v>
      </c>
      <c r="X40" s="278">
        <f t="shared" si="15"/>
        <v>-1685708.8499999987</v>
      </c>
      <c r="Y40" s="278">
        <f t="shared" si="15"/>
        <v>-2343960.1449999986</v>
      </c>
      <c r="Z40" s="278">
        <f t="shared" si="15"/>
        <v>-1804646</v>
      </c>
      <c r="AA40" s="278">
        <f t="shared" si="15"/>
        <v>-1804646</v>
      </c>
      <c r="AB40" s="278">
        <f t="shared" si="15"/>
        <v>-1804646</v>
      </c>
      <c r="AC40" s="278">
        <f t="shared" si="15"/>
        <v>-1804646</v>
      </c>
      <c r="AD40" s="278">
        <f t="shared" si="15"/>
        <v>-1804646</v>
      </c>
      <c r="AE40" s="278">
        <f t="shared" si="15"/>
        <v>-1804646</v>
      </c>
      <c r="AF40" s="278">
        <f t="shared" si="15"/>
        <v>-1804646</v>
      </c>
      <c r="AG40" s="278">
        <f t="shared" si="15"/>
        <v>-1804646</v>
      </c>
    </row>
    <row r="41" spans="1:33" customFormat="1" ht="15" x14ac:dyDescent="0.25">
      <c r="A41" s="109" t="s">
        <v>484</v>
      </c>
      <c r="B41" s="278">
        <f t="shared" si="10"/>
        <v>278332886.48777246</v>
      </c>
      <c r="C41" s="278">
        <f>C36-C40</f>
        <v>0</v>
      </c>
      <c r="D41" s="278">
        <f t="shared" ref="D41:AG41" si="16">D36-D40</f>
        <v>24973987.649999999</v>
      </c>
      <c r="E41" s="278">
        <f t="shared" si="16"/>
        <v>19188272.100000001</v>
      </c>
      <c r="F41" s="278">
        <f t="shared" si="16"/>
        <v>29157331.200000003</v>
      </c>
      <c r="G41" s="278">
        <f t="shared" si="16"/>
        <v>26435372.049999997</v>
      </c>
      <c r="H41" s="278">
        <f t="shared" si="16"/>
        <v>21145144.315736406</v>
      </c>
      <c r="I41" s="278">
        <f t="shared" si="16"/>
        <v>15319907.811196923</v>
      </c>
      <c r="J41" s="278">
        <f t="shared" si="16"/>
        <v>16031753.156657435</v>
      </c>
      <c r="K41" s="278">
        <f t="shared" si="16"/>
        <v>15457361.652117945</v>
      </c>
      <c r="L41" s="278">
        <f t="shared" si="16"/>
        <v>21911701.74757845</v>
      </c>
      <c r="M41" s="278">
        <f t="shared" si="16"/>
        <v>13954065.493038971</v>
      </c>
      <c r="N41" s="278">
        <f t="shared" si="16"/>
        <v>1620005.0884994827</v>
      </c>
      <c r="O41" s="278">
        <f t="shared" si="16"/>
        <v>1613082.0339599969</v>
      </c>
      <c r="P41" s="278">
        <f t="shared" si="16"/>
        <v>9830328.7794205099</v>
      </c>
      <c r="Q41" s="278">
        <f t="shared" si="16"/>
        <v>6661285.2248810241</v>
      </c>
      <c r="R41" s="278">
        <f t="shared" si="16"/>
        <v>1592312.8703415375</v>
      </c>
      <c r="S41" s="278">
        <f t="shared" si="16"/>
        <v>9626699.26580205</v>
      </c>
      <c r="T41" s="278">
        <f t="shared" si="16"/>
        <v>5362664.8112625647</v>
      </c>
      <c r="U41" s="278">
        <f t="shared" si="16"/>
        <v>3228737.4067230765</v>
      </c>
      <c r="V41" s="278">
        <f t="shared" si="16"/>
        <v>1564624.9399999995</v>
      </c>
      <c r="W41" s="278">
        <f t="shared" si="16"/>
        <v>6655477.0193999996</v>
      </c>
      <c r="X41" s="278">
        <f t="shared" si="16"/>
        <v>6645604.469593998</v>
      </c>
      <c r="Y41" s="278">
        <f t="shared" si="16"/>
        <v>8081414.1027899384</v>
      </c>
      <c r="Z41" s="278">
        <f t="shared" si="16"/>
        <v>1548879.0273178397</v>
      </c>
      <c r="AA41" s="278">
        <f t="shared" si="16"/>
        <v>1544843.6475910181</v>
      </c>
      <c r="AB41" s="278">
        <f t="shared" si="16"/>
        <v>1540767.9140669275</v>
      </c>
      <c r="AC41" s="278">
        <f t="shared" si="16"/>
        <v>1536651.4232075969</v>
      </c>
      <c r="AD41" s="278">
        <f t="shared" si="16"/>
        <v>1532493.7674396727</v>
      </c>
      <c r="AE41" s="278">
        <f t="shared" si="16"/>
        <v>1528294.5351140695</v>
      </c>
      <c r="AF41" s="278">
        <f t="shared" si="16"/>
        <v>1524053.3104652101</v>
      </c>
      <c r="AG41" s="278">
        <f t="shared" si="16"/>
        <v>1519769.6735698627</v>
      </c>
    </row>
    <row r="42" spans="1:33" customFormat="1" ht="15" x14ac:dyDescent="0.25">
      <c r="A42" s="109" t="s">
        <v>485</v>
      </c>
      <c r="B42" s="278"/>
      <c r="C42" s="278">
        <f>C41</f>
        <v>0</v>
      </c>
      <c r="D42" s="278">
        <f>C42+D41</f>
        <v>24973987.649999999</v>
      </c>
      <c r="E42" s="278">
        <f t="shared" ref="E42:AG42" si="17">D42+E41</f>
        <v>44162259.75</v>
      </c>
      <c r="F42" s="278">
        <f t="shared" si="17"/>
        <v>73319590.950000003</v>
      </c>
      <c r="G42" s="278">
        <f t="shared" si="17"/>
        <v>99754963</v>
      </c>
      <c r="H42" s="278">
        <f t="shared" si="17"/>
        <v>120900107.31573641</v>
      </c>
      <c r="I42" s="278">
        <f t="shared" si="17"/>
        <v>136220015.12693334</v>
      </c>
      <c r="J42" s="278">
        <f t="shared" si="17"/>
        <v>152251768.28359076</v>
      </c>
      <c r="K42" s="278">
        <f t="shared" si="17"/>
        <v>167709129.9357087</v>
      </c>
      <c r="L42" s="278">
        <f t="shared" si="17"/>
        <v>189620831.68328714</v>
      </c>
      <c r="M42" s="278">
        <f t="shared" si="17"/>
        <v>203574897.17632613</v>
      </c>
      <c r="N42" s="278">
        <f t="shared" si="17"/>
        <v>205194902.26482561</v>
      </c>
      <c r="O42" s="278">
        <f t="shared" si="17"/>
        <v>206807984.2987856</v>
      </c>
      <c r="P42" s="278">
        <f t="shared" si="17"/>
        <v>216638313.07820612</v>
      </c>
      <c r="Q42" s="278">
        <f t="shared" si="17"/>
        <v>223299598.30308715</v>
      </c>
      <c r="R42" s="278">
        <f t="shared" si="17"/>
        <v>224891911.17342868</v>
      </c>
      <c r="S42" s="278">
        <f t="shared" si="17"/>
        <v>234518610.43923074</v>
      </c>
      <c r="T42" s="278">
        <f t="shared" si="17"/>
        <v>239881275.25049332</v>
      </c>
      <c r="U42" s="278">
        <f t="shared" si="17"/>
        <v>243110012.6572164</v>
      </c>
      <c r="V42" s="278">
        <f t="shared" si="17"/>
        <v>244674637.5972164</v>
      </c>
      <c r="W42" s="278">
        <f t="shared" si="17"/>
        <v>251330114.6166164</v>
      </c>
      <c r="X42" s="278">
        <f t="shared" si="17"/>
        <v>257975719.0862104</v>
      </c>
      <c r="Y42" s="278">
        <f t="shared" si="17"/>
        <v>266057133.18900034</v>
      </c>
      <c r="Z42" s="278">
        <f t="shared" si="17"/>
        <v>267606012.21631819</v>
      </c>
      <c r="AA42" s="278">
        <f t="shared" si="17"/>
        <v>269150855.86390918</v>
      </c>
      <c r="AB42" s="278">
        <f t="shared" si="17"/>
        <v>270691623.7779761</v>
      </c>
      <c r="AC42" s="278">
        <f t="shared" si="17"/>
        <v>272228275.20118368</v>
      </c>
      <c r="AD42" s="278">
        <f t="shared" si="17"/>
        <v>273760768.96862334</v>
      </c>
      <c r="AE42" s="278">
        <f t="shared" si="17"/>
        <v>275289063.50373739</v>
      </c>
      <c r="AF42" s="278">
        <f t="shared" si="17"/>
        <v>276813116.81420261</v>
      </c>
      <c r="AG42" s="278">
        <f t="shared" si="17"/>
        <v>278332886.48777246</v>
      </c>
    </row>
  </sheetData>
  <phoneticPr fontId="14" type="noConversion"/>
  <pageMargins left="0.25" right="0.25" top="0.75" bottom="0.75" header="0.3" footer="0.3"/>
  <pageSetup paperSize="9" scale="21" fitToHeight="0" orientation="landscape" r:id="rId1"/>
  <headerFooter>
    <oddHeader xml:space="preserve">&amp;CŽSR, dopravný uzol Bratislava - štúdia realizovateľnosti </oddHeader>
    <oddFooter xml:space="preserve">&amp;CŠtúdia realizovateľnosti - Finančná analýza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15</vt:i4>
      </vt:variant>
    </vt:vector>
  </HeadingPairs>
  <TitlesOfParts>
    <vt:vector size="15" baseType="lpstr">
      <vt:lpstr>Doprava</vt:lpstr>
      <vt:lpstr>Vstupné dáta</vt:lpstr>
      <vt:lpstr>Parametre</vt:lpstr>
      <vt:lpstr>Investičné náklady</vt:lpstr>
      <vt:lpstr>Zostatková hodnota</vt:lpstr>
      <vt:lpstr>Prevádzka a údržba ŽI</vt:lpstr>
      <vt:lpstr>Príjmy ŽSR</vt:lpstr>
      <vt:lpstr>Financovanie</vt:lpstr>
      <vt:lpstr>Finančná analýza</vt:lpstr>
      <vt:lpstr>Ocenenie času</vt:lpstr>
      <vt:lpstr>Prevádzkové náklady vozidiel</vt:lpstr>
      <vt:lpstr>Nehodovosť</vt:lpstr>
      <vt:lpstr>Externality</vt:lpstr>
      <vt:lpstr>Ekonomická analýza</vt:lpstr>
      <vt:lpstr>Analýza citlivosti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Mladoniczky</dc:creator>
  <cp:lastModifiedBy>Milan Mladoniczky</cp:lastModifiedBy>
  <cp:lastPrinted>2019-02-19T14:26:47Z</cp:lastPrinted>
  <dcterms:created xsi:type="dcterms:W3CDTF">2014-01-29T09:05:25Z</dcterms:created>
  <dcterms:modified xsi:type="dcterms:W3CDTF">2019-02-19T14:28:26Z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W_WorkDir">
    <vt:lpwstr>c:\pwdata\1520_uzolba\kopie mladoniczky\</vt:lpwstr>
  </property>
</Properties>
</file>